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7"/>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CHW/I Street CDLAC App/2026 Round 1 Application/"/>
    </mc:Choice>
  </mc:AlternateContent>
  <xr:revisionPtr revIDLastSave="4" documentId="13_ncr:1_{FF2801D1-5219-4628-9FD6-1B08EF75D06D}" xr6:coauthVersionLast="47" xr6:coauthVersionMax="47" xr10:uidLastSave="{08925A15-E740-4252-94C0-66682585A60F}"/>
  <workbookProtection workbookAlgorithmName="SHA-512" workbookHashValue="YuhBrYdK8nqAJkR8NgC5cxdB3shNafSNq8K+Z637cyyAqXN+It6d7wP93IQ6rzdXd0/+pW0MlQD+yfvDQ0EH6w==" workbookSaltValue="CrA/tfdsF3jDRxUgXybMiA==" workbookSpinCount="100000" lockStructure="1"/>
  <bookViews>
    <workbookView xWindow="-24150" yWindow="1125" windowWidth="22035" windowHeight="13830" tabRatio="889" firstSheet="3" activeTab="1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alcMode="manual" iterate="1" calcCompleted="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2" i="3" l="1"/>
  <c r="AG451" i="3"/>
  <c r="AM567" i="3" l="1"/>
  <c r="S49" i="4" l="1"/>
  <c r="C49" i="4"/>
  <c r="C95" i="4"/>
  <c r="C94" i="4"/>
  <c r="C61" i="4" l="1"/>
  <c r="C29" i="4"/>
  <c r="AA664" i="3"/>
  <c r="H664" i="3"/>
  <c r="AA656" i="3"/>
  <c r="H656" i="3"/>
  <c r="H598" i="3"/>
  <c r="AA590" i="3"/>
  <c r="H590" i="3"/>
  <c r="AA581" i="3"/>
  <c r="H581" i="3"/>
  <c r="Q400" i="3" l="1"/>
  <c r="Q637" i="3"/>
  <c r="Q636" i="3"/>
  <c r="T635" i="3"/>
  <c r="AF635" i="3" s="1"/>
  <c r="Q635" i="3"/>
  <c r="E41" i="7" l="1"/>
  <c r="E40" i="7"/>
  <c r="S45" i="4"/>
  <c r="E85" i="4"/>
  <c r="E86" i="4"/>
  <c r="E88" i="4"/>
  <c r="E90" i="4"/>
  <c r="E91" i="4"/>
  <c r="E92" i="4"/>
  <c r="E93" i="4"/>
  <c r="E94" i="4"/>
  <c r="E95" i="4"/>
  <c r="E80" i="4"/>
  <c r="E79" i="4"/>
  <c r="E75" i="4"/>
  <c r="E76" i="4"/>
  <c r="E49" i="4"/>
  <c r="E61" i="4"/>
  <c r="E53" i="4"/>
  <c r="E58" i="4"/>
  <c r="E56" i="4"/>
  <c r="E50" i="4"/>
  <c r="E51" i="4"/>
  <c r="E52" i="4"/>
  <c r="E4" i="4"/>
  <c r="H40" i="4"/>
  <c r="E33" i="4"/>
  <c r="E34" i="4"/>
  <c r="E35" i="4"/>
  <c r="E36" i="4"/>
  <c r="E37" i="4"/>
  <c r="E5" i="4"/>
  <c r="F31" i="4"/>
  <c r="F29" i="4" s="1"/>
  <c r="E29" i="4" s="1"/>
  <c r="G30" i="4"/>
  <c r="E30" i="4" s="1"/>
  <c r="I99" i="4"/>
  <c r="E99" i="4" s="1"/>
  <c r="C46" i="4"/>
  <c r="E46" i="4" s="1"/>
  <c r="C83" i="4"/>
  <c r="E83" i="4" s="1"/>
  <c r="C84" i="4"/>
  <c r="E84" i="4" s="1"/>
  <c r="E69" i="4"/>
  <c r="E65" i="4"/>
  <c r="C45" i="4"/>
  <c r="E45" i="4" s="1"/>
  <c r="C43" i="4"/>
  <c r="E43" i="4" s="1"/>
  <c r="C32" i="4"/>
  <c r="E32" i="4" s="1"/>
  <c r="C13" i="4"/>
  <c r="AG402" i="3" s="1"/>
  <c r="C6" i="4"/>
  <c r="E6" i="4" s="1"/>
  <c r="AA928" i="3"/>
  <c r="AA927" i="3"/>
  <c r="O733" i="3"/>
  <c r="O732" i="3"/>
  <c r="E13" i="4" l="1"/>
  <c r="AA957" i="3"/>
  <c r="AA940" i="3"/>
  <c r="AG455" i="3"/>
  <c r="AG457" i="3"/>
  <c r="O731" i="3" l="1"/>
  <c r="O730" i="3"/>
  <c r="O729" i="3"/>
  <c r="O728" i="3"/>
  <c r="O727" i="3"/>
  <c r="O726"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l="1" a="1"/>
  <c r="BB6" i="24" s="1"/>
  <c r="BB5" i="24" a="1"/>
  <c r="BB5"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5" i="11"/>
  <c r="C96" i="11"/>
  <c r="B85" i="11"/>
  <c r="B86" i="11"/>
  <c r="B87" i="11"/>
  <c r="B88" i="11"/>
  <c r="B89" i="11"/>
  <c r="B90" i="11"/>
  <c r="B91" i="11"/>
  <c r="B92" i="11"/>
  <c r="B93"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0" i="13"/>
  <c r="E89" i="13"/>
  <c r="E87" i="13"/>
  <c r="E49" i="13"/>
  <c r="E48" i="13"/>
  <c r="E47" i="13"/>
  <c r="E45" i="13"/>
  <c r="E41" i="13"/>
  <c r="E27" i="13"/>
  <c r="E25" i="13"/>
  <c r="E23" i="13"/>
  <c r="E22" i="13"/>
  <c r="E21" i="13"/>
  <c r="E20" i="13"/>
  <c r="E19" i="13"/>
  <c r="E18" i="13"/>
  <c r="E17" i="13"/>
  <c r="E15" i="13"/>
  <c r="E14" i="13"/>
  <c r="E13" i="13"/>
  <c r="E10" i="13"/>
  <c r="B99" i="13"/>
  <c r="B95" i="13"/>
  <c r="B94"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R93" i="4"/>
  <c r="S93" i="4" s="1"/>
  <c r="E93" i="13" s="1"/>
  <c r="R92" i="4"/>
  <c r="S92" i="4" s="1"/>
  <c r="E92" i="13" s="1"/>
  <c r="R90" i="4"/>
  <c r="R89" i="4"/>
  <c r="R88" i="4"/>
  <c r="R87" i="4"/>
  <c r="R86" i="4"/>
  <c r="S86" i="4" s="1"/>
  <c r="E86" i="13" s="1"/>
  <c r="R85" i="4"/>
  <c r="S85" i="4" s="1"/>
  <c r="E85" i="13" s="1"/>
  <c r="R83" i="4"/>
  <c r="R76" i="4"/>
  <c r="R75" i="4"/>
  <c r="R72" i="4"/>
  <c r="R73" i="4"/>
  <c r="R74" i="4"/>
  <c r="R69" i="4"/>
  <c r="S69" i="4" s="1"/>
  <c r="E69" i="13" s="1"/>
  <c r="R65" i="4"/>
  <c r="R61" i="4"/>
  <c r="R60" i="4"/>
  <c r="R59" i="4"/>
  <c r="R58" i="4"/>
  <c r="R57" i="4"/>
  <c r="R56" i="4"/>
  <c r="R53" i="4"/>
  <c r="S53" i="4" s="1"/>
  <c r="R52" i="4"/>
  <c r="S52" i="4" s="1"/>
  <c r="E52" i="13" s="1"/>
  <c r="R51" i="4"/>
  <c r="S51" i="4" s="1"/>
  <c r="E51" i="13" s="1"/>
  <c r="R50" i="4"/>
  <c r="S50" i="4" s="1"/>
  <c r="R49" i="4"/>
  <c r="R48" i="4"/>
  <c r="R47" i="4"/>
  <c r="R46" i="4"/>
  <c r="S46" i="4" s="1"/>
  <c r="E46" i="13" s="1"/>
  <c r="R45" i="4"/>
  <c r="R43" i="4"/>
  <c r="S43" i="4" s="1"/>
  <c r="E43" i="13" s="1"/>
  <c r="R41" i="4"/>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D8" i="4"/>
  <c r="D11" i="4"/>
  <c r="D26" i="4"/>
  <c r="D38" i="4"/>
  <c r="D42" i="4"/>
  <c r="D54" i="4"/>
  <c r="D62" i="4"/>
  <c r="D77" i="4"/>
  <c r="D96"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4" i="4"/>
  <c r="B95" i="4"/>
  <c r="E96" i="4"/>
  <c r="F96" i="4"/>
  <c r="G96" i="4"/>
  <c r="H96" i="4"/>
  <c r="I96" i="4"/>
  <c r="K96" i="4"/>
  <c r="L96" i="4"/>
  <c r="Q96" i="4"/>
  <c r="B101" i="4"/>
  <c r="B102" i="4"/>
  <c r="E104"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29" i="4" l="1"/>
  <c r="E29" i="13" s="1"/>
  <c r="S65" i="4"/>
  <c r="E65" i="13" s="1"/>
  <c r="E53" i="13"/>
  <c r="S81" i="4"/>
  <c r="E81" i="13" s="1"/>
  <c r="S54" i="4"/>
  <c r="E54" i="13" s="1"/>
  <c r="E108" i="4"/>
  <c r="AM574" i="3"/>
  <c r="S96" i="4"/>
  <c r="E96" i="13" s="1"/>
  <c r="S42" i="4"/>
  <c r="E42" i="13" s="1"/>
  <c r="S38" i="4"/>
  <c r="E38" i="13" s="1"/>
  <c r="E50" i="13"/>
  <c r="S104" i="4"/>
  <c r="E104" i="13" s="1"/>
  <c r="B26" i="4"/>
  <c r="D35" i="11"/>
  <c r="B8" i="13"/>
  <c r="N183" i="24"/>
  <c r="T20" i="21"/>
  <c r="AD7" i="15"/>
  <c r="AD68" i="15"/>
  <c r="BE24" i="3"/>
  <c r="BE69" i="3"/>
  <c r="D36"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J63" i="13"/>
  <c r="J97" i="13" s="1"/>
  <c r="J105" i="13" s="1"/>
  <c r="J107" i="13" s="1"/>
  <c r="D81" i="11"/>
  <c r="R104" i="4"/>
  <c r="B77" i="4"/>
  <c r="C78" i="11"/>
  <c r="D60" i="11"/>
  <c r="M12" i="4"/>
  <c r="D63" i="4"/>
  <c r="D97" i="4" s="1"/>
  <c r="R26" i="4"/>
  <c r="R42" i="4"/>
  <c r="R54" i="4"/>
  <c r="R62" i="4"/>
  <c r="D63" i="13"/>
  <c r="D97" i="13" s="1"/>
  <c r="D105" i="13" s="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70" i="4" l="1"/>
  <c r="E70" i="13" s="1"/>
  <c r="BA1067" i="3"/>
  <c r="AO649" i="3"/>
  <c r="D105" i="11"/>
  <c r="S63" i="4"/>
  <c r="E63" i="13" s="1"/>
  <c r="AJ634" i="20"/>
  <c r="AK816" i="20" s="1"/>
  <c r="T841" i="20" s="1"/>
  <c r="AF841" i="20" s="1"/>
  <c r="BE82" i="3" s="1"/>
  <c r="G108" i="21"/>
  <c r="N190" i="24"/>
  <c r="D43" i="11"/>
  <c r="D71" i="11"/>
  <c r="B12" i="4"/>
  <c r="D55" i="11"/>
  <c r="D82" i="11"/>
  <c r="D39" i="11"/>
  <c r="D78" i="11"/>
  <c r="R12" i="4"/>
  <c r="D12" i="11"/>
  <c r="D63" i="11"/>
  <c r="B13" i="11"/>
  <c r="C64" i="11"/>
  <c r="B64" i="11"/>
  <c r="B63" i="4"/>
  <c r="R63" i="4"/>
  <c r="R97" i="4" s="1"/>
  <c r="R105" i="4" s="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AZ1055" i="3" s="1"/>
  <c r="O28" i="21"/>
  <c r="P28" i="21" s="1" a="1"/>
  <c r="P28" i="21" s="1"/>
  <c r="S28" i="21" s="1"/>
  <c r="O27" i="21"/>
  <c r="P27" i="21" s="1" a="1"/>
  <c r="P27" i="21" s="1"/>
  <c r="S27" i="21" s="1"/>
  <c r="O26" i="21"/>
  <c r="P26" i="21" s="1" a="1"/>
  <c r="P26" i="21" s="1"/>
  <c r="S26" i="21" s="1"/>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AK83" i="20"/>
  <c r="D13" i="11"/>
  <c r="O58" i="7"/>
  <c r="Q53" i="7"/>
  <c r="T105" i="4"/>
  <c r="H97" i="13"/>
  <c r="P29" i="21" a="1"/>
  <c r="P29" i="21" s="1"/>
  <c r="S29" i="21" s="1"/>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97" i="13" l="1"/>
  <c r="S105" i="4"/>
  <c r="S107" i="4" s="1"/>
  <c r="I9" i="21"/>
  <c r="AK190" i="20"/>
  <c r="T827" i="20"/>
  <c r="AF827" i="20" s="1"/>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E105" i="13" l="1"/>
  <c r="AJ1016" i="3"/>
  <c r="AJ1038" i="3"/>
  <c r="AJ1003" i="3"/>
  <c r="AJ1045" i="3"/>
  <c r="I15" i="21" s="1"/>
  <c r="AD11" i="15"/>
  <c r="AD23" i="15" s="1"/>
  <c r="AD26" i="15" s="1"/>
  <c r="AD28" i="15" s="1"/>
  <c r="AI11" i="15"/>
  <c r="AI23" i="15" s="1"/>
  <c r="AI26" i="15" s="1"/>
  <c r="AI28" i="15" s="1"/>
  <c r="AC465" i="3"/>
  <c r="BE72" i="3"/>
  <c r="G166" i="21"/>
  <c r="G165" i="21"/>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BE77" i="3"/>
  <c r="B94" i="11"/>
  <c r="B97" i="11" s="1"/>
  <c r="B98" i="11" s="1"/>
  <c r="B106" i="11" s="1"/>
  <c r="C94" i="11"/>
  <c r="C97" i="11" s="1"/>
  <c r="B93" i="13"/>
  <c r="B93" i="4"/>
  <c r="C96" i="4"/>
  <c r="C97" i="4" s="1"/>
  <c r="AF843" i="20" l="1"/>
  <c r="BE70" i="3" s="1"/>
  <c r="C98" i="11"/>
  <c r="D97" i="11"/>
  <c r="B97" i="4"/>
  <c r="B97" i="13"/>
  <c r="C105" i="4"/>
  <c r="B96" i="13"/>
  <c r="D94" i="11"/>
  <c r="B96" i="4"/>
  <c r="D104" i="4" l="1"/>
  <c r="B103" i="4"/>
  <c r="B105" i="13"/>
  <c r="AG268" i="20"/>
  <c r="AC464" i="3"/>
  <c r="BE101" i="3"/>
  <c r="C106" i="11"/>
  <c r="D106" i="11" s="1"/>
  <c r="D98" i="11"/>
  <c r="B104" i="4" l="1"/>
  <c r="D105" i="4"/>
  <c r="BE68" i="3" l="1"/>
  <c r="B105" i="4"/>
  <c r="AB265" i="20" s="1"/>
  <c r="AG267" i="20" s="1"/>
  <c r="AG269" i="20" s="1"/>
  <c r="AK272" i="20" s="1"/>
  <c r="T834" i="20" s="1"/>
  <c r="N180" i="24" l="1"/>
  <c r="BE22" i="3"/>
  <c r="AC463" i="3"/>
  <c r="BE44" i="3" s="1"/>
  <c r="AB47" i="15"/>
  <c r="AB49" i="15" s="1"/>
  <c r="N181" i="24" l="1"/>
  <c r="N191" i="24"/>
  <c r="BE19" i="3"/>
  <c r="BE20" i="3"/>
  <c r="M26" i="3"/>
  <c r="M27" i="3"/>
  <c r="BE62" i="3"/>
  <c r="BE83" i="3"/>
  <c r="P204" i="3"/>
  <c r="P205" i="3"/>
  <c r="AB50" i="15"/>
  <c r="AB54" i="15"/>
  <c r="AB55" i="15"/>
  <c r="AB56" i="15"/>
  <c r="AB57" i="15"/>
  <c r="AB59" i="15"/>
  <c r="AB77" i="15"/>
  <c r="AB78" i="15"/>
  <c r="AB79" i="15"/>
  <c r="AB81" i="15"/>
  <c r="J82" i="15"/>
  <c r="H4" i="21"/>
  <c r="H5" i="21"/>
  <c r="I10" i="21"/>
  <c r="I11" i="21"/>
  <c r="I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tc={493D5C27-7C14-FE46-9022-199A2702F778}</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AE702" authorId="2" shapeId="0" xr:uid="{493D5C27-7C14-FE46-9022-199A2702F778}">
      <text>
        <t>[Threaded comment]
Your version of Excel allows you to read this threaded comment; however, any edits to it will get removed if the file is opened in a newer version of Excel. Learn more: https://go.microsoft.com/fwlink/?linkid=870924
Comment:
    Submitting CDLAC/TCAC Joint Application</t>
      </text>
    </comment>
    <comment ref="J787" authorId="1" shapeId="0" xr:uid="{C0D2857A-5FC4-4C2F-A5AE-CD0D97FBA242}">
      <text>
        <r>
          <rPr>
            <sz val="9"/>
            <color indexed="81"/>
            <rFont val="Tahoma"/>
            <family val="2"/>
          </rPr>
          <t>Include prior approval of Executive Director in Tab 10 when selecting this option.</t>
        </r>
      </text>
    </comment>
    <comment ref="Z817"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<sst xmlns="http://schemas.openxmlformats.org/spreadsheetml/2006/main" count="5048" uniqueCount="2762">
  <si>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</si>
  <si>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</si>
  <si>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</si>
  <si>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</si>
  <si>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</si>
  <si>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</si>
  <si>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</si>
  <si>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</si>
  <si>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</si>
  <si>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</si>
  <si>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</si>
  <si>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</si>
  <si>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</si>
  <si>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</si>
  <si>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</si>
  <si>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</si>
  <si>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</si>
  <si>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</si>
  <si>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</si>
  <si>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</si>
  <si>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</si>
  <si>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</si>
  <si>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</si>
  <si>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</si>
  <si>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</si>
  <si>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</si>
  <si>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</si>
  <si>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</si>
  <si>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</si>
  <si>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</si>
  <si>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</si>
  <si>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</si>
  <si>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</si>
  <si>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</si>
  <si>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</si>
  <si>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</si>
  <si>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</si>
  <si>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</si>
  <si>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</si>
  <si>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</si>
  <si>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</si>
  <si>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</si>
  <si>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</si>
  <si>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</si>
  <si>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</si>
  <si>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</si>
  <si>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</si>
  <si>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</si>
  <si>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</si>
  <si>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</si>
  <si>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</si>
  <si>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</si>
  <si>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</si>
  <si>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</si>
  <si>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</si>
  <si>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</si>
  <si>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</si>
  <si>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</si>
  <si>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</si>
  <si>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</si>
  <si>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</si>
  <si>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</si>
  <si>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</si>
  <si>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</si>
  <si>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</si>
  <si>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</si>
  <si>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</si>
  <si>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</si>
  <si>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</si>
  <si>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</si>
  <si>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</si>
  <si>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</si>
  <si>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</si>
  <si>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</si>
  <si>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</si>
  <si>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</si>
  <si>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</si>
  <si>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</si>
  <si>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</si>
  <si>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</si>
  <si>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</si>
  <si>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</si>
  <si>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</si>
  <si>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</si>
  <si>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</si>
  <si>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</si>
  <si>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</si>
  <si>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</si>
  <si>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</si>
  <si>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</si>
  <si>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</si>
  <si>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</si>
  <si>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</si>
  <si>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</si>
  <si>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</si>
  <si>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</si>
  <si>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</si>
  <si>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</si>
  <si>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</si>
  <si>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</si>
  <si>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</si>
  <si>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</si>
  <si>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</si>
  <si>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</si>
  <si>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</si>
  <si>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</si>
  <si>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</si>
  <si>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</si>
  <si>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</si>
  <si>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</si>
  <si>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</si>
  <si>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</si>
  <si>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</si>
  <si>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</si>
  <si>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</si>
  <si>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</si>
  <si>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</si>
  <si>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</si>
  <si>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</si>
  <si>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</si>
  <si>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</si>
  <si>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</si>
  <si>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</si>
  <si>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</si>
  <si>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</si>
  <si>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</si>
  <si>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</si>
  <si>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</si>
  <si>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</si>
  <si>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</si>
  <si>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</si>
  <si>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</si>
  <si>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</si>
  <si>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</si>
  <si>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</si>
  <si>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</si>
  <si>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</si>
  <si>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</si>
  <si>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</si>
  <si>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</si>
  <si>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</si>
  <si>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</si>
  <si>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</si>
  <si>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</si>
  <si>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</si>
  <si>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</si>
  <si>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</si>
  <si>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</si>
  <si>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</si>
  <si>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</si>
  <si>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</si>
  <si>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</si>
  <si>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</si>
  <si>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</si>
  <si>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</si>
  <si>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</si>
  <si>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</si>
  <si>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</si>
  <si>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</si>
  <si>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</si>
  <si>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</si>
  <si>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</si>
  <si>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</si>
  <si>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</si>
  <si>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</si>
  <si>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</si>
  <si>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</si>
  <si>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</si>
  <si>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</si>
  <si>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</si>
  <si>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</si>
  <si>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</si>
  <si>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</si>
  <si>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</si>
  <si>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</si>
  <si>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</si>
  <si>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</si>
  <si>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</si>
  <si>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</si>
  <si>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</si>
  <si>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</si>
  <si>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</si>
  <si>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</si>
  <si>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</si>
  <si>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</si>
  <si>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</si>
  <si>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</si>
  <si>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</si>
  <si>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</si>
  <si>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</si>
  <si>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</si>
  <si>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</si>
  <si>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</si>
  <si>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</si>
  <si>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</si>
  <si>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</si>
  <si>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</si>
  <si>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</si>
  <si>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</si>
  <si>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</si>
  <si>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</si>
  <si>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</si>
  <si>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</si>
  <si>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</si>
  <si>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</si>
  <si>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</si>
  <si>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</si>
  <si>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</si>
  <si>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</si>
  <si>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</si>
  <si>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</si>
  <si>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</si>
  <si>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</si>
  <si>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</si>
  <si>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</si>
  <si>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</si>
  <si>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</si>
  <si>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</si>
  <si>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</si>
  <si>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</si>
  <si>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</si>
  <si>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</si>
  <si>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</si>
  <si>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</si>
  <si>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</si>
  <si>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</si>
  <si>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</si>
  <si>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</si>
  <si>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</si>
  <si>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</si>
  <si>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</si>
  <si>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</si>
  <si>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</si>
  <si>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</si>
  <si>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</si>
  <si>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</si>
  <si>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</si>
  <si>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</si>
  <si>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</si>
  <si>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</si>
  <si>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</si>
  <si>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</si>
  <si>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</si>
  <si>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</si>
  <si>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</si>
  <si>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</si>
  <si>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</si>
  <si>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</si>
  <si>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</si>
  <si>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</si>
  <si>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</si>
  <si>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</si>
  <si>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</si>
  <si>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</si>
  <si>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</si>
  <si>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</si>
  <si>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</si>
  <si>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</si>
  <si>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</si>
  <si>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</si>
  <si>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</si>
  <si>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</si>
  <si>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</si>
  <si>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</si>
  <si>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</si>
  <si>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</si>
  <si>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</si>
  <si>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</si>
  <si>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</si>
  <si>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</si>
  <si>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</si>
  <si>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</si>
  <si>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</si>
  <si>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</si>
  <si>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</si>
  <si>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</si>
  <si>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</si>
  <si>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</si>
  <si>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</si>
  <si>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</si>
  <si>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</si>
  <si>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</si>
  <si>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</si>
  <si>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</si>
  <si>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</si>
  <si>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</si>
  <si>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</si>
  <si>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</si>
  <si>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</si>
  <si>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</si>
  <si>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</si>
  <si>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</si>
  <si>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</si>
  <si>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</si>
  <si>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</si>
  <si>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</si>
  <si>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</si>
  <si>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</si>
  <si>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</si>
  <si>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</si>
  <si>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</si>
  <si>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</si>
  <si>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</si>
  <si>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</si>
  <si>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</si>
  <si>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</si>
  <si>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</si>
  <si>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</si>
  <si>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</si>
  <si>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</si>
  <si>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</si>
  <si>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</si>
  <si>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</si>
  <si>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</si>
  <si>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</si>
  <si>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</si>
  <si>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</si>
  <si>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</si>
  <si>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</si>
  <si>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</si>
  <si>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</si>
  <si>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</si>
  <si>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</si>
  <si>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</si>
  <si>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</si>
  <si>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</si>
  <si>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</si>
  <si>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</si>
  <si>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</si>
  <si>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</si>
  <si>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</si>
  <si>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</si>
  <si>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</si>
  <si>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</si>
  <si>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</si>
  <si>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</si>
  <si>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</si>
  <si>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</si>
  <si>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</si>
  <si>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</si>
  <si>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</si>
  <si>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</si>
  <si>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</si>
  <si>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</si>
  <si>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</si>
  <si>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</si>
  <si>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</si>
  <si>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</si>
  <si>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</si>
  <si>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</si>
  <si>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</si>
  <si>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</si>
  <si>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</si>
  <si>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</si>
  <si>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</si>
  <si>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</si>
  <si>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</si>
  <si>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</si>
  <si>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</si>
  <si>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</si>
  <si>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</si>
  <si>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</si>
  <si>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</si>
  <si>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</si>
  <si>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</si>
  <si>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</si>
  <si>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</si>
  <si>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</si>
  <si>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</si>
  <si>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</si>
  <si>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</si>
  <si>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</si>
  <si>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</si>
  <si>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</si>
  <si>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</si>
  <si>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</si>
  <si>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</si>
  <si>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</si>
  <si>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</si>
  <si>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</si>
  <si>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</si>
  <si>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</si>
  <si>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</si>
  <si>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</si>
  <si>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</si>
  <si>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</si>
  <si>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</si>
  <si>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</si>
  <si>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</si>
  <si>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</si>
  <si>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</si>
  <si>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</si>
  <si>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</si>
  <si>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</si>
  <si>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</si>
  <si>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</si>
  <si>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</si>
  <si>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</si>
  <si>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</si>
  <si>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</si>
  <si>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</si>
  <si>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</si>
  <si>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</si>
  <si>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</si>
  <si>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</si>
  <si>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</si>
  <si>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</si>
  <si>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</si>
  <si>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</si>
  <si>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</si>
  <si>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</si>
  <si>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</si>
  <si>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</si>
  <si>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</si>
  <si>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</si>
  <si>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</si>
  <si>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</si>
  <si>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</si>
  <si>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</si>
  <si>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</si>
  <si>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</si>
  <si>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</si>
  <si>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</si>
  <si>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</si>
  <si>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</si>
  <si>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</si>
  <si>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</si>
  <si>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</si>
  <si>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</si>
  <si>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</si>
  <si>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</si>
  <si>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</si>
  <si>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</si>
  <si>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</si>
  <si>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</si>
  <si>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</si>
  <si>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</si>
  <si>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</si>
  <si>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</si>
  <si>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</si>
  <si>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</si>
  <si>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</si>
  <si>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</si>
  <si>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</si>
  <si>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</si>
  <si>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</si>
  <si>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</si>
  <si>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</si>
  <si>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</si>
  <si>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</si>
  <si>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</si>
  <si>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</si>
  <si>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</si>
  <si>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</si>
  <si>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</si>
  <si>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</si>
  <si>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</si>
  <si>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</si>
  <si>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</si>
  <si>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</si>
  <si>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</si>
  <si>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</si>
  <si>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</si>
  <si>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</si>
  <si>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</si>
  <si>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</si>
  <si>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</si>
  <si>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</si>
  <si>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</si>
  <si>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</si>
  <si>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</si>
  <si>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</si>
  <si>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</si>
  <si>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</si>
  <si>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</si>
  <si>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</si>
  <si>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</si>
  <si>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</si>
  <si>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</si>
  <si>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</si>
  <si>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</si>
  <si>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</si>
  <si>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</si>
  <si>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</si>
  <si>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</si>
  <si>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</si>
  <si>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</si>
  <si>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</si>
  <si>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</si>
  <si>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</si>
  <si>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</si>
  <si>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</si>
  <si>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</si>
  <si>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</si>
  <si>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</si>
  <si>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</si>
  <si>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</si>
  <si>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</si>
  <si>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</si>
  <si>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</si>
  <si>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</si>
  <si>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</si>
  <si>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</si>
  <si>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</si>
  <si>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</si>
  <si>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</si>
  <si>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</si>
  <si>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</si>
  <si>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</si>
  <si>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</si>
  <si>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</si>
  <si>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</si>
  <si>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</si>
  <si>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</si>
  <si>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</si>
  <si>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</si>
  <si>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</si>
  <si>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</si>
  <si>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</si>
  <si>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</si>
  <si>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</si>
  <si>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</si>
  <si>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</si>
  <si>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</si>
  <si>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</si>
  <si>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</si>
  <si>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</si>
  <si>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</si>
  <si>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</si>
  <si>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</si>
  <si>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</si>
  <si>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</si>
  <si>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</si>
  <si>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</si>
  <si>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</si>
  <si>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</si>
  <si>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</si>
  <si>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</si>
  <si>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</si>
  <si>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</si>
  <si>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</si>
  <si>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</si>
  <si>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</si>
  <si>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</si>
  <si>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</si>
  <si>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</si>
  <si>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</si>
  <si>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</si>
  <si>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</si>
  <si>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</si>
  <si>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</si>
  <si>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</si>
  <si>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</si>
  <si>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</si>
  <si>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</si>
  <si>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</si>
  <si>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</si>
  <si>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</si>
  <si>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</si>
  <si>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</si>
  <si>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</si>
  <si>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</si>
  <si>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</si>
  <si>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</si>
  <si>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</si>
  <si>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</si>
  <si>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</si>
  <si>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</si>
  <si>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</si>
  <si>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</si>
  <si>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</si>
  <si>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</si>
  <si>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</si>
  <si>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</si>
  <si>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</si>
  <si>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</si>
  <si>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</si>
  <si>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</si>
  <si>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</si>
  <si>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</si>
  <si>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</si>
  <si>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</si>
  <si>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</si>
  <si>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</si>
  <si>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</si>
  <si>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</si>
  <si>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</si>
  <si>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</si>
  <si>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</si>
  <si>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</si>
  <si>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</si>
  <si>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</si>
  <si>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</si>
  <si>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</si>
  <si>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</si>
  <si>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</si>
  <si>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</si>
  <si>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</si>
  <si>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</si>
  <si>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</si>
  <si>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</si>
  <si>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</si>
  <si>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</si>
  <si>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</si>
  <si>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</si>
  <si>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</si>
  <si>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</si>
  <si>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</si>
  <si>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</si>
  <si>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</si>
  <si>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</si>
  <si>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</si>
  <si>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</si>
  <si>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</si>
  <si>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</si>
  <si>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</si>
  <si>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</si>
  <si>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</si>
  <si>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</si>
  <si>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</si>
  <si>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</si>
  <si>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</si>
  <si>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</si>
  <si>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</si>
  <si>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</si>
  <si>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</si>
  <si>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</si>
  <si>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</si>
  <si>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</si>
  <si>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</si>
  <si>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</si>
  <si>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</si>
  <si>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</si>
  <si>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</si>
  <si>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</si>
  <si>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</si>
  <si>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</si>
  <si>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</si>
  <si>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</si>
  <si>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</si>
  <si>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</si>
  <si>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</si>
  <si>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</si>
  <si>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</si>
  <si>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</si>
  <si>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</si>
  <si>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</si>
  <si>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</si>
  <si>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</si>
  <si>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</si>
  <si>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</si>
  <si>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</si>
  <si>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</si>
  <si>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</si>
  <si>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</si>
  <si>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</si>
  <si>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</si>
  <si>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</si>
  <si>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</si>
  <si>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</si>
  <si>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</si>
  <si>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</si>
  <si>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</si>
  <si>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</si>
  <si>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</si>
  <si>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</si>
  <si>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</si>
  <si>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</si>
  <si>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</si>
  <si>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</si>
  <si>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</si>
  <si>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</si>
  <si>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</si>
  <si>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I Street Housing Associates, L.P.</t>
  </si>
  <si>
    <t>MIP Amount</t>
  </si>
  <si>
    <t>PROJECT NAME:</t>
  </si>
  <si>
    <t>I Street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</si>
  <si>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</si>
  <si>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</si>
  <si>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</si>
  <si>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</si>
  <si>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</si>
  <si>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</si>
  <si>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</si>
  <si>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</si>
  <si>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</si>
  <si>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</si>
  <si>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</si>
  <si>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</si>
  <si>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</si>
  <si>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</si>
  <si>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</si>
  <si>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</si>
  <si>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</si>
  <si>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</si>
  <si>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</si>
  <si>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</si>
  <si>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</si>
  <si>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</si>
  <si>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</si>
  <si>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</si>
  <si>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</si>
  <si>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</si>
  <si>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</si>
  <si>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</si>
  <si>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</si>
  <si>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</si>
  <si>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</si>
  <si>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</si>
  <si>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</si>
  <si>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</si>
  <si>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</si>
  <si>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</si>
  <si>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</si>
  <si>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</si>
  <si>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</si>
  <si>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</si>
  <si>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</si>
  <si>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</si>
  <si>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</si>
  <si>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</si>
  <si>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</si>
  <si>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</si>
  <si>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</si>
  <si>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</si>
  <si>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</si>
  <si>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</si>
  <si>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</si>
  <si>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</si>
  <si>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</si>
  <si>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</si>
  <si>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</si>
  <si>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</si>
  <si>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</si>
  <si>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</si>
  <si>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</si>
  <si>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</si>
  <si>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</si>
  <si>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</si>
  <si>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</si>
  <si>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</si>
  <si>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</si>
  <si>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</si>
  <si>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</si>
  <si>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</si>
  <si>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</si>
  <si>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</si>
  <si>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</si>
  <si>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</si>
  <si>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</si>
  <si>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</si>
  <si>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</si>
  <si>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</si>
  <si>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</si>
  <si>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</si>
  <si>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</si>
  <si>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</si>
  <si>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</si>
  <si>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</si>
  <si>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</si>
  <si>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</si>
  <si>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</si>
  <si>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</si>
  <si>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</si>
  <si>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</si>
  <si>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</si>
  <si>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</si>
  <si>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</si>
  <si>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</si>
  <si>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</si>
  <si>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</si>
  <si>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</si>
  <si>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</si>
  <si>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</si>
  <si>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</si>
  <si>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</si>
  <si>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</si>
  <si>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</si>
  <si>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</si>
  <si>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</si>
  <si>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</si>
  <si>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</si>
  <si>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</si>
  <si>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</si>
  <si>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</si>
  <si>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</si>
  <si>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</si>
  <si>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</si>
  <si>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</si>
  <si>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</si>
  <si>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</si>
  <si>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</si>
  <si>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</si>
  <si>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</si>
  <si>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</si>
  <si>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</si>
  <si>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</si>
  <si>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</si>
  <si>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</si>
  <si>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</si>
  <si>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</si>
  <si>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</si>
  <si>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</si>
  <si>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</si>
  <si>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</si>
  <si>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</si>
  <si>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</si>
  <si>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</si>
  <si>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</si>
  <si>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</si>
  <si>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</si>
  <si>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</si>
  <si>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</si>
  <si>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Sacramento</t>
  </si>
  <si>
    <t>Inland (Fresno, Imperial, Kern, Kings, Madera, Merced, Riverside, San Bernardino, Stanislaus, and Tulare Counties)</t>
  </si>
  <si>
    <t>4% 2026 TBLs</t>
  </si>
  <si>
    <t>9% 2026 TBLs</t>
  </si>
  <si>
    <t>City Manager:</t>
  </si>
  <si>
    <t>Marakeshia Smith</t>
  </si>
  <si>
    <t>Northern (Butte, El Dorado, Placer, Sacramento, San Joaquin, Shasta, Solano, Sutter, Yuba, and Yolo Counties)</t>
  </si>
  <si>
    <t>Title:</t>
  </si>
  <si>
    <t>City Manager</t>
  </si>
  <si>
    <t>N/A</t>
  </si>
  <si>
    <t xml:space="preserve">Mailing Address: </t>
  </si>
  <si>
    <t>915 I Street</t>
  </si>
  <si>
    <t>2025 100% RENTS</t>
  </si>
  <si>
    <t>2025 FAIR MARKET RENTS</t>
  </si>
  <si>
    <t xml:space="preserve">City: </t>
  </si>
  <si>
    <t>Sacramento</t>
  </si>
  <si>
    <t>ALAMEDA</t>
  </si>
  <si>
    <t>Alameda</t>
  </si>
  <si>
    <t>California Tax Credit Allocation Committee</t>
  </si>
  <si>
    <t>Housing and Urban Development</t>
  </si>
  <si>
    <t xml:space="preserve">Zip Code: </t>
  </si>
  <si>
    <t>ALPINE</t>
  </si>
  <si>
    <t>Alpine</t>
  </si>
  <si>
    <t>Phone Number:</t>
  </si>
  <si>
    <t>916-808-7903</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</si>
  <si>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</si>
  <si>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</si>
  <si>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</si>
  <si>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</si>
  <si>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</si>
  <si>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</si>
  <si>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</si>
  <si>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</si>
  <si>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</si>
  <si>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</si>
  <si>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</si>
  <si>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</si>
  <si>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</si>
  <si>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</si>
  <si>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</si>
  <si>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</si>
  <si>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mssmith@cityofsacramento.org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</si>
  <si>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</si>
  <si>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</si>
  <si>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</si>
  <si>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</si>
  <si>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</si>
  <si>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</si>
  <si>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</si>
  <si>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</si>
  <si>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</si>
  <si>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</si>
  <si>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</si>
  <si>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</si>
  <si>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</si>
  <si>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</si>
  <si>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</si>
  <si>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</si>
  <si>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</si>
  <si>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</si>
  <si>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</si>
  <si>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</si>
  <si>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</si>
  <si>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</si>
  <si>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</si>
  <si>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</si>
  <si>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</si>
  <si>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</si>
  <si>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</si>
  <si>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</si>
  <si>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</si>
  <si>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</si>
  <si>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</si>
  <si>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</si>
  <si>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</si>
  <si>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</si>
  <si>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</si>
  <si>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</si>
  <si>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</si>
  <si>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</si>
  <si>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</si>
  <si>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</si>
  <si>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</si>
  <si>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</si>
  <si>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</si>
  <si>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</si>
  <si>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</si>
  <si>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</si>
  <si>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</si>
  <si>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</si>
  <si>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</si>
  <si>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</si>
  <si>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</si>
  <si>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</si>
  <si>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</si>
  <si>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</si>
  <si>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</si>
  <si>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</si>
  <si>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</si>
  <si>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</si>
  <si>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</si>
  <si>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</si>
  <si>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</si>
  <si>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</si>
  <si>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</si>
  <si>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</si>
  <si>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</si>
  <si>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</si>
  <si>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</si>
  <si>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</si>
  <si>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</si>
  <si>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</si>
  <si>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</si>
  <si>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</si>
  <si>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</si>
  <si>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</si>
  <si>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</si>
  <si>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</si>
  <si>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1511-1517 I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</si>
  <si>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</si>
  <si>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</si>
  <si>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</si>
  <si>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</si>
  <si>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</si>
  <si>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</si>
  <si>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</si>
  <si>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</si>
  <si>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</si>
  <si>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</si>
  <si>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</si>
  <si>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</si>
  <si>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</si>
  <si>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</si>
  <si>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</si>
  <si>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</si>
  <si>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</si>
  <si>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</si>
  <si>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Assessor's Parcel Number(s):</t>
  </si>
  <si>
    <t>006-0061-008 and 006-0061-009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</si>
  <si>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</si>
  <si>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</si>
  <si>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</si>
  <si>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</si>
  <si>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</si>
  <si>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</si>
  <si>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</si>
  <si>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</si>
  <si>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</si>
  <si>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</si>
  <si>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</si>
  <si>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</si>
  <si>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</si>
  <si>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</si>
  <si>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</si>
  <si>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</si>
  <si>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</si>
  <si>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</si>
  <si>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</si>
  <si>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</si>
  <si>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</si>
  <si>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</si>
  <si>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</si>
  <si>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</si>
  <si>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</si>
  <si>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</si>
  <si>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</si>
  <si>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</si>
  <si>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</si>
  <si>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</si>
  <si>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</si>
  <si>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</si>
  <si>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</si>
  <si>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</si>
  <si>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</si>
  <si>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</si>
  <si>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</si>
  <si>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</si>
  <si>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</si>
  <si>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</si>
  <si>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</si>
  <si>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</si>
  <si>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</si>
  <si>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</si>
  <si>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</si>
  <si>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</si>
  <si>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</si>
  <si>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</si>
  <si>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</si>
  <si>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</si>
  <si>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</si>
  <si>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</si>
  <si>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</si>
  <si>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</si>
  <si>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</si>
  <si>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</si>
  <si>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</si>
  <si>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</si>
  <si>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</si>
  <si>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</si>
  <si>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</si>
  <si>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</si>
  <si>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</si>
  <si>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</si>
  <si>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</si>
  <si>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</si>
  <si>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</si>
  <si>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</si>
  <si>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</si>
  <si>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</si>
  <si>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</si>
  <si>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</si>
  <si>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</si>
  <si>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</si>
  <si>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</si>
  <si>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</si>
  <si>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</si>
  <si>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</si>
  <si>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</si>
  <si>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</si>
  <si>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</si>
  <si>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</si>
  <si>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</si>
  <si>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</si>
  <si>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</si>
  <si>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</si>
  <si>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</si>
  <si>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</si>
  <si>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</si>
  <si>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</si>
  <si>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</si>
  <si>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</si>
  <si>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</si>
  <si>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</si>
  <si>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</si>
  <si>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</si>
  <si>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</si>
  <si>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</si>
  <si>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</si>
  <si>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</si>
  <si>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</si>
  <si>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</si>
  <si>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</si>
  <si>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</si>
  <si>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</si>
  <si>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</si>
  <si>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</si>
  <si>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</si>
  <si>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</si>
  <si>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</si>
  <si>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</si>
  <si>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</si>
  <si>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</si>
  <si>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</si>
  <si>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</si>
  <si>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</si>
  <si>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</si>
  <si>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</si>
  <si>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</si>
  <si>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</si>
  <si>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</si>
  <si>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</si>
  <si>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</si>
  <si>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</si>
  <si>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</si>
  <si>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3110 Camino Del Rio N. Suite 800</t>
  </si>
  <si>
    <t>State:</t>
  </si>
  <si>
    <t>CA</t>
  </si>
  <si>
    <t>Contact Person:</t>
  </si>
  <si>
    <t>Kevin Leichner</t>
  </si>
  <si>
    <t>Phone:</t>
  </si>
  <si>
    <t>619-795-0213</t>
  </si>
  <si>
    <t>Ext.:</t>
  </si>
  <si>
    <t>Fax:</t>
  </si>
  <si>
    <t>both nonprofits</t>
  </si>
  <si>
    <t xml:space="preserve">Email: </t>
  </si>
  <si>
    <t>kleichner@chworks.org</t>
  </si>
  <si>
    <t>Legal Status of Applicant:</t>
  </si>
  <si>
    <t>Parent Company:</t>
  </si>
  <si>
    <t>Community HousingWorks</t>
  </si>
  <si>
    <t>If Other, Specify:</t>
  </si>
  <si>
    <t>both for-profit</t>
  </si>
  <si>
    <t>General Partner(s) Information (post-closing GPs):</t>
  </si>
  <si>
    <t>D(1)</t>
  </si>
  <si>
    <t>General Partner Name:</t>
  </si>
  <si>
    <t>CHW I Street,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</si>
  <si>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</si>
  <si>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</si>
  <si>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</si>
  <si>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</si>
  <si>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</si>
  <si>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</si>
  <si>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</si>
  <si>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</si>
  <si>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</si>
  <si>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</si>
  <si>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</si>
  <si>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</si>
  <si>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</si>
  <si>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</si>
  <si>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</si>
  <si>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</si>
  <si>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</si>
  <si>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</si>
  <si>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</si>
  <si>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</si>
  <si>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</si>
  <si>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</si>
  <si>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</si>
  <si>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</si>
  <si>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</si>
  <si>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</si>
  <si>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</si>
  <si>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</si>
  <si>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</si>
  <si>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</si>
  <si>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San Diego, CA 92108</t>
  </si>
  <si>
    <t>City, State, Zip:</t>
  </si>
  <si>
    <t>Sacramento, CA 95811</t>
  </si>
  <si>
    <t>Cesar Medina</t>
  </si>
  <si>
    <t>916-443-1033</t>
  </si>
  <si>
    <t>Email:</t>
  </si>
  <si>
    <t>cmedina@mogaveroarchitects.com</t>
  </si>
  <si>
    <t>Attorney:</t>
  </si>
  <si>
    <t>Gubb &amp; Barshay</t>
  </si>
  <si>
    <t>General Contractor:</t>
  </si>
  <si>
    <t>Tricorp Group</t>
  </si>
  <si>
    <t>235 Montgomery Street, Suite 1110</t>
  </si>
  <si>
    <t>2540 Warren Drive, Suite A</t>
  </si>
  <si>
    <t>San Francisco, CA 94104</t>
  </si>
  <si>
    <t>Rocklin, CA 95677</t>
  </si>
  <si>
    <t>Nicole Kline</t>
  </si>
  <si>
    <t>Ryan Smith</t>
  </si>
  <si>
    <t>415-781-6600</t>
  </si>
  <si>
    <t>916-779-8010</t>
  </si>
  <si>
    <t>nkline@gubbandbarshay.com</t>
  </si>
  <si>
    <t>rsmith@tricorp-group.com</t>
  </si>
  <si>
    <t>Tax Professional:</t>
  </si>
  <si>
    <t>Energy Consultant:</t>
  </si>
  <si>
    <t>CPA:</t>
  </si>
  <si>
    <t>Novogradac &amp; Company LLP</t>
  </si>
  <si>
    <t>Investor:</t>
  </si>
  <si>
    <t>TBD</t>
  </si>
  <si>
    <t>211 E. Ocean Blvd., 6th Floor</t>
  </si>
  <si>
    <t>Long Beach, CA, 90802</t>
  </si>
  <si>
    <t>Craig Staswick</t>
  </si>
  <si>
    <t>562-256-3555</t>
  </si>
  <si>
    <t>craig.staswick@novoco.com</t>
  </si>
  <si>
    <t>Consultant:</t>
  </si>
  <si>
    <t>California Housing Partnership</t>
  </si>
  <si>
    <t>Market Analyst:</t>
  </si>
  <si>
    <t>Laurin Associates</t>
  </si>
  <si>
    <t>49 Stevenson St, Suite 500</t>
  </si>
  <si>
    <t>1501 Sports Drive</t>
  </si>
  <si>
    <t>San Francisco, CA 94105</t>
  </si>
  <si>
    <t>Sacramento, CA, 95834</t>
  </si>
  <si>
    <t>Maxwell Albrecht</t>
  </si>
  <si>
    <t>Stefanie Williams</t>
  </si>
  <si>
    <t>(415) 433-6804</t>
  </si>
  <si>
    <t>916-372-6100</t>
  </si>
  <si>
    <t>malbrecht@chpc.net</t>
  </si>
  <si>
    <t>swilliams@laurinassociates.com</t>
  </si>
  <si>
    <t>Appraiser:</t>
  </si>
  <si>
    <t>Kinder Mathews</t>
  </si>
  <si>
    <t>CNA Consultant:</t>
  </si>
  <si>
    <t>12230 El Camino Real, 4th Floor</t>
  </si>
  <si>
    <t>San Diego, CA, 92130</t>
  </si>
  <si>
    <t>Babak Sammak</t>
  </si>
  <si>
    <t>858-509-1200</t>
  </si>
  <si>
    <t>babak.sammak@kidder.com</t>
  </si>
  <si>
    <t>Bond Issuer:</t>
  </si>
  <si>
    <t>Sacramento Housing and Redevelopment Agency</t>
  </si>
  <si>
    <t>Prop. Mgmt. Co.:</t>
  </si>
  <si>
    <t>ConAm Management Group</t>
  </si>
  <si>
    <t>801 12th Street</t>
  </si>
  <si>
    <t>9201 Spectrum Center Blvd, Suite 200</t>
  </si>
  <si>
    <t>Sacramento, CA 95814</t>
  </si>
  <si>
    <t>San Diego, CA 92123</t>
  </si>
  <si>
    <t>Christine Weichert</t>
  </si>
  <si>
    <t>Michelle Sites</t>
  </si>
  <si>
    <t>916-440-1353</t>
  </si>
  <si>
    <t>858-614-7376</t>
  </si>
  <si>
    <t>cweichert@shra.org</t>
  </si>
  <si>
    <t>msites@conam.com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</si>
  <si>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</si>
  <si>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</si>
  <si>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</si>
  <si>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</si>
  <si>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</si>
  <si>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</si>
  <si>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</si>
  <si>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</si>
  <si>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</si>
  <si>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</si>
  <si>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</si>
  <si>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</si>
  <si>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</si>
  <si>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</si>
  <si>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</si>
  <si>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</si>
  <si>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</si>
  <si>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</si>
  <si>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</si>
  <si>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</si>
  <si>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</si>
  <si>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</si>
  <si>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Temporary Parking Lot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</si>
  <si>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</si>
  <si>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</si>
  <si>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</si>
  <si>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</si>
  <si>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</si>
  <si>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</si>
  <si>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</si>
  <si>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</si>
  <si>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</si>
  <si>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</si>
  <si>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</si>
  <si>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I Street Development Holding Company, LLC</t>
  </si>
  <si>
    <t>Signatory of Seller:</t>
  </si>
  <si>
    <t>Seller Principal:</t>
  </si>
  <si>
    <t>Senior Vice President</t>
  </si>
  <si>
    <t>Seller Address:</t>
  </si>
  <si>
    <t>3110 Camino Del Rio N. Suite 800, San Diego, CA 92108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</si>
  <si>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</si>
  <si>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</si>
  <si>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</si>
  <si>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</si>
  <si>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</si>
  <si>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</si>
  <si>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</si>
  <si>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</si>
  <si>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</si>
  <si>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</si>
  <si>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</si>
  <si>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</si>
  <si>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</si>
  <si>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</si>
  <si>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</si>
  <si>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</si>
  <si>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</si>
  <si>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</si>
  <si>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</si>
  <si>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</si>
  <si>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</si>
  <si>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</si>
  <si>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</si>
  <si>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</si>
  <si>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</si>
  <si>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</si>
  <si>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</si>
  <si>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</si>
  <si>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</si>
  <si>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</si>
  <si>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</si>
  <si>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</si>
  <si>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</si>
  <si>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</si>
  <si>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</si>
  <si>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</si>
  <si>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</si>
  <si>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</si>
  <si>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</si>
  <si>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</si>
  <si>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</si>
  <si>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</si>
  <si>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</si>
  <si>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</si>
  <si>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</si>
  <si>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</si>
  <si>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</si>
  <si>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</si>
  <si>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</si>
  <si>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</si>
  <si>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</si>
  <si>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</si>
  <si>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</si>
  <si>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</si>
  <si>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</si>
  <si>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</si>
  <si>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</si>
  <si>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</si>
  <si>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</si>
  <si>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</si>
  <si>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</si>
  <si>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</si>
  <si>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</si>
  <si>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</si>
  <si>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</si>
  <si>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</si>
  <si>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</si>
  <si>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</si>
  <si>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</si>
  <si>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</si>
  <si>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</si>
  <si>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</si>
  <si>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</si>
  <si>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</si>
  <si>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</si>
  <si>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</si>
  <si>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</si>
  <si>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</si>
  <si>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</si>
  <si>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</si>
  <si>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</si>
  <si>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</si>
  <si>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</si>
  <si>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</si>
  <si>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</si>
  <si>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Mixed Use</t>
  </si>
  <si>
    <t>Current Zoning and Maximum Density</t>
  </si>
  <si>
    <t>C-2-SPD: General Commercial, Density: Min. 61 du/ac</t>
  </si>
  <si>
    <t>Proposed Zoning and Maximum Density</t>
  </si>
  <si>
    <t>C-2-SPD: General Commercial, Density: No Max</t>
  </si>
  <si>
    <t>Occupancy restrictions that run with the land due to CUP’s or density bonuses?</t>
  </si>
  <si>
    <t>(if yes, explain here)</t>
  </si>
  <si>
    <t>Subject to Inclusionary Zoning?</t>
  </si>
  <si>
    <t>Building Height Requirements</t>
  </si>
  <si>
    <t>None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</si>
  <si>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</si>
  <si>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</si>
  <si>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</si>
  <si>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</si>
  <si>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</si>
  <si>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</si>
  <si>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</si>
  <si>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</si>
  <si>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</si>
  <si>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</si>
  <si>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</si>
  <si>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</si>
  <si>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</si>
  <si>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</si>
  <si>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</si>
  <si>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</si>
  <si>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</si>
  <si>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</si>
  <si>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</si>
  <si>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</si>
  <si>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</si>
  <si>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</si>
  <si>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</si>
  <si>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</si>
  <si>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</si>
  <si>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</si>
  <si>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</si>
  <si>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</si>
  <si>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</si>
  <si>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</si>
  <si>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</si>
  <si>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</si>
  <si>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</si>
  <si>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</si>
  <si>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</si>
  <si>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AHSC</t>
  </si>
  <si>
    <t>Equity, Other Investor</t>
  </si>
  <si>
    <t>Grant</t>
  </si>
  <si>
    <t>Closing or Award</t>
  </si>
  <si>
    <t>Loan, Conventional</t>
  </si>
  <si>
    <t xml:space="preserve">Type and Source: </t>
  </si>
  <si>
    <t>SHRA PLHA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</si>
  <si>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</si>
  <si>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</si>
  <si>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</si>
  <si>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</si>
  <si>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</si>
  <si>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</si>
  <si>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</si>
  <si>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</si>
  <si>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</si>
  <si>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</si>
  <si>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</si>
  <si>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</si>
  <si>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</si>
  <si>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</si>
  <si>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</si>
  <si>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</si>
  <si>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</si>
  <si>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</si>
  <si>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</si>
  <si>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</si>
  <si>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</si>
  <si>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</si>
  <si>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</si>
  <si>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</si>
  <si>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</si>
  <si>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</si>
  <si>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</si>
  <si>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</si>
  <si>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</si>
  <si>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</si>
  <si>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</si>
  <si>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</si>
  <si>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</si>
  <si>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 xml:space="preserve">US Bank </t>
  </si>
  <si>
    <t>Fixed</t>
  </si>
  <si>
    <t>Cost Deferred Until Conversion</t>
  </si>
  <si>
    <t>Deferred Developer Fee</t>
  </si>
  <si>
    <t>6)</t>
  </si>
  <si>
    <t>Tax Credit Equity</t>
  </si>
  <si>
    <t>7)</t>
  </si>
  <si>
    <t>8)</t>
  </si>
  <si>
    <t>9)</t>
  </si>
  <si>
    <t>10)</t>
  </si>
  <si>
    <t>11)</t>
  </si>
  <si>
    <t>12)</t>
  </si>
  <si>
    <t>Total Funds For Construction:</t>
  </si>
  <si>
    <t>Lender/Source:</t>
  </si>
  <si>
    <t>530 B Street, Floor 24</t>
  </si>
  <si>
    <t>Contact Name:</t>
  </si>
  <si>
    <t>Chuck Sinkey</t>
  </si>
  <si>
    <t>619-693-0574</t>
  </si>
  <si>
    <t>Type of Financing:</t>
  </si>
  <si>
    <t>Variable Rate Index (if applicable):</t>
  </si>
  <si>
    <t>SOFR</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</si>
  <si>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</si>
  <si>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</si>
  <si>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</si>
  <si>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</si>
  <si>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</si>
  <si>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</si>
  <si>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</si>
  <si>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</si>
  <si>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</si>
  <si>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SHRA PLHA</t>
  </si>
  <si>
    <t>Deferred</t>
  </si>
  <si>
    <t>Total Permanent Financing:</t>
  </si>
  <si>
    <t>Total Tax Credit Equity:</t>
  </si>
  <si>
    <t>Total Sources of Project Funds:</t>
  </si>
  <si>
    <t>651 Bannon Street</t>
  </si>
  <si>
    <t>Patti Jones</t>
  </si>
  <si>
    <t>619-776-7617</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</si>
  <si>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</si>
  <si>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</si>
  <si>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</si>
  <si>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</si>
  <si>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</si>
  <si>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</si>
  <si>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</si>
  <si>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</si>
  <si>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</si>
  <si>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</si>
  <si>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</si>
  <si>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</si>
  <si>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</si>
  <si>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</si>
  <si>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</si>
  <si>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</si>
  <si>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</si>
  <si>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</si>
  <si>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</si>
  <si>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</si>
  <si>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</si>
  <si>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</si>
  <si>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</si>
  <si>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</si>
  <si>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</si>
  <si>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</si>
  <si>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</si>
  <si>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</si>
  <si>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</si>
  <si>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</si>
  <si>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</si>
  <si>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</si>
  <si>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</si>
  <si>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</si>
  <si>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</si>
  <si>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</si>
  <si>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</si>
  <si>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</si>
  <si>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</si>
  <si>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</si>
  <si>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</si>
  <si>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</si>
  <si>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</si>
  <si>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</si>
  <si>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</si>
  <si>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</si>
  <si>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</si>
  <si>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</si>
  <si>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</si>
  <si>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</si>
  <si>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</si>
  <si>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</si>
  <si>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</si>
  <si>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</si>
  <si>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</si>
  <si>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</si>
  <si>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</si>
  <si>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</si>
  <si>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</si>
  <si>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</si>
  <si>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</si>
  <si>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</si>
  <si>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</si>
  <si>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</si>
  <si>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</si>
  <si>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</si>
  <si>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</si>
  <si>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</si>
  <si>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</si>
  <si>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</si>
  <si>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</si>
  <si>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</si>
  <si>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</si>
  <si>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</si>
  <si>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</si>
  <si>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</si>
  <si>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</si>
  <si>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</si>
  <si>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</si>
  <si>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</si>
  <si>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</si>
  <si>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</si>
  <si>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</si>
  <si>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</si>
  <si>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</si>
  <si>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</si>
  <si>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</si>
  <si>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</si>
  <si>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</si>
  <si>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</si>
  <si>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</si>
  <si>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</si>
  <si>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</si>
  <si>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</si>
  <si>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</si>
  <si>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</si>
  <si>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</si>
  <si>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</si>
  <si>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</si>
  <si>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</si>
  <si>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</si>
  <si>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</si>
  <si>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</si>
  <si>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</si>
  <si>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</si>
  <si>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</si>
  <si>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</si>
  <si>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</si>
  <si>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</si>
  <si>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</si>
  <si>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</si>
  <si>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</si>
  <si>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</si>
  <si>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</si>
  <si>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</si>
  <si>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</si>
  <si>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</si>
  <si>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</si>
  <si>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</si>
  <si>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</si>
  <si>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</si>
  <si>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</si>
  <si>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</si>
  <si>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</si>
  <si>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</si>
  <si>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</si>
  <si>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</si>
  <si>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</si>
  <si>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</si>
  <si>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</si>
  <si>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</si>
  <si>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</si>
  <si>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</si>
  <si>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</si>
  <si>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</si>
  <si>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</si>
  <si>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</si>
  <si>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</si>
  <si>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</si>
  <si>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SHRA Issuance, Trustee Fees:</t>
  </si>
  <si>
    <t>Other SHRA Administration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</si>
  <si>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</si>
  <si>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</si>
  <si>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</si>
  <si>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</si>
  <si>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</si>
  <si>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</si>
  <si>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</si>
  <si>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</si>
  <si>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</si>
  <si>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</si>
  <si>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</si>
  <si>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</si>
  <si>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</si>
  <si>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</si>
  <si>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</si>
  <si>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</si>
  <si>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</si>
  <si>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</si>
  <si>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</si>
  <si>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</si>
  <si>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</si>
  <si>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</si>
  <si>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</si>
  <si>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</si>
  <si>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</si>
  <si>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</si>
  <si>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</si>
  <si>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</si>
  <si>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</si>
  <si>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</si>
  <si>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</si>
  <si>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</si>
  <si>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</si>
  <si>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</si>
  <si>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</si>
  <si>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</si>
  <si>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</si>
  <si>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</si>
  <si>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</si>
  <si>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</si>
  <si>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</si>
  <si>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</si>
  <si>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</si>
  <si>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</si>
  <si>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</si>
  <si>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</si>
  <si>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</si>
  <si>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</si>
  <si>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</si>
  <si>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</si>
  <si>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</si>
  <si>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</si>
  <si>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</si>
  <si>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</si>
  <si>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</si>
  <si>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</si>
  <si>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</si>
  <si>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</si>
  <si>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</si>
  <si>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</si>
  <si>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</si>
  <si>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</si>
  <si>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</si>
  <si>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</si>
  <si>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</si>
  <si>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</si>
  <si>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</si>
  <si>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</si>
  <si>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</si>
  <si>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</si>
  <si>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</si>
  <si>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</si>
  <si>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</si>
  <si>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</si>
  <si>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</si>
  <si>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</si>
  <si>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</si>
  <si>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</si>
  <si>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</si>
  <si>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</si>
  <si>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</si>
  <si>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</si>
  <si>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</si>
  <si>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</si>
  <si>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</si>
  <si>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</si>
  <si>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</si>
  <si>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</si>
  <si>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</si>
  <si>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</si>
  <si>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</si>
  <si>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</si>
  <si>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</si>
  <si>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</si>
  <si>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</si>
  <si>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</si>
  <si>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</si>
  <si>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</si>
  <si>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</si>
  <si>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</si>
  <si>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</si>
  <si>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</si>
  <si>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</si>
  <si>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</si>
  <si>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</si>
  <si>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</si>
  <si>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</si>
  <si>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</si>
  <si>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</si>
  <si>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</si>
  <si>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</si>
  <si>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</si>
  <si>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</si>
  <si>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</si>
  <si>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</si>
  <si>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</si>
  <si>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</si>
  <si>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</si>
  <si>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</si>
  <si>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</si>
  <si>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</si>
  <si>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</si>
  <si>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</si>
  <si>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</si>
  <si>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</si>
  <si>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</si>
  <si>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</si>
  <si>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</si>
  <si>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</si>
  <si>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</si>
  <si>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</si>
  <si>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</si>
  <si>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</si>
  <si>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</si>
  <si>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</si>
  <si>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</si>
  <si>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</si>
  <si>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</si>
  <si>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</si>
  <si>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</si>
  <si>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</si>
  <si>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</si>
  <si>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</si>
  <si>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</si>
  <si>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</si>
  <si>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</si>
  <si>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</si>
  <si>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</si>
  <si>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</si>
  <si>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</si>
  <si>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</si>
  <si>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</si>
  <si>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</si>
  <si>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</si>
  <si>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</si>
  <si>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</si>
  <si>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</si>
  <si>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</si>
  <si>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</si>
  <si>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</si>
  <si>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</si>
  <si>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</si>
  <si>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</si>
  <si>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</si>
  <si>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</si>
  <si>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</si>
  <si>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</si>
  <si>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</si>
  <si>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</si>
  <si>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</si>
  <si>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</si>
  <si>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</si>
  <si>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</si>
  <si>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</si>
  <si>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</si>
  <si>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</si>
  <si>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</si>
  <si>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</si>
  <si>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</si>
  <si>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</si>
  <si>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</si>
  <si>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</si>
  <si>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</si>
  <si>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</si>
  <si>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</si>
  <si>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</si>
  <si>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</si>
  <si>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</si>
  <si>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</si>
  <si>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</si>
  <si>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</si>
  <si>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</si>
  <si>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</si>
  <si>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</si>
  <si>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</si>
  <si>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</si>
  <si>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</si>
  <si>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</si>
  <si>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</si>
  <si>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</si>
  <si>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</si>
  <si>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</si>
  <si>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</si>
  <si>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</si>
  <si>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</si>
  <si>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</si>
  <si>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</si>
  <si>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</si>
  <si>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</si>
  <si>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</si>
  <si>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Construction Lender Expenses</t>
  </si>
  <si>
    <t>Total Construction Interest &amp; Fees</t>
  </si>
  <si>
    <t>Loan Origination Fee</t>
  </si>
  <si>
    <t>Other: Perm Lender + Owner Counsel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</si>
  <si>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</si>
  <si>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</si>
  <si>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</si>
  <si>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</si>
  <si>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</si>
  <si>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</si>
  <si>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</si>
  <si>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Construction Legal</t>
  </si>
  <si>
    <t>Total Legal and Consulting Costs</t>
  </si>
  <si>
    <t>RESERVES</t>
  </si>
  <si>
    <t>Rent Reserves</t>
  </si>
  <si>
    <t>Capitalized Rent Reserves</t>
  </si>
  <si>
    <t>Required Capitalized Replacement Reserve</t>
  </si>
  <si>
    <t>3-Month Operating Reserve</t>
  </si>
  <si>
    <t xml:space="preserve">Other: </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</si>
  <si>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</si>
  <si>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</si>
  <si>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</si>
  <si>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</si>
  <si>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</si>
  <si>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</si>
  <si>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</si>
  <si>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</si>
  <si>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</si>
  <si>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</si>
  <si>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</si>
  <si>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</si>
  <si>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</si>
  <si>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</si>
  <si>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</si>
  <si>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</si>
  <si>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Construction Mgmt</t>
  </si>
  <si>
    <t>Other: Start-up/Lease-Up Expenses</t>
  </si>
  <si>
    <t>Other: Predev Loan Interest/Fees, Soft Loan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</si>
  <si>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</si>
  <si>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</si>
  <si>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</si>
  <si>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</si>
  <si>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</si>
  <si>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</si>
  <si>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</si>
  <si>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</si>
  <si>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</si>
  <si>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</si>
  <si>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</si>
  <si>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</si>
  <si>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</si>
  <si>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</si>
  <si>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</si>
  <si>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</si>
  <si>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</si>
  <si>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</si>
  <si>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</si>
  <si>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</si>
  <si>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</si>
  <si>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</si>
  <si>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</si>
  <si>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</si>
  <si>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</si>
  <si>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</si>
  <si>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</si>
  <si>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</si>
  <si>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</si>
  <si>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</si>
  <si>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</si>
  <si>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</si>
  <si>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</si>
  <si>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</si>
  <si>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</si>
  <si>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</si>
  <si>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</si>
  <si>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</si>
  <si>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</si>
  <si>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</si>
  <si>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</si>
  <si>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</si>
  <si>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</si>
  <si>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</si>
  <si>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</si>
  <si>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</si>
  <si>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</si>
  <si>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</si>
  <si>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</si>
  <si>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</si>
  <si>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</si>
  <si>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</si>
  <si>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</si>
  <si>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</si>
  <si>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</si>
  <si>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</si>
  <si>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</si>
  <si>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</si>
  <si>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</si>
  <si>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</si>
  <si>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</si>
  <si>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</si>
  <si>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</si>
  <si>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</si>
  <si>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</si>
  <si>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</si>
  <si>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</si>
  <si>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</si>
  <si>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</si>
  <si>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</si>
  <si>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</si>
  <si>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</si>
  <si>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</si>
  <si>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</si>
  <si>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</si>
  <si>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</si>
  <si>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</si>
  <si>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</si>
  <si>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</si>
  <si>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</si>
  <si>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</si>
  <si>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</si>
  <si>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</si>
  <si>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</si>
  <si>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</si>
  <si>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</si>
  <si>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</si>
  <si>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</si>
  <si>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</si>
  <si>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</si>
  <si>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</si>
  <si>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</si>
  <si>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</si>
  <si>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</si>
  <si>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</si>
  <si>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</si>
  <si>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</si>
  <si>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</si>
  <si>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</si>
  <si>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</si>
  <si>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</si>
  <si>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</si>
  <si>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</si>
  <si>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</si>
  <si>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</si>
  <si>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</si>
  <si>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</si>
  <si>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</si>
  <si>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</si>
  <si>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</si>
  <si>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</si>
  <si>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</si>
  <si>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</si>
  <si>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</si>
  <si>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</si>
  <si>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</si>
  <si>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</si>
  <si>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</si>
  <si>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</si>
  <si>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</si>
  <si>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</si>
  <si>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</si>
  <si>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</si>
  <si>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</si>
  <si>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</si>
  <si>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</si>
  <si>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</si>
  <si>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</si>
  <si>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</si>
  <si>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</si>
  <si>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</si>
  <si>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</si>
  <si>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</si>
  <si>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</si>
  <si>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</si>
  <si>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</si>
  <si>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</si>
  <si>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</si>
  <si>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</si>
  <si>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</si>
  <si>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</si>
  <si>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</si>
  <si>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</si>
  <si>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</si>
  <si>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</si>
  <si>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</si>
  <si>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</si>
  <si>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</si>
  <si>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</si>
  <si>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</si>
  <si>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</si>
  <si>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</si>
  <si>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</si>
  <si>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</si>
  <si>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</si>
  <si>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</si>
  <si>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</si>
  <si>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</si>
  <si>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</si>
  <si>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</si>
  <si>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</si>
  <si>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</si>
  <si>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</si>
  <si>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</si>
  <si>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</si>
  <si>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</si>
  <si>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</si>
  <si>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</si>
  <si>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</si>
  <si>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</si>
  <si>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</si>
  <si>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</si>
  <si>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</si>
  <si>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</si>
  <si>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</si>
  <si>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</si>
  <si>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</si>
  <si>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</si>
  <si>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</si>
  <si>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</si>
  <si>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</si>
  <si>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</si>
  <si>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</si>
  <si>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</si>
  <si>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</si>
  <si>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</si>
  <si>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</si>
  <si>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</si>
  <si>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</si>
  <si>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</si>
  <si>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</si>
  <si>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</si>
  <si>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</si>
  <si>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</si>
  <si>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</si>
  <si>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</si>
  <si>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</si>
  <si>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</si>
  <si>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</si>
  <si>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</si>
  <si>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</si>
  <si>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</si>
  <si>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</si>
  <si>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</si>
  <si>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</si>
  <si>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</si>
  <si>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</si>
  <si>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</si>
  <si>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</si>
  <si>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</si>
  <si>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</si>
  <si>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</si>
  <si>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</si>
  <si>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</si>
  <si>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</si>
  <si>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</si>
  <si>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</si>
  <si>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</si>
  <si>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</si>
  <si>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</si>
  <si>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</si>
  <si>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</si>
  <si>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</si>
  <si>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</si>
  <si>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</si>
  <si>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</si>
  <si>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</si>
  <si>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</si>
  <si>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</si>
  <si>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</si>
  <si>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</si>
  <si>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</si>
  <si>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</si>
  <si>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</si>
  <si>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</si>
  <si>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</si>
  <si>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</si>
  <si>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</si>
  <si>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</si>
  <si>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</si>
  <si>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</si>
  <si>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</si>
  <si>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</si>
  <si>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</si>
  <si>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</si>
  <si>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</si>
  <si>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</si>
  <si>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</si>
  <si>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</si>
  <si>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</si>
  <si>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</si>
  <si>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</si>
  <si>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</si>
  <si>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</si>
  <si>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</si>
  <si>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</si>
  <si>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</si>
  <si>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</si>
  <si>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</si>
  <si>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</si>
  <si>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</si>
  <si>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</si>
  <si>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</si>
  <si>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</si>
  <si>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</si>
  <si>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</si>
  <si>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</si>
  <si>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</si>
  <si>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</si>
  <si>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</si>
  <si>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</si>
  <si>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</si>
  <si>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</si>
  <si>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</si>
  <si>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</si>
  <si>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</si>
  <si>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</si>
  <si>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</si>
  <si>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</si>
  <si>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</si>
  <si>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</si>
  <si>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</si>
  <si>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</si>
  <si>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</si>
  <si>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</si>
  <si>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</si>
  <si>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</si>
  <si>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</si>
  <si>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</si>
  <si>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</si>
  <si>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</si>
  <si>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</si>
  <si>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</si>
  <si>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</si>
  <si>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</si>
  <si>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</si>
  <si>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</si>
  <si>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</si>
  <si>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</si>
  <si>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</si>
  <si>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</si>
  <si>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</si>
  <si>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</si>
  <si>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</si>
  <si>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</si>
  <si>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</si>
  <si>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</si>
  <si>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</si>
  <si>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</si>
  <si>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</si>
  <si>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</si>
  <si>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</si>
  <si>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</si>
  <si>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</si>
  <si>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</si>
  <si>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</si>
  <si>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</si>
  <si>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</si>
  <si>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</si>
  <si>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</si>
  <si>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</si>
  <si>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</si>
  <si>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</si>
  <si>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</si>
  <si>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</si>
  <si>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</si>
  <si>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</si>
  <si>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</si>
  <si>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</si>
  <si>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</si>
  <si>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</si>
  <si>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</si>
  <si>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</si>
  <si>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</si>
  <si>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</si>
  <si>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</si>
  <si>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</si>
  <si>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</si>
  <si>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</si>
  <si>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</si>
  <si>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</si>
  <si>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</si>
  <si>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</si>
  <si>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</si>
  <si>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</si>
  <si>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</si>
  <si>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</si>
  <si>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</si>
  <si>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</si>
  <si>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</si>
  <si>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</si>
  <si>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</si>
  <si>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</si>
  <si>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</si>
  <si>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</si>
  <si>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</si>
  <si>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</si>
  <si>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</si>
  <si>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</si>
  <si>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</si>
  <si>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</si>
  <si>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CHW I Street, LLC c/o Community HousingWorks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</si>
  <si>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</si>
  <si>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</si>
  <si>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</si>
  <si>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</si>
  <si>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</si>
  <si>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</si>
  <si>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</si>
  <si>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</si>
  <si>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</si>
  <si>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</si>
  <si>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</si>
  <si>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</si>
  <si>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</si>
  <si>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</si>
  <si>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</si>
  <si>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</si>
  <si>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</si>
  <si>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</si>
  <si>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</si>
  <si>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</si>
  <si>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</si>
  <si>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</si>
  <si>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</si>
  <si>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</si>
  <si>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</si>
  <si>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</si>
  <si>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</si>
  <si>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</si>
  <si>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</si>
  <si>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</si>
  <si>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</si>
  <si>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</si>
  <si>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</si>
  <si>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</si>
  <si>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</si>
  <si>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</si>
  <si>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</si>
  <si>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</si>
  <si>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</si>
  <si>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</si>
  <si>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</si>
  <si>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</si>
  <si>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</si>
  <si>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</si>
  <si>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</si>
  <si>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</si>
  <si>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</si>
  <si>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</si>
  <si>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</si>
  <si>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</si>
  <si>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</si>
  <si>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</si>
  <si>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</si>
  <si>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</si>
  <si>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</si>
  <si>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</si>
  <si>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</si>
  <si>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</si>
  <si>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</si>
  <si>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</si>
  <si>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</si>
  <si>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</si>
  <si>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</si>
  <si>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</si>
  <si>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</si>
  <si>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</si>
  <si>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</si>
  <si>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</si>
  <si>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</si>
  <si>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</si>
  <si>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</si>
  <si>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</si>
  <si>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</si>
  <si>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</si>
  <si>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</si>
  <si>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</si>
  <si>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</si>
  <si>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</si>
  <si>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</si>
  <si>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</si>
  <si>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</si>
  <si>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</si>
  <si>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</si>
  <si>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</si>
  <si>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</si>
  <si>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</si>
  <si>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</si>
  <si>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</si>
  <si>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</si>
  <si>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</si>
  <si>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</si>
  <si>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</si>
  <si>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</si>
  <si>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</si>
  <si>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</si>
  <si>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</si>
  <si>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</si>
  <si>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</si>
  <si>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</si>
  <si>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</si>
  <si>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</si>
  <si>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</si>
  <si>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</si>
  <si>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</si>
  <si>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</si>
  <si>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</si>
  <si>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</si>
  <si>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</si>
  <si>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</si>
  <si>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</si>
  <si>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</si>
  <si>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</si>
  <si>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</si>
  <si>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</si>
  <si>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</si>
  <si>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</si>
  <si>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</si>
  <si>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</si>
  <si>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</si>
  <si>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</si>
  <si>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</si>
  <si>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</si>
  <si>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</si>
  <si>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</si>
  <si>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</si>
  <si>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</si>
  <si>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</si>
  <si>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</si>
  <si>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</si>
  <si>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</si>
  <si>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</si>
  <si>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</si>
  <si>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</si>
  <si>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</si>
  <si>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</si>
  <si>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</si>
  <si>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</si>
  <si>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</si>
  <si>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</si>
  <si>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</si>
  <si>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</si>
  <si>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</si>
  <si>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</si>
  <si>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</si>
  <si>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</si>
  <si>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</si>
  <si>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</si>
  <si>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</si>
  <si>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</si>
  <si>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</si>
  <si>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</si>
  <si>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</si>
  <si>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</si>
  <si>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</si>
  <si>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</si>
  <si>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</si>
  <si>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</si>
  <si>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</si>
  <si>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</si>
  <si>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</si>
  <si>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</si>
  <si>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</si>
  <si>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</si>
  <si>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</si>
  <si>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</si>
  <si>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</si>
  <si>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</si>
  <si>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</si>
  <si>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</si>
  <si>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</si>
  <si>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</si>
  <si>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</si>
  <si>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</si>
  <si>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</si>
  <si>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</si>
  <si>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</si>
  <si>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</si>
  <si>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</si>
  <si>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</si>
  <si>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</si>
  <si>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</si>
  <si>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</si>
  <si>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</si>
  <si>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</si>
  <si>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</si>
  <si>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</si>
  <si>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</si>
  <si>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</si>
  <si>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</si>
  <si>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</si>
  <si>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</si>
  <si>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</si>
  <si>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</si>
  <si>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</si>
  <si>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</si>
  <si>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</si>
  <si>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</si>
  <si>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</si>
  <si>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</si>
  <si>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</si>
  <si>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</si>
  <si>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</si>
  <si>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</si>
  <si>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</si>
  <si>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</si>
  <si>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</si>
  <si>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</si>
  <si>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</si>
  <si>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</si>
  <si>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</si>
  <si>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</si>
  <si>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</si>
  <si>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</si>
  <si>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</si>
  <si>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</si>
  <si>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</si>
  <si>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</si>
  <si>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</si>
  <si>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</si>
  <si>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</si>
  <si>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</si>
  <si>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</si>
  <si>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</si>
  <si>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</si>
  <si>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</si>
  <si>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</si>
  <si>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</si>
  <si>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</si>
  <si>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</si>
  <si>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</si>
  <si>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</si>
  <si>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</si>
  <si>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</si>
  <si>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</si>
  <si>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</si>
  <si>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</si>
  <si>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</si>
  <si>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</si>
  <si>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</si>
  <si>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</si>
  <si>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</si>
  <si>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</si>
  <si>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</si>
  <si>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</si>
  <si>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</si>
  <si>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</si>
  <si>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</si>
  <si>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</si>
  <si>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</si>
  <si>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</si>
  <si>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</si>
  <si>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</si>
  <si>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</si>
  <si>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</si>
  <si>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</si>
  <si>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</si>
  <si>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</si>
  <si>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</si>
  <si>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</si>
  <si>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</si>
  <si>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</si>
  <si>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</si>
  <si>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</si>
  <si>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</si>
  <si>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</si>
  <si>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</si>
  <si>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</si>
  <si>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</si>
  <si>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</si>
  <si>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</si>
  <si>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</si>
  <si>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</si>
  <si>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</si>
  <si>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</si>
  <si>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</si>
  <si>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</si>
  <si>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</si>
  <si>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</si>
  <si>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</si>
  <si>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</si>
  <si>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</si>
  <si>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</si>
  <si>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</si>
  <si>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</si>
  <si>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</si>
  <si>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</si>
  <si>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</si>
  <si>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</si>
  <si>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</si>
  <si>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</si>
  <si>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</si>
  <si>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</si>
  <si>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</si>
  <si>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</si>
  <si>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</si>
  <si>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</si>
  <si>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</si>
  <si>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</si>
  <si>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</si>
  <si>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</si>
  <si>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</si>
  <si>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</si>
  <si>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</si>
  <si>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</si>
  <si>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</si>
  <si>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</si>
  <si>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</si>
  <si>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</si>
  <si>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</si>
  <si>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</si>
  <si>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</si>
  <si>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</si>
  <si>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</si>
  <si>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</si>
  <si>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</si>
  <si>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</si>
  <si>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</si>
  <si>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</si>
  <si>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</si>
  <si>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</si>
  <si>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</si>
  <si>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</si>
  <si>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</si>
  <si>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</si>
  <si>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</si>
  <si>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</si>
  <si>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</si>
  <si>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</si>
  <si>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</si>
  <si>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</si>
  <si>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</si>
  <si>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</si>
  <si>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</si>
  <si>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</si>
  <si>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</si>
  <si>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</si>
  <si>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</si>
  <si>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</si>
  <si>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</si>
  <si>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</si>
  <si>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</si>
  <si>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</si>
  <si>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</si>
  <si>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</si>
  <si>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</si>
  <si>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</si>
  <si>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</si>
  <si>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</si>
  <si>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</si>
  <si>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</si>
  <si>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</si>
  <si>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</si>
  <si>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</si>
  <si>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</si>
  <si>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</si>
  <si>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</si>
  <si>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</si>
  <si>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</si>
  <si>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</si>
  <si>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</si>
  <si>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</si>
  <si>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</si>
  <si>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</si>
  <si>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</si>
  <si>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</si>
  <si>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</si>
  <si>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</si>
  <si>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</si>
  <si>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</si>
  <si>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</si>
  <si>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</si>
  <si>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</si>
  <si>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</si>
  <si>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</si>
  <si>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</si>
  <si>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</si>
  <si>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</si>
  <si>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</si>
  <si>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</si>
  <si>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</si>
  <si>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</si>
  <si>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</si>
  <si>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</si>
  <si>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</si>
  <si>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</si>
  <si>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</si>
  <si>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</si>
  <si>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</si>
  <si>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</si>
  <si>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</si>
  <si>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</si>
  <si>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</si>
  <si>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</si>
  <si>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</si>
  <si>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</si>
  <si>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</si>
  <si>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</si>
  <si>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</si>
  <si>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</si>
  <si>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</si>
  <si>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</si>
  <si>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</si>
  <si>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</si>
  <si>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</si>
  <si>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</si>
  <si>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</si>
  <si>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</si>
  <si>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</si>
  <si>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</si>
  <si>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</si>
  <si>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</si>
  <si>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</si>
  <si>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</si>
  <si>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</si>
  <si>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</si>
  <si>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</si>
  <si>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</si>
  <si>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</si>
  <si>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</si>
  <si>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</si>
  <si>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</si>
  <si>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</si>
  <si>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</si>
  <si>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</si>
  <si>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</si>
  <si>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</si>
  <si>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</si>
  <si>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</si>
  <si>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</si>
  <si>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</si>
  <si>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</si>
  <si>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</si>
  <si>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</si>
  <si>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</si>
  <si>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</si>
  <si>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</si>
  <si>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</si>
  <si>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</si>
  <si>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</si>
  <si>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</si>
  <si>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</si>
  <si>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</si>
  <si>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</si>
  <si>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</si>
  <si>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</si>
  <si>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</si>
  <si>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</si>
  <si>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</si>
  <si>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</si>
  <si>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</si>
  <si>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</si>
  <si>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</si>
  <si>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</si>
  <si>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</si>
  <si>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</si>
  <si>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</si>
  <si>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</si>
  <si>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</si>
  <si>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</si>
  <si>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</si>
  <si>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</si>
  <si>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</si>
  <si>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</si>
  <si>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</si>
  <si>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</si>
  <si>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</si>
  <si>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</si>
  <si>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</si>
  <si>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</si>
  <si>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</si>
  <si>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</si>
  <si>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</si>
  <si>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</si>
  <si>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</si>
  <si>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</si>
  <si>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</si>
  <si>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HCD AHSC, SHRA PLHA Loan</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</si>
  <si>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</si>
  <si>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</si>
  <si>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</si>
  <si>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</si>
  <si>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</si>
  <si>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</si>
  <si>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</si>
  <si>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</si>
  <si>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</si>
  <si>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</si>
  <si>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</si>
  <si>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</si>
  <si>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</si>
  <si>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</si>
  <si>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</si>
  <si>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</si>
  <si>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</si>
  <si>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</si>
  <si>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</si>
  <si>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</si>
  <si>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</si>
  <si>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</si>
  <si>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</si>
  <si>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</si>
  <si>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</si>
  <si>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</si>
  <si>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</si>
  <si>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</si>
  <si>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</si>
  <si>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</si>
  <si>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</si>
  <si>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</si>
  <si>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</si>
  <si>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</si>
  <si>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</si>
  <si>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</si>
  <si>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</si>
  <si>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</si>
  <si>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</si>
  <si>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</si>
  <si>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</si>
  <si>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</si>
  <si>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</si>
  <si>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</si>
  <si>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</si>
  <si>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</si>
  <si>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</si>
  <si>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</si>
  <si>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</si>
  <si>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</si>
  <si>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</si>
  <si>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</si>
  <si>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</si>
  <si>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</si>
  <si>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</si>
  <si>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</si>
  <si>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</si>
  <si>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</si>
  <si>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</si>
  <si>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AHSC Annual Soft Loan Payment</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</si>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</sst>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0">
    <xf numFmtId="0" fontId="0" fillId="0" borderId="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80" fillId="36" borderId="18" applyNumberFormat="0" applyAlignment="0" applyProtection="0"/>
    <xf numFmtId="0" fontId="80" fillId="36" borderId="18" applyNumberFormat="0" applyAlignment="0" applyProtection="0"/>
    <xf numFmtId="0" fontId="81" fillId="37" borderId="19"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4" fillId="0" borderId="0" applyFont="0" applyFill="0" applyBorder="0" applyAlignment="0" applyProtection="0"/>
    <xf numFmtId="43" fontId="28" fillId="0" borderId="0" applyFont="0" applyFill="0" applyBorder="0" applyAlignment="0" applyProtection="0"/>
    <xf numFmtId="43"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44" fontId="6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8" fillId="0" borderId="0" applyFont="0" applyFill="0" applyBorder="0" applyAlignment="0" applyProtection="0"/>
    <xf numFmtId="44" fontId="28" fillId="0" borderId="0" applyFont="0" applyFill="0" applyBorder="0" applyAlignment="0" applyProtection="0"/>
    <xf numFmtId="0" fontId="82" fillId="0" borderId="0" applyNumberFormat="0" applyFill="0" applyBorder="0" applyAlignment="0" applyProtection="0"/>
    <xf numFmtId="0" fontId="83" fillId="38"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88" fillId="0" borderId="23" applyNumberFormat="0" applyFill="0" applyAlignment="0" applyProtection="0"/>
    <xf numFmtId="0" fontId="89" fillId="40" borderId="0" applyNumberFormat="0" applyBorder="0" applyAlignment="0" applyProtection="0"/>
    <xf numFmtId="0" fontId="90" fillId="0" borderId="0"/>
    <xf numFmtId="0" fontId="54" fillId="0" borderId="0"/>
    <xf numFmtId="0" fontId="90" fillId="0" borderId="0"/>
    <xf numFmtId="0" fontId="54" fillId="0" borderId="0"/>
    <xf numFmtId="0" fontId="54"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4" fillId="0" borderId="0"/>
    <xf numFmtId="169" fontId="55" fillId="0" borderId="0"/>
    <xf numFmtId="0" fontId="77" fillId="0" borderId="0"/>
    <xf numFmtId="0" fontId="28" fillId="0" borderId="0"/>
    <xf numFmtId="0" fontId="28" fillId="0" borderId="0"/>
    <xf numFmtId="0" fontId="60" fillId="0" borderId="0"/>
    <xf numFmtId="0" fontId="54" fillId="0" borderId="0"/>
    <xf numFmtId="0" fontId="60" fillId="0" borderId="0"/>
    <xf numFmtId="0" fontId="54" fillId="0" borderId="0"/>
    <xf numFmtId="0" fontId="65" fillId="0" borderId="0"/>
    <xf numFmtId="0" fontId="54"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77" fillId="0" borderId="0"/>
    <xf numFmtId="0" fontId="77" fillId="0" borderId="0"/>
    <xf numFmtId="0" fontId="77" fillId="0" borderId="0"/>
    <xf numFmtId="0" fontId="77" fillId="0" borderId="0"/>
    <xf numFmtId="0" fontId="65" fillId="0" borderId="0"/>
    <xf numFmtId="0" fontId="54" fillId="0" borderId="0">
      <alignment vertical="top"/>
    </xf>
    <xf numFmtId="0" fontId="77" fillId="0" borderId="0"/>
    <xf numFmtId="0" fontId="77" fillId="0" borderId="0"/>
    <xf numFmtId="0" fontId="77" fillId="0" borderId="0"/>
    <xf numFmtId="0" fontId="77" fillId="0" borderId="0"/>
    <xf numFmtId="0" fontId="65" fillId="0" borderId="0"/>
    <xf numFmtId="0" fontId="28" fillId="0" borderId="0"/>
    <xf numFmtId="0" fontId="77" fillId="0" borderId="0"/>
    <xf numFmtId="0" fontId="28" fillId="0" borderId="0"/>
    <xf numFmtId="0" fontId="77" fillId="0" borderId="0"/>
    <xf numFmtId="0" fontId="77" fillId="0" borderId="0"/>
    <xf numFmtId="0" fontId="77" fillId="0" borderId="0"/>
    <xf numFmtId="0" fontId="77"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77" fillId="0" borderId="0"/>
    <xf numFmtId="0" fontId="60"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54" fillId="0" borderId="0">
      <alignment vertical="top"/>
    </xf>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19" fillId="0" borderId="0" applyProtection="0">
      <protection locked="0"/>
    </xf>
    <xf numFmtId="0" fontId="28" fillId="0" borderId="0" applyProtection="0">
      <protection locked="0"/>
    </xf>
    <xf numFmtId="0" fontId="28" fillId="0" borderId="0" applyProtection="0">
      <protection locked="0"/>
    </xf>
    <xf numFmtId="0" fontId="55" fillId="0" borderId="0"/>
    <xf numFmtId="0" fontId="19" fillId="0" borderId="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92" fillId="36" borderId="25" applyNumberFormat="0" applyAlignment="0" applyProtection="0"/>
    <xf numFmtId="0" fontId="92" fillId="36" borderId="25" applyNumberFormat="0" applyAlignment="0" applyProtection="0"/>
    <xf numFmtId="0" fontId="24"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10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9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12" fillId="0" borderId="0" applyFont="0" applyFill="0" applyBorder="0" applyAlignment="0" applyProtection="0"/>
    <xf numFmtId="0" fontId="11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3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4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54" fillId="0" borderId="0">
      <alignment vertical="top"/>
    </xf>
    <xf numFmtId="0" fontId="54" fillId="0" borderId="0">
      <alignment vertical="top"/>
    </xf>
    <xf numFmtId="0" fontId="2" fillId="0" borderId="0"/>
    <xf numFmtId="0" fontId="2" fillId="0" borderId="0"/>
    <xf numFmtId="0" fontId="54" fillId="0" borderId="0">
      <alignment vertical="top"/>
    </xf>
    <xf numFmtId="0" fontId="180" fillId="0" borderId="0">
      <alignment vertical="top"/>
    </xf>
    <xf numFmtId="0" fontId="54" fillId="0" borderId="0">
      <alignment vertical="top"/>
    </xf>
    <xf numFmtId="0" fontId="54" fillId="0" borderId="0">
      <alignment vertical="top"/>
    </xf>
    <xf numFmtId="0" fontId="18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6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54" fillId="0" borderId="0">
      <alignment vertical="top"/>
    </xf>
    <xf numFmtId="0" fontId="54" fillId="0" borderId="0">
      <alignment vertical="top"/>
    </xf>
    <xf numFmtId="43"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91" fillId="0" borderId="0"/>
    <xf numFmtId="0" fontId="69" fillId="41" borderId="24" applyNumberFormat="0" applyFont="0" applyAlignment="0" applyProtection="0"/>
    <xf numFmtId="0" fontId="6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8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15">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49" fontId="19" fillId="0" borderId="0" xfId="543" applyNumberFormat="1"/>
    <xf numFmtId="0" fontId="19" fillId="0" borderId="8" xfId="543" applyBorder="1"/>
    <xf numFmtId="0" fontId="19" fillId="0" borderId="9" xfId="543" applyBorder="1"/>
    <xf numFmtId="0" fontId="19" fillId="0" borderId="10" xfId="543" applyBorder="1"/>
    <xf numFmtId="0" fontId="19" fillId="0" borderId="1" xfId="543" applyBorder="1"/>
    <xf numFmtId="0" fontId="19" fillId="0" borderId="12" xfId="543" applyBorder="1"/>
    <xf numFmtId="0" fontId="19" fillId="0" borderId="2" xfId="543" applyBorder="1"/>
    <xf numFmtId="0" fontId="19" fillId="0" borderId="7" xfId="543" applyBorder="1"/>
    <xf numFmtId="0" fontId="19" fillId="0" borderId="0" xfId="543" applyAlignment="1">
      <alignment horizontal="center"/>
    </xf>
    <xf numFmtId="0" fontId="27" fillId="0" borderId="6" xfId="543" applyFont="1" applyBorder="1" applyAlignment="1">
      <alignment vertical="top" wrapText="1"/>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3"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19" fillId="0" borderId="0" xfId="0" applyFont="1" applyAlignment="1">
      <alignment horizontal="left"/>
    </xf>
    <xf numFmtId="0" fontId="19" fillId="0" borderId="0" xfId="0" applyFont="1" applyAlignment="1">
      <alignment vertical="top"/>
    </xf>
    <xf numFmtId="0" fontId="42"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44" fillId="0" borderId="0" xfId="0" applyFont="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0" borderId="11" xfId="0" applyFont="1" applyBorder="1" applyAlignment="1">
      <alignment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0" fontId="49" fillId="2" borderId="11" xfId="0" applyFont="1" applyFill="1" applyBorder="1" applyAlignment="1">
      <alignment vertical="top" wrapText="1"/>
    </xf>
    <xf numFmtId="0" fontId="49" fillId="0" borderId="11" xfId="0" applyFont="1" applyBorder="1" applyAlignment="1">
      <alignment vertical="top" wrapText="1"/>
    </xf>
    <xf numFmtId="0" fontId="22" fillId="0" borderId="11" xfId="0" applyFont="1" applyBorder="1" applyAlignment="1">
      <alignment horizontal="right" vertical="top" wrapText="1"/>
    </xf>
    <xf numFmtId="0" fontId="49" fillId="0" borderId="0" xfId="0" applyFont="1" applyAlignment="1">
      <alignment horizontal="left" vertical="top"/>
    </xf>
    <xf numFmtId="0" fontId="51" fillId="0" borderId="0" xfId="0" applyFont="1" applyAlignment="1">
      <alignment vertical="top" wrapText="1"/>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0" fontId="19"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46" fillId="0" borderId="0" xfId="0" applyFont="1" applyAlignment="1">
      <alignment horizontal="center"/>
    </xf>
    <xf numFmtId="0" fontId="48" fillId="0" borderId="3" xfId="0" applyFont="1" applyBorder="1"/>
    <xf numFmtId="168" fontId="0" fillId="0" borderId="0" xfId="0" applyNumberFormat="1" applyAlignment="1">
      <alignment horizontal="center"/>
    </xf>
    <xf numFmtId="0" fontId="49" fillId="0" borderId="4" xfId="0" applyFont="1" applyBorder="1" applyAlignment="1">
      <alignment horizontal="right"/>
    </xf>
    <xf numFmtId="0" fontId="54" fillId="0" borderId="0" xfId="0" applyFont="1"/>
    <xf numFmtId="168" fontId="19" fillId="0" borderId="0" xfId="0" applyNumberFormat="1" applyFont="1" applyAlignment="1">
      <alignment horizontal="left" vertical="top"/>
    </xf>
    <xf numFmtId="0" fontId="51" fillId="0" borderId="0" xfId="0" applyFont="1" applyAlignment="1">
      <alignment horizontal="right" vertical="top" wrapText="1"/>
    </xf>
    <xf numFmtId="0" fontId="51" fillId="0" borderId="14" xfId="0" applyFont="1" applyBorder="1" applyAlignment="1">
      <alignment vertical="top" wrapText="1"/>
    </xf>
    <xf numFmtId="0" fontId="51" fillId="0" borderId="11" xfId="0" applyFont="1" applyBorder="1" applyAlignment="1" applyProtection="1">
      <alignment vertical="top"/>
      <protection locked="0"/>
    </xf>
    <xf numFmtId="0" fontId="26" fillId="0" borderId="0" xfId="542" applyFont="1" applyProtection="1">
      <protection locked="0"/>
    </xf>
    <xf numFmtId="0" fontId="19" fillId="0" borderId="0" xfId="539" applyProtection="1"/>
    <xf numFmtId="0" fontId="26" fillId="0" borderId="0" xfId="543" applyFont="1"/>
    <xf numFmtId="0" fontId="19" fillId="0" borderId="0" xfId="0" applyFont="1" applyProtection="1">
      <protection locked="0"/>
    </xf>
    <xf numFmtId="0" fontId="57"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24" fillId="0" borderId="0" xfId="0" applyFont="1"/>
    <xf numFmtId="0" fontId="59" fillId="0" borderId="0" xfId="0" applyFont="1"/>
    <xf numFmtId="0" fontId="57" fillId="0" borderId="0" xfId="0" applyFont="1"/>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58" fillId="0" borderId="0" xfId="0" applyFont="1"/>
    <xf numFmtId="168" fontId="24" fillId="0" borderId="0" xfId="0" applyNumberFormat="1" applyFont="1"/>
    <xf numFmtId="10" fontId="24" fillId="0" borderId="0" xfId="0" applyNumberFormat="1" applyFont="1" applyAlignment="1">
      <alignment horizontal="center"/>
    </xf>
    <xf numFmtId="3" fontId="61" fillId="0" borderId="0" xfId="0" applyNumberFormat="1" applyFont="1"/>
    <xf numFmtId="3" fontId="24" fillId="0" borderId="0" xfId="0" applyNumberFormat="1" applyFont="1"/>
    <xf numFmtId="168" fontId="58" fillId="0" borderId="0" xfId="0" applyNumberFormat="1" applyFont="1"/>
    <xf numFmtId="168" fontId="58"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3" fontId="28" fillId="0" borderId="0" xfId="0" applyNumberFormat="1" applyFont="1" applyAlignment="1">
      <alignment vertical="top"/>
    </xf>
    <xf numFmtId="10" fontId="26" fillId="0" borderId="0" xfId="0" applyNumberFormat="1" applyFont="1" applyAlignment="1">
      <alignment horizontal="center"/>
    </xf>
    <xf numFmtId="0" fontId="57" fillId="0" borderId="6" xfId="0" applyFont="1" applyBorder="1" applyAlignment="1">
      <alignment horizontal="center"/>
    </xf>
    <xf numFmtId="0" fontId="28" fillId="0" borderId="4" xfId="271" applyBorder="1"/>
    <xf numFmtId="0" fontId="28"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6" fillId="0" borderId="0" xfId="0" applyNumberFormat="1" applyFont="1" applyAlignment="1">
      <alignment horizontal="center"/>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44"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36"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67" fillId="0" borderId="0" xfId="0" applyFont="1" applyAlignment="1">
      <alignment horizontal="left" vertical="center"/>
    </xf>
    <xf numFmtId="49" fontId="43" fillId="0" borderId="0" xfId="0" applyNumberFormat="1" applyFont="1" applyAlignment="1">
      <alignment horizontal="center"/>
    </xf>
    <xf numFmtId="0" fontId="48" fillId="0" borderId="0" xfId="0" applyFont="1"/>
    <xf numFmtId="5" fontId="71" fillId="0" borderId="11" xfId="541" applyNumberFormat="1" applyFont="1" applyBorder="1" applyAlignment="1" applyProtection="1">
      <alignment horizontal="center"/>
    </xf>
    <xf numFmtId="5" fontId="71" fillId="42"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3" fillId="0" borderId="13" xfId="0" applyFont="1" applyBorder="1" applyAlignment="1">
      <alignment vertical="top" wrapText="1"/>
    </xf>
    <xf numFmtId="0" fontId="33" fillId="0" borderId="0" xfId="0" applyFont="1" applyAlignment="1">
      <alignment vertical="top" wrapText="1"/>
    </xf>
    <xf numFmtId="0" fontId="73" fillId="2" borderId="13" xfId="0" applyFont="1" applyFill="1" applyBorder="1" applyAlignment="1">
      <alignment vertical="top" wrapText="1"/>
    </xf>
    <xf numFmtId="0" fontId="73" fillId="0" borderId="0" xfId="0" applyFont="1" applyAlignment="1">
      <alignment vertical="top" wrapText="1"/>
    </xf>
    <xf numFmtId="0" fontId="73"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26" fillId="0" borderId="0" xfId="0" applyFont="1" applyAlignment="1">
      <alignment horizontal="left" vertical="top" wrapText="1"/>
    </xf>
    <xf numFmtId="0" fontId="57"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97" fillId="0" borderId="0" xfId="0" applyFont="1" applyAlignment="1">
      <alignment horizontal="left" vertical="top"/>
    </xf>
    <xf numFmtId="0" fontId="98" fillId="0" borderId="0" xfId="0" applyFont="1" applyAlignment="1">
      <alignment horizontal="left" vertical="top"/>
    </xf>
    <xf numFmtId="0" fontId="6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56" fillId="8" borderId="11" xfId="542" applyFont="1" applyFill="1" applyBorder="1" applyAlignment="1">
      <alignment horizontal="left"/>
    </xf>
    <xf numFmtId="0" fontId="56"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22"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98"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26" fillId="0" borderId="0" xfId="569" applyFont="1" applyAlignment="1">
      <alignment horizontal="left" vertical="top"/>
    </xf>
    <xf numFmtId="0" fontId="101" fillId="0" borderId="0" xfId="569" applyFont="1" applyAlignment="1">
      <alignment horizontal="left" vertical="top"/>
    </xf>
    <xf numFmtId="0" fontId="57"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48" fillId="0" borderId="0" xfId="569" applyFont="1" applyAlignment="1">
      <alignment horizontal="right" vertical="top" wrapText="1"/>
    </xf>
    <xf numFmtId="0" fontId="26" fillId="0" borderId="0" xfId="569" applyFont="1" applyAlignment="1">
      <alignment horizontal="left" vertical="top" wrapText="1"/>
    </xf>
    <xf numFmtId="168" fontId="48"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73" fillId="0" borderId="0" xfId="569" applyFont="1" applyAlignment="1">
      <alignment vertical="top" wrapText="1"/>
    </xf>
    <xf numFmtId="0" fontId="73" fillId="0" borderId="12" xfId="569" applyFont="1" applyBorder="1" applyAlignment="1">
      <alignment vertical="top" wrapText="1"/>
    </xf>
    <xf numFmtId="0" fontId="73" fillId="0" borderId="8" xfId="569" applyFont="1" applyBorder="1" applyAlignment="1">
      <alignment vertical="top" wrapText="1"/>
    </xf>
    <xf numFmtId="0" fontId="33" fillId="0" borderId="0" xfId="569" applyFont="1" applyAlignment="1">
      <alignment horizontal="right" vertical="top" wrapText="1"/>
    </xf>
    <xf numFmtId="0" fontId="73"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38"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9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58" fillId="0" borderId="0" xfId="271" applyFont="1" applyAlignment="1">
      <alignment horizontal="left"/>
    </xf>
    <xf numFmtId="0" fontId="58" fillId="0" borderId="0" xfId="271" applyFont="1" applyAlignment="1">
      <alignment horizontal="right"/>
    </xf>
    <xf numFmtId="168" fontId="24" fillId="0" borderId="11" xfId="271" applyNumberFormat="1" applyFont="1" applyBorder="1"/>
    <xf numFmtId="168" fontId="24" fillId="0" borderId="0" xfId="271" applyNumberFormat="1" applyFont="1"/>
    <xf numFmtId="0" fontId="48" fillId="0" borderId="0" xfId="569" applyFont="1" applyAlignment="1">
      <alignment horizontal="left"/>
    </xf>
    <xf numFmtId="0" fontId="19" fillId="0" borderId="3" xfId="569" applyBorder="1"/>
    <xf numFmtId="0" fontId="100" fillId="0" borderId="0" xfId="1834"/>
    <xf numFmtId="0" fontId="0" fillId="0" borderId="0" xfId="0" applyAlignment="1">
      <alignment horizontal="left" vertical="top"/>
    </xf>
    <xf numFmtId="0" fontId="99" fillId="0" borderId="0" xfId="0" applyFont="1" applyAlignment="1">
      <alignment vertical="top" wrapText="1"/>
    </xf>
    <xf numFmtId="0" fontId="48"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2" fillId="0" borderId="0" xfId="1192" applyFont="1"/>
    <xf numFmtId="0" fontId="48" fillId="0" borderId="11" xfId="0" applyFont="1" applyBorder="1" applyAlignment="1">
      <alignment horizontal="right" vertical="center"/>
    </xf>
    <xf numFmtId="0" fontId="19"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49" fillId="0" borderId="0" xfId="569" applyNumberFormat="1" applyFont="1" applyAlignment="1">
      <alignment horizontal="right" vertical="top"/>
    </xf>
    <xf numFmtId="0" fontId="19" fillId="0" borderId="0" xfId="0" applyFont="1" applyAlignment="1">
      <alignment vertical="top" wrapText="1"/>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46"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46"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44" fillId="0" borderId="0" xfId="569" applyFont="1" applyAlignment="1">
      <alignment horizontal="left"/>
    </xf>
    <xf numFmtId="4" fontId="46"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3" fillId="0" borderId="0" xfId="569" applyFont="1" applyAlignment="1">
      <alignment horizontal="left"/>
    </xf>
    <xf numFmtId="0" fontId="20"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0" fontId="19" fillId="0" borderId="11" xfId="271" applyFont="1" applyBorder="1" applyAlignment="1">
      <alignment horizontal="right" vertical="top" wrapText="1"/>
    </xf>
    <xf numFmtId="0" fontId="27" fillId="0" borderId="0" xfId="569" applyFont="1" applyAlignment="1">
      <alignment horizontal="left"/>
    </xf>
    <xf numFmtId="0" fontId="97" fillId="0" borderId="0" xfId="0" applyFont="1"/>
    <xf numFmtId="0" fontId="108" fillId="0" borderId="0" xfId="0" applyFont="1" applyAlignment="1">
      <alignment horizontal="left" vertical="top"/>
    </xf>
    <xf numFmtId="0" fontId="109" fillId="0" borderId="0" xfId="0" applyFont="1" applyAlignment="1">
      <alignment horizontal="left" vertical="top"/>
    </xf>
    <xf numFmtId="168" fontId="27"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9" fillId="0" borderId="0" xfId="271" applyFont="1" applyAlignment="1">
      <alignment horizontal="left" vertical="top"/>
    </xf>
    <xf numFmtId="0" fontId="48"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53" fillId="0" borderId="0" xfId="569" applyFont="1"/>
    <xf numFmtId="0" fontId="38" fillId="0" borderId="0" xfId="569" applyFont="1"/>
    <xf numFmtId="0" fontId="19" fillId="0" borderId="0" xfId="1192" applyAlignment="1">
      <alignment vertical="top" wrapText="1"/>
    </xf>
    <xf numFmtId="49" fontId="19" fillId="0" borderId="0" xfId="1192" applyNumberFormat="1" applyAlignment="1">
      <alignment vertical="top" wrapText="1"/>
    </xf>
    <xf numFmtId="0" fontId="50" fillId="0" borderId="9" xfId="543" applyFont="1" applyBorder="1" applyAlignment="1">
      <alignment vertical="top"/>
    </xf>
    <xf numFmtId="0" fontId="19" fillId="0" borderId="0" xfId="0" applyFont="1" applyAlignment="1">
      <alignment vertical="center"/>
    </xf>
    <xf numFmtId="0" fontId="110" fillId="0" borderId="0" xfId="0" applyFont="1"/>
    <xf numFmtId="3" fontId="97" fillId="0" borderId="0" xfId="0" applyNumberFormat="1" applyFont="1"/>
    <xf numFmtId="0" fontId="97" fillId="0" borderId="0" xfId="0" applyFont="1" applyAlignment="1">
      <alignment horizontal="left"/>
    </xf>
    <xf numFmtId="168" fontId="111" fillId="0" borderId="0" xfId="0" applyNumberFormat="1" applyFont="1" applyAlignment="1">
      <alignment horizontal="left" vertical="top"/>
    </xf>
    <xf numFmtId="0" fontId="97" fillId="0" borderId="0" xfId="0" applyFont="1" applyAlignment="1">
      <alignment horizontal="left" vertical="center"/>
    </xf>
    <xf numFmtId="0" fontId="11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3"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0" fontId="19" fillId="0" borderId="0" xfId="4495" applyFont="1" applyAlignment="1">
      <alignment horizontal="left" vertical="center"/>
    </xf>
    <xf numFmtId="0" fontId="115" fillId="0" borderId="0" xfId="4496" applyFont="1" applyAlignment="1">
      <alignment vertical="center"/>
    </xf>
    <xf numFmtId="0" fontId="114" fillId="0" borderId="0" xfId="4496" applyFont="1"/>
    <xf numFmtId="0" fontId="114" fillId="0" borderId="0" xfId="4496" applyFont="1" applyAlignment="1">
      <alignment vertical="center"/>
    </xf>
    <xf numFmtId="0" fontId="11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1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1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14" fillId="0" borderId="53" xfId="4496" applyFont="1" applyBorder="1" applyAlignment="1">
      <alignment vertical="top" wrapText="1"/>
    </xf>
    <xf numFmtId="0" fontId="114" fillId="0" borderId="0" xfId="4496" applyFont="1" applyAlignment="1">
      <alignment vertical="top" wrapText="1"/>
    </xf>
    <xf numFmtId="10" fontId="114" fillId="0" borderId="0" xfId="4496" applyNumberFormat="1" applyFont="1" applyAlignment="1">
      <alignment vertical="top" wrapText="1"/>
    </xf>
    <xf numFmtId="0" fontId="114" fillId="0" borderId="54" xfId="4496" applyFont="1" applyBorder="1" applyAlignment="1">
      <alignment vertical="top" wrapText="1"/>
    </xf>
    <xf numFmtId="0" fontId="114" fillId="0" borderId="0" xfId="4496" applyFont="1" applyAlignment="1">
      <alignment vertical="top"/>
    </xf>
    <xf numFmtId="165" fontId="11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14" fillId="0" borderId="53" xfId="4496" applyFont="1" applyBorder="1" applyAlignment="1">
      <alignment horizontal="left" vertical="top" wrapText="1"/>
    </xf>
    <xf numFmtId="0" fontId="11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48"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48"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1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1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54"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54"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1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1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3" fillId="0" borderId="0" xfId="4495" applyFont="1"/>
    <xf numFmtId="0" fontId="27" fillId="0" borderId="3" xfId="4495" applyFont="1" applyBorder="1" applyAlignment="1">
      <alignment horizontal="center"/>
    </xf>
    <xf numFmtId="0" fontId="112" fillId="0" borderId="8" xfId="4495" applyBorder="1"/>
    <xf numFmtId="0" fontId="26" fillId="0" borderId="8" xfId="4495" applyFont="1" applyBorder="1" applyAlignment="1">
      <alignment vertical="top"/>
    </xf>
    <xf numFmtId="0" fontId="112" fillId="0" borderId="0" xfId="4495" applyAlignment="1">
      <alignment vertical="top"/>
    </xf>
    <xf numFmtId="0" fontId="26" fillId="0" borderId="4" xfId="4495" applyFont="1" applyBorder="1" applyAlignment="1">
      <alignment horizontal="center" vertical="top"/>
    </xf>
    <xf numFmtId="0" fontId="117" fillId="0" borderId="0" xfId="4495" applyFont="1" applyAlignment="1">
      <alignment horizontal="left" vertical="top"/>
    </xf>
    <xf numFmtId="0" fontId="11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21" fillId="0" borderId="0" xfId="4495" applyFont="1" applyAlignment="1">
      <alignment vertical="top" wrapText="1"/>
    </xf>
    <xf numFmtId="0" fontId="12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12" fillId="0" borderId="12" xfId="4495" applyBorder="1"/>
    <xf numFmtId="0" fontId="27" fillId="0" borderId="9" xfId="4495" applyFont="1" applyBorder="1"/>
    <xf numFmtId="0" fontId="112" fillId="0" borderId="10" xfId="4495" applyBorder="1"/>
    <xf numFmtId="0" fontId="35" fillId="0" borderId="3" xfId="4495" applyFont="1" applyBorder="1"/>
    <xf numFmtId="0" fontId="26" fillId="0" borderId="4" xfId="4495" applyFont="1" applyBorder="1"/>
    <xf numFmtId="0" fontId="112" fillId="0" borderId="12" xfId="4495" applyBorder="1" applyAlignment="1">
      <alignment vertical="top"/>
    </xf>
    <xf numFmtId="0" fontId="35" fillId="0" borderId="1" xfId="4495" applyFont="1" applyBorder="1"/>
    <xf numFmtId="0" fontId="121" fillId="0" borderId="2" xfId="4495" applyFont="1" applyBorder="1" applyAlignment="1">
      <alignment horizontal="left" wrapText="1"/>
    </xf>
    <xf numFmtId="0" fontId="121" fillId="0" borderId="2" xfId="4495" applyFont="1" applyBorder="1" applyAlignment="1">
      <alignment horizontal="left"/>
    </xf>
    <xf numFmtId="0" fontId="121" fillId="0" borderId="7" xfId="4495" applyFont="1" applyBorder="1" applyAlignment="1">
      <alignment horizontal="left" wrapText="1"/>
    </xf>
    <xf numFmtId="0" fontId="121" fillId="0" borderId="0" xfId="4495" applyFont="1" applyAlignment="1">
      <alignment horizontal="left" wrapText="1"/>
    </xf>
    <xf numFmtId="0" fontId="35" fillId="0" borderId="9" xfId="4495" applyFont="1" applyBorder="1"/>
    <xf numFmtId="0" fontId="27" fillId="0" borderId="10" xfId="4495" applyFont="1" applyBorder="1"/>
    <xf numFmtId="0" fontId="12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1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12" fillId="0" borderId="61" xfId="4495" applyBorder="1"/>
    <xf numFmtId="0" fontId="11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1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1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20" fillId="0" borderId="0" xfId="4495" applyFont="1"/>
    <xf numFmtId="0" fontId="11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1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48" fillId="0" borderId="0" xfId="4495" applyFont="1" applyAlignment="1">
      <alignment horizontal="left" vertical="top"/>
    </xf>
    <xf numFmtId="0" fontId="27"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99" fillId="0" borderId="0" xfId="4495" applyFont="1"/>
    <xf numFmtId="0" fontId="48"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48" fillId="0" borderId="51" xfId="4495" applyFont="1" applyBorder="1" applyAlignment="1">
      <alignment horizontal="left" vertical="top"/>
    </xf>
    <xf numFmtId="0" fontId="112" fillId="0" borderId="53" xfId="4495" applyBorder="1"/>
    <xf numFmtId="0" fontId="9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1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57" fillId="0" borderId="0" xfId="4495" applyNumberFormat="1" applyFont="1" applyAlignment="1">
      <alignment horizontal="center" vertical="center"/>
    </xf>
    <xf numFmtId="0" fontId="19" fillId="0" borderId="12" xfId="4495" applyFont="1" applyBorder="1" applyAlignment="1">
      <alignment vertical="top"/>
    </xf>
    <xf numFmtId="0" fontId="43"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3"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3" fillId="0" borderId="0" xfId="1192" applyFont="1"/>
    <xf numFmtId="168" fontId="19" fillId="0" borderId="0" xfId="4495" applyNumberFormat="1" applyFont="1"/>
    <xf numFmtId="0" fontId="26" fillId="0" borderId="0" xfId="1192" applyFont="1" applyAlignment="1">
      <alignment vertical="center"/>
    </xf>
    <xf numFmtId="0" fontId="110" fillId="0" borderId="0" xfId="1192" applyFont="1" applyAlignment="1">
      <alignment horizontal="left"/>
    </xf>
    <xf numFmtId="0" fontId="107" fillId="0" borderId="0" xfId="1192" applyFont="1" applyAlignment="1">
      <alignment horizontal="left"/>
    </xf>
    <xf numFmtId="0" fontId="10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49" fillId="0" borderId="4" xfId="4495" applyFont="1" applyBorder="1"/>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14" fillId="0" borderId="0" xfId="4496" applyNumberFormat="1" applyFont="1" applyAlignment="1">
      <alignment horizontal="center" vertical="top" wrapText="1"/>
    </xf>
    <xf numFmtId="168" fontId="114" fillId="0" borderId="0" xfId="4496" applyNumberFormat="1" applyFont="1" applyAlignment="1">
      <alignment vertical="top" wrapText="1"/>
    </xf>
    <xf numFmtId="165" fontId="114" fillId="0" borderId="64" xfId="4496" applyNumberFormat="1" applyFont="1" applyBorder="1" applyAlignment="1">
      <alignment horizontal="center" vertical="top" wrapText="1"/>
    </xf>
    <xf numFmtId="165" fontId="114" fillId="0" borderId="53" xfId="4496" applyNumberFormat="1" applyFont="1" applyBorder="1" applyAlignment="1">
      <alignment horizontal="left" vertical="top"/>
    </xf>
    <xf numFmtId="165" fontId="114" fillId="0" borderId="53" xfId="4496" applyNumberFormat="1" applyFont="1" applyBorder="1" applyAlignment="1">
      <alignment horizontal="center" vertical="top" wrapText="1"/>
    </xf>
    <xf numFmtId="168" fontId="114" fillId="0" borderId="0" xfId="4496" applyNumberFormat="1" applyFont="1" applyAlignment="1">
      <alignment vertical="top"/>
    </xf>
    <xf numFmtId="1" fontId="11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2" fillId="0" borderId="50" xfId="1192" applyFont="1" applyBorder="1" applyAlignment="1">
      <alignment horizontal="left"/>
    </xf>
    <xf numFmtId="0" fontId="133" fillId="0" borderId="51" xfId="4495" applyFont="1" applyBorder="1" applyAlignment="1">
      <alignment vertical="top"/>
    </xf>
    <xf numFmtId="0" fontId="132" fillId="0" borderId="51" xfId="4495" applyFont="1" applyBorder="1" applyAlignment="1">
      <alignment vertical="top" wrapText="1"/>
    </xf>
    <xf numFmtId="0" fontId="133" fillId="0" borderId="51" xfId="4495" applyFont="1" applyBorder="1"/>
    <xf numFmtId="0" fontId="133" fillId="0" borderId="53" xfId="1192" applyFont="1" applyBorder="1" applyAlignment="1">
      <alignment horizontal="left"/>
    </xf>
    <xf numFmtId="0" fontId="133" fillId="0" borderId="0" xfId="4495" applyFont="1" applyAlignment="1">
      <alignment vertical="top"/>
    </xf>
    <xf numFmtId="0" fontId="132" fillId="0" borderId="0" xfId="4495" applyFont="1" applyAlignment="1">
      <alignment vertical="top" wrapText="1"/>
    </xf>
    <xf numFmtId="0" fontId="133" fillId="0" borderId="0" xfId="4495" applyFont="1"/>
    <xf numFmtId="0" fontId="132" fillId="0" borderId="53" xfId="1192" applyFont="1" applyBorder="1" applyAlignment="1">
      <alignment horizontal="left"/>
    </xf>
    <xf numFmtId="0" fontId="132" fillId="0" borderId="57" xfId="1192" applyFont="1" applyBorder="1" applyAlignment="1">
      <alignment horizontal="left"/>
    </xf>
    <xf numFmtId="0" fontId="133" fillId="0" borderId="58" xfId="4495" applyFont="1" applyBorder="1" applyAlignment="1">
      <alignment vertical="top"/>
    </xf>
    <xf numFmtId="0" fontId="132" fillId="0" borderId="58" xfId="4495" applyFont="1" applyBorder="1" applyAlignment="1">
      <alignment vertical="top" wrapText="1"/>
    </xf>
    <xf numFmtId="0" fontId="133" fillId="0" borderId="58" xfId="4495" applyFont="1" applyBorder="1"/>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45"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19" fillId="0" borderId="12" xfId="543" quotePrefix="1" applyBorder="1"/>
    <xf numFmtId="0" fontId="48"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3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3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1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44" fillId="0" borderId="0" xfId="4496" applyFont="1"/>
    <xf numFmtId="168" fontId="48"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46"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3"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3" fillId="0" borderId="0" xfId="1192" applyFont="1" applyAlignment="1">
      <alignment horizontal="left"/>
    </xf>
    <xf numFmtId="0" fontId="46"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14" fillId="0" borderId="0" xfId="4496" applyNumberFormat="1" applyFont="1" applyAlignment="1">
      <alignment horizontal="center" vertical="top" wrapText="1"/>
    </xf>
    <xf numFmtId="10" fontId="114" fillId="0" borderId="64" xfId="4496" applyNumberFormat="1" applyFont="1" applyBorder="1" applyAlignment="1">
      <alignment horizontal="center" vertical="top" wrapText="1"/>
    </xf>
    <xf numFmtId="10" fontId="11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14" fillId="0" borderId="0" xfId="4495" applyFont="1"/>
    <xf numFmtId="10" fontId="114" fillId="0" borderId="0" xfId="4495" applyNumberFormat="1" applyFont="1"/>
    <xf numFmtId="172" fontId="19" fillId="0" borderId="0" xfId="4495" applyNumberFormat="1" applyFont="1"/>
    <xf numFmtId="0" fontId="0" fillId="0" borderId="10" xfId="0" applyBorder="1" applyAlignment="1">
      <alignment horizontal="left"/>
    </xf>
    <xf numFmtId="1" fontId="19" fillId="0" borderId="0" xfId="1192" applyNumberFormat="1" applyAlignment="1">
      <alignment horizontal="center"/>
    </xf>
    <xf numFmtId="0" fontId="112" fillId="0" borderId="63" xfId="4495" applyBorder="1"/>
    <xf numFmtId="0" fontId="48"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4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175" fontId="19" fillId="0" borderId="0" xfId="543" applyNumberFormat="1" applyAlignment="1">
      <alignment vertical="center"/>
    </xf>
    <xf numFmtId="0" fontId="90" fillId="43" borderId="6" xfId="4496" applyFont="1" applyFill="1" applyBorder="1" applyAlignment="1" applyProtection="1">
      <alignment horizontal="center"/>
      <protection locked="0"/>
    </xf>
    <xf numFmtId="0" fontId="90" fillId="0" borderId="0" xfId="4496" applyFont="1"/>
    <xf numFmtId="0" fontId="90" fillId="0" borderId="0" xfId="4496" applyFont="1" applyAlignment="1">
      <alignment wrapText="1"/>
    </xf>
    <xf numFmtId="0" fontId="128" fillId="0" borderId="0" xfId="4496" applyFont="1"/>
    <xf numFmtId="181" fontId="129" fillId="0" borderId="0" xfId="4498" applyNumberFormat="1" applyFont="1" applyBorder="1" applyProtection="1"/>
    <xf numFmtId="0" fontId="130" fillId="0" borderId="0" xfId="4496" applyFont="1" applyAlignment="1">
      <alignment vertical="center" wrapText="1"/>
    </xf>
    <xf numFmtId="49" fontId="90" fillId="0" borderId="0" xfId="4496" applyNumberFormat="1" applyFont="1" applyAlignment="1">
      <alignment horizontal="center"/>
    </xf>
    <xf numFmtId="182" fontId="90" fillId="0" borderId="6" xfId="4496" applyNumberFormat="1" applyFont="1" applyBorder="1"/>
    <xf numFmtId="0" fontId="90" fillId="0" borderId="0" xfId="4496" applyFont="1" applyAlignment="1">
      <alignment vertical="center"/>
    </xf>
    <xf numFmtId="182" fontId="90" fillId="0" borderId="0" xfId="4496" applyNumberFormat="1" applyFont="1" applyAlignment="1">
      <alignment vertical="center"/>
    </xf>
    <xf numFmtId="175" fontId="90" fillId="0" borderId="0" xfId="4499" applyNumberFormat="1" applyFont="1" applyFill="1" applyBorder="1" applyAlignment="1" applyProtection="1">
      <alignment horizontal="left" vertical="center"/>
    </xf>
    <xf numFmtId="9" fontId="90" fillId="0" borderId="0" xfId="4499" applyFont="1" applyFill="1" applyBorder="1" applyAlignment="1" applyProtection="1">
      <alignment vertical="center"/>
    </xf>
    <xf numFmtId="183" fontId="90" fillId="0" borderId="0" xfId="4496" applyNumberFormat="1" applyFont="1" applyAlignment="1">
      <alignment vertical="center" wrapText="1"/>
    </xf>
    <xf numFmtId="9" fontId="90" fillId="0" borderId="0" xfId="4499" applyFont="1" applyBorder="1" applyAlignment="1" applyProtection="1">
      <alignment vertical="center"/>
    </xf>
    <xf numFmtId="164" fontId="90" fillId="0" borderId="0" xfId="4496" applyNumberFormat="1" applyFont="1" applyAlignment="1">
      <alignment vertical="center" wrapText="1"/>
    </xf>
    <xf numFmtId="0" fontId="90" fillId="0" borderId="0" xfId="4496" applyFont="1" applyAlignment="1">
      <alignment horizontal="center" vertical="center"/>
    </xf>
    <xf numFmtId="182" fontId="90" fillId="0" borderId="11" xfId="8721" applyNumberFormat="1" applyFont="1" applyBorder="1" applyProtection="1"/>
    <xf numFmtId="182" fontId="90" fillId="0" borderId="11" xfId="4496" applyNumberFormat="1" applyFont="1" applyBorder="1"/>
    <xf numFmtId="164" fontId="90" fillId="0" borderId="0" xfId="4496" applyNumberFormat="1" applyFont="1" applyAlignment="1">
      <alignment wrapText="1"/>
    </xf>
    <xf numFmtId="49" fontId="90" fillId="0" borderId="0" xfId="4496" applyNumberFormat="1" applyFont="1" applyAlignment="1">
      <alignment horizontal="left"/>
    </xf>
    <xf numFmtId="0" fontId="131" fillId="0" borderId="0" xfId="4496" applyFont="1"/>
    <xf numFmtId="9" fontId="90" fillId="0" borderId="11" xfId="4494" applyFont="1" applyFill="1" applyBorder="1" applyAlignment="1" applyProtection="1">
      <alignment horizontal="right"/>
    </xf>
    <xf numFmtId="1" fontId="90" fillId="0" borderId="0" xfId="4496" applyNumberFormat="1" applyFont="1"/>
    <xf numFmtId="0" fontId="128" fillId="45" borderId="3" xfId="4496" applyFont="1" applyFill="1" applyBorder="1" applyAlignment="1">
      <alignment horizontal="left" indent="1"/>
    </xf>
    <xf numFmtId="0" fontId="90" fillId="45" borderId="4" xfId="4496" applyFont="1" applyFill="1" applyBorder="1"/>
    <xf numFmtId="2" fontId="90" fillId="45" borderId="5" xfId="4496" applyNumberFormat="1" applyFont="1" applyFill="1" applyBorder="1"/>
    <xf numFmtId="181" fontId="90" fillId="0" borderId="0" xfId="4496" applyNumberFormat="1" applyFont="1"/>
    <xf numFmtId="165" fontId="129" fillId="0" borderId="0" xfId="4499" applyNumberFormat="1" applyFont="1" applyFill="1" applyBorder="1" applyProtection="1"/>
    <xf numFmtId="9" fontId="90" fillId="0" borderId="0" xfId="4494" applyFont="1" applyFill="1" applyProtection="1"/>
    <xf numFmtId="0" fontId="90" fillId="0" borderId="11" xfId="4496" applyFont="1" applyBorder="1" applyAlignment="1">
      <alignment horizontal="center"/>
    </xf>
    <xf numFmtId="2" fontId="90" fillId="0" borderId="11" xfId="4496" applyNumberFormat="1" applyFont="1" applyBorder="1" applyAlignment="1">
      <alignment horizontal="center"/>
    </xf>
    <xf numFmtId="0" fontId="90" fillId="0" borderId="0" xfId="4496" applyFont="1" applyAlignment="1">
      <alignment vertical="top" wrapText="1"/>
    </xf>
    <xf numFmtId="0" fontId="90" fillId="0" borderId="11" xfId="4496" applyFont="1" applyBorder="1" applyAlignment="1">
      <alignment horizontal="center" vertical="top" wrapText="1"/>
    </xf>
    <xf numFmtId="182" fontId="90" fillId="0" borderId="0" xfId="8721" applyNumberFormat="1" applyFont="1" applyBorder="1" applyProtection="1"/>
    <xf numFmtId="0" fontId="90" fillId="0" borderId="0" xfId="4496" applyFont="1" applyAlignment="1">
      <alignment horizontal="left" indent="1"/>
    </xf>
    <xf numFmtId="182" fontId="90" fillId="0" borderId="0" xfId="4496" applyNumberFormat="1" applyFont="1"/>
    <xf numFmtId="184" fontId="90" fillId="0" borderId="0" xfId="4496" applyNumberFormat="1" applyFont="1"/>
    <xf numFmtId="0" fontId="90" fillId="0" borderId="0" xfId="4496" applyFont="1" applyAlignment="1">
      <alignment horizontal="left"/>
    </xf>
    <xf numFmtId="0" fontId="9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90" fillId="0" borderId="0" xfId="4496" applyFont="1" applyAlignment="1">
      <alignment horizontal="right"/>
    </xf>
    <xf numFmtId="0" fontId="90" fillId="0" borderId="15" xfId="4496" applyFont="1" applyBorder="1" applyAlignment="1">
      <alignment horizontal="center" vertical="top" wrapText="1"/>
    </xf>
    <xf numFmtId="2" fontId="90" fillId="0" borderId="15" xfId="4496" applyNumberFormat="1" applyFont="1" applyBorder="1" applyAlignment="1">
      <alignment horizontal="center"/>
    </xf>
    <xf numFmtId="0" fontId="90" fillId="0" borderId="15" xfId="4496" applyFont="1" applyBorder="1" applyAlignment="1">
      <alignment horizontal="center"/>
    </xf>
    <xf numFmtId="0" fontId="128" fillId="0" borderId="68" xfId="4496" applyFont="1" applyBorder="1" applyAlignment="1">
      <alignment horizontal="center" vertical="top" wrapText="1"/>
    </xf>
    <xf numFmtId="0" fontId="128" fillId="0" borderId="68" xfId="4496" applyFont="1" applyBorder="1" applyAlignment="1">
      <alignment horizontal="center"/>
    </xf>
    <xf numFmtId="0" fontId="142" fillId="0" borderId="0" xfId="4496" applyFont="1" applyAlignment="1">
      <alignment horizontal="right" vertical="center"/>
    </xf>
    <xf numFmtId="175" fontId="90" fillId="0" borderId="0" xfId="4499" applyNumberFormat="1" applyFont="1" applyFill="1" applyBorder="1" applyAlignment="1" applyProtection="1">
      <alignment horizontal="right" vertical="center"/>
    </xf>
    <xf numFmtId="0" fontId="90" fillId="0" borderId="66" xfId="4496" applyFont="1" applyBorder="1" applyAlignment="1">
      <alignment vertical="center"/>
    </xf>
    <xf numFmtId="0" fontId="90" fillId="0" borderId="41" xfId="4496" applyFont="1" applyBorder="1" applyAlignment="1">
      <alignment vertical="center"/>
    </xf>
    <xf numFmtId="182" fontId="90" fillId="0" borderId="73" xfId="4496" applyNumberFormat="1" applyFont="1" applyBorder="1" applyAlignment="1">
      <alignment vertical="center"/>
    </xf>
    <xf numFmtId="175" fontId="90" fillId="0" borderId="42" xfId="4499" applyNumberFormat="1" applyFont="1" applyFill="1" applyBorder="1" applyAlignment="1" applyProtection="1">
      <alignment horizontal="left" vertical="center"/>
    </xf>
    <xf numFmtId="0" fontId="90" fillId="0" borderId="42" xfId="4496" applyFont="1" applyBorder="1" applyAlignment="1">
      <alignment vertical="center"/>
    </xf>
    <xf numFmtId="0" fontId="90" fillId="0" borderId="44" xfId="4496" applyFont="1" applyBorder="1" applyAlignment="1">
      <alignment vertical="center"/>
    </xf>
    <xf numFmtId="49" fontId="90" fillId="0" borderId="0" xfId="4496" applyNumberFormat="1" applyFont="1" applyAlignment="1">
      <alignment horizontal="center" vertical="center"/>
    </xf>
    <xf numFmtId="0" fontId="90" fillId="0" borderId="65" xfId="4496" applyFont="1" applyBorder="1" applyAlignment="1">
      <alignment vertical="center"/>
    </xf>
    <xf numFmtId="0" fontId="90" fillId="0" borderId="29" xfId="4496" applyFont="1" applyBorder="1" applyAlignment="1">
      <alignment vertical="center"/>
    </xf>
    <xf numFmtId="0" fontId="90" fillId="0" borderId="29" xfId="4496" applyFont="1" applyBorder="1" applyAlignment="1">
      <alignment horizontal="right" vertical="center"/>
    </xf>
    <xf numFmtId="5" fontId="90" fillId="0" borderId="29" xfId="4496" applyNumberFormat="1" applyFont="1" applyBorder="1" applyAlignment="1">
      <alignment vertical="center"/>
    </xf>
    <xf numFmtId="0" fontId="90" fillId="0" borderId="31" xfId="4496" applyFont="1" applyBorder="1" applyAlignment="1">
      <alignment vertical="center"/>
    </xf>
    <xf numFmtId="175" fontId="128" fillId="0" borderId="42" xfId="4494" applyNumberFormat="1" applyFont="1" applyFill="1" applyBorder="1" applyAlignment="1" applyProtection="1">
      <alignment horizontal="center" vertical="center"/>
    </xf>
    <xf numFmtId="0" fontId="128" fillId="0" borderId="29" xfId="4496" applyFont="1" applyBorder="1" applyAlignment="1">
      <alignment vertical="center"/>
    </xf>
    <xf numFmtId="0" fontId="128" fillId="0" borderId="0" xfId="4496" applyFont="1" applyAlignment="1">
      <alignment vertical="center"/>
    </xf>
    <xf numFmtId="0" fontId="128" fillId="0" borderId="42" xfId="4496" applyFont="1" applyBorder="1" applyAlignment="1">
      <alignment vertical="center"/>
    </xf>
    <xf numFmtId="9" fontId="128" fillId="0" borderId="42" xfId="4499" applyFont="1" applyFill="1" applyBorder="1" applyAlignment="1" applyProtection="1">
      <alignment vertical="center"/>
    </xf>
    <xf numFmtId="182" fontId="128" fillId="0" borderId="68" xfId="8721" applyNumberFormat="1" applyFont="1" applyBorder="1" applyProtection="1"/>
    <xf numFmtId="182" fontId="128" fillId="0" borderId="68" xfId="4496" applyNumberFormat="1" applyFont="1" applyBorder="1"/>
    <xf numFmtId="0" fontId="142" fillId="0" borderId="0" xfId="4496" applyFont="1" applyAlignment="1">
      <alignment horizontal="right"/>
    </xf>
    <xf numFmtId="0" fontId="90" fillId="0" borderId="0" xfId="4496" applyFont="1" applyAlignment="1">
      <alignment horizontal="right" vertical="top" wrapText="1" indent="1"/>
    </xf>
    <xf numFmtId="182" fontId="90" fillId="0" borderId="6" xfId="8721" applyNumberFormat="1" applyFont="1" applyBorder="1" applyAlignment="1" applyProtection="1">
      <alignment horizontal="center"/>
    </xf>
    <xf numFmtId="0" fontId="90" fillId="0" borderId="0" xfId="4496" applyFont="1" applyAlignment="1">
      <alignment horizontal="right" indent="1"/>
    </xf>
    <xf numFmtId="0" fontId="90" fillId="0" borderId="0" xfId="4496" applyFont="1" applyAlignment="1">
      <alignment horizontal="right" vertical="top"/>
    </xf>
    <xf numFmtId="0" fontId="128" fillId="0" borderId="0" xfId="4496" applyFont="1" applyAlignment="1">
      <alignment horizontal="right"/>
    </xf>
    <xf numFmtId="182" fontId="128" fillId="0" borderId="0" xfId="8721" applyNumberFormat="1" applyFont="1" applyBorder="1" applyAlignment="1" applyProtection="1">
      <alignment horizontal="center"/>
    </xf>
    <xf numFmtId="10" fontId="90" fillId="0" borderId="0" xfId="4494" applyNumberFormat="1" applyFont="1" applyBorder="1" applyAlignment="1" applyProtection="1">
      <alignment horizontal="center"/>
    </xf>
    <xf numFmtId="184" fontId="90" fillId="0" borderId="6" xfId="4496" applyNumberFormat="1" applyFont="1" applyBorder="1"/>
    <xf numFmtId="0" fontId="128" fillId="0" borderId="0" xfId="4496" applyFont="1" applyAlignment="1">
      <alignment horizontal="right" vertical="top"/>
    </xf>
    <xf numFmtId="182" fontId="128" fillId="0" borderId="0" xfId="4496" applyNumberFormat="1" applyFont="1"/>
    <xf numFmtId="182" fontId="90" fillId="0" borderId="6" xfId="8721" applyNumberFormat="1" applyFont="1" applyBorder="1" applyProtection="1"/>
    <xf numFmtId="184" fontId="90" fillId="0" borderId="0" xfId="4496" applyNumberFormat="1" applyFont="1" applyAlignment="1">
      <alignment horizontal="center"/>
    </xf>
    <xf numFmtId="0" fontId="90" fillId="0" borderId="6" xfId="4496" applyFont="1" applyBorder="1" applyAlignment="1">
      <alignment horizontal="right" vertical="top" wrapText="1" indent="1"/>
    </xf>
    <xf numFmtId="0" fontId="90" fillId="0" borderId="67" xfId="4496" applyFont="1" applyBorder="1" applyAlignment="1">
      <alignment horizontal="right" indent="1"/>
    </xf>
    <xf numFmtId="0" fontId="90" fillId="0" borderId="72" xfId="4496" applyFont="1" applyBorder="1" applyAlignment="1">
      <alignment horizontal="right" indent="1"/>
    </xf>
    <xf numFmtId="0" fontId="90" fillId="0" borderId="72" xfId="4496" quotePrefix="1" applyFont="1" applyBorder="1" applyAlignment="1">
      <alignment horizontal="right" indent="1"/>
    </xf>
    <xf numFmtId="0" fontId="90" fillId="0" borderId="69" xfId="4496" applyFont="1" applyBorder="1" applyAlignment="1">
      <alignment horizontal="right" indent="1"/>
    </xf>
    <xf numFmtId="182" fontId="90" fillId="0" borderId="71" xfId="4496" applyNumberFormat="1" applyFont="1" applyBorder="1"/>
    <xf numFmtId="182" fontId="90" fillId="0" borderId="76" xfId="4496" applyNumberFormat="1" applyFont="1" applyBorder="1"/>
    <xf numFmtId="182" fontId="90" fillId="0" borderId="77" xfId="4496" applyNumberFormat="1" applyFont="1" applyBorder="1"/>
    <xf numFmtId="175" fontId="26" fillId="0" borderId="0" xfId="543" applyNumberFormat="1" applyFont="1" applyAlignment="1">
      <alignment vertical="center"/>
    </xf>
    <xf numFmtId="10" fontId="128" fillId="0" borderId="0" xfId="4494" applyNumberFormat="1" applyFont="1" applyProtection="1"/>
    <xf numFmtId="0" fontId="26" fillId="0" borderId="0" xfId="1192" applyFont="1" applyAlignment="1">
      <alignment horizontal="left" indent="1"/>
    </xf>
    <xf numFmtId="168" fontId="90" fillId="0" borderId="11" xfId="4499" applyNumberFormat="1" applyFont="1" applyFill="1" applyBorder="1" applyAlignment="1" applyProtection="1">
      <alignment horizontal="left" vertical="center" indent="1"/>
    </xf>
    <xf numFmtId="168" fontId="128" fillId="0" borderId="68" xfId="4499" applyNumberFormat="1" applyFont="1" applyFill="1" applyBorder="1" applyAlignment="1" applyProtection="1">
      <alignment horizontal="left" vertical="center" indent="1"/>
    </xf>
    <xf numFmtId="182" fontId="90" fillId="0" borderId="13" xfId="4496" applyNumberFormat="1" applyFont="1" applyBorder="1"/>
    <xf numFmtId="182" fontId="90" fillId="0" borderId="70" xfId="4496" applyNumberFormat="1" applyFont="1" applyBorder="1"/>
    <xf numFmtId="0" fontId="37" fillId="0" borderId="0" xfId="4495" applyFont="1" applyAlignment="1">
      <alignment vertical="center"/>
    </xf>
    <xf numFmtId="0" fontId="114" fillId="0" borderId="0" xfId="4496" applyFont="1" applyAlignment="1">
      <alignment vertical="center" wrapText="1"/>
    </xf>
    <xf numFmtId="0" fontId="24" fillId="43" borderId="0" xfId="1192" applyFont="1" applyFill="1"/>
    <xf numFmtId="3" fontId="61" fillId="43" borderId="6" xfId="1192" applyNumberFormat="1" applyFont="1" applyFill="1" applyBorder="1"/>
    <xf numFmtId="0" fontId="144" fillId="0" borderId="0" xfId="0" applyFont="1"/>
    <xf numFmtId="0" fontId="24" fillId="0" borderId="11" xfId="253" applyFont="1" applyBorder="1" applyAlignment="1" applyProtection="1">
      <alignment horizontal="center" wrapText="1"/>
      <protection locked="0"/>
    </xf>
    <xf numFmtId="0" fontId="145" fillId="0" borderId="0" xfId="0" applyFont="1"/>
    <xf numFmtId="0" fontId="146" fillId="0" borderId="0" xfId="0" applyFont="1" applyAlignment="1">
      <alignment horizontal="center"/>
    </xf>
    <xf numFmtId="0" fontId="48" fillId="5" borderId="11" xfId="0" applyFont="1" applyFill="1" applyBorder="1" applyAlignment="1" applyProtection="1">
      <alignment horizontal="right" vertical="top" wrapText="1"/>
      <protection locked="0"/>
    </xf>
    <xf numFmtId="0" fontId="19" fillId="43" borderId="3" xfId="569" applyFill="1" applyBorder="1"/>
    <xf numFmtId="0" fontId="14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90" fillId="43" borderId="6" xfId="4496" applyFont="1" applyFill="1" applyBorder="1" applyProtection="1">
      <protection locked="0"/>
    </xf>
    <xf numFmtId="1" fontId="90" fillId="0" borderId="0" xfId="4496" applyNumberFormat="1" applyFont="1" applyProtection="1">
      <protection locked="0"/>
    </xf>
    <xf numFmtId="182" fontId="154" fillId="0" borderId="11" xfId="4496" applyNumberFormat="1" applyFont="1" applyBorder="1"/>
    <xf numFmtId="44" fontId="90" fillId="0" borderId="0" xfId="4496" applyNumberFormat="1" applyFont="1"/>
    <xf numFmtId="182" fontId="24" fillId="0" borderId="11" xfId="4496" applyNumberFormat="1" applyFont="1" applyBorder="1"/>
    <xf numFmtId="9" fontId="90" fillId="0" borderId="0" xfId="4494" applyFont="1"/>
    <xf numFmtId="182" fontId="90" fillId="43" borderId="6" xfId="8721" applyNumberFormat="1" applyFont="1" applyFill="1" applyBorder="1" applyProtection="1">
      <protection locked="0"/>
    </xf>
    <xf numFmtId="0" fontId="19" fillId="0" borderId="0" xfId="4495" applyFont="1" applyAlignment="1">
      <alignment wrapText="1"/>
    </xf>
    <xf numFmtId="168" fontId="166" fillId="48" borderId="79" xfId="700" applyNumberFormat="1" applyFont="1" applyFill="1" applyBorder="1" applyAlignment="1" applyProtection="1">
      <protection locked="0"/>
    </xf>
    <xf numFmtId="3" fontId="41" fillId="10" borderId="0" xfId="543" applyNumberFormat="1" applyFont="1" applyFill="1" applyAlignment="1">
      <alignment vertical="center" wrapText="1"/>
    </xf>
    <xf numFmtId="0" fontId="173" fillId="0" borderId="0" xfId="543" applyFont="1" applyAlignment="1">
      <alignment horizontal="left" vertical="center"/>
    </xf>
    <xf numFmtId="0" fontId="174" fillId="0" borderId="0" xfId="543" applyFont="1" applyAlignment="1">
      <alignment horizontal="right" vertical="top" wrapText="1"/>
    </xf>
    <xf numFmtId="168" fontId="174" fillId="0" borderId="0" xfId="543" applyNumberFormat="1" applyFont="1" applyAlignment="1">
      <alignment horizontal="center" vertical="center"/>
    </xf>
    <xf numFmtId="0" fontId="175" fillId="0" borderId="0" xfId="543" applyFont="1" applyAlignment="1">
      <alignment horizontal="left" vertical="center"/>
    </xf>
    <xf numFmtId="0" fontId="175" fillId="0" borderId="0" xfId="543" applyFont="1" applyAlignment="1">
      <alignment horizontal="right" vertical="top" wrapText="1"/>
    </xf>
    <xf numFmtId="168" fontId="174" fillId="0" borderId="104" xfId="543" applyNumberFormat="1" applyFont="1" applyBorder="1" applyAlignment="1">
      <alignment horizontal="center" vertical="center"/>
    </xf>
    <xf numFmtId="0" fontId="17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4" fillId="52" borderId="113" xfId="0" applyFont="1" applyFill="1" applyBorder="1"/>
    <xf numFmtId="0" fontId="11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60" fillId="0" borderId="0" xfId="698" applyNumberFormat="1" applyFont="1"/>
    <xf numFmtId="0" fontId="177" fillId="0" borderId="0" xfId="0" applyFont="1" applyAlignment="1">
      <alignment horizontal="center"/>
    </xf>
    <xf numFmtId="0" fontId="19" fillId="0" borderId="0" xfId="569" quotePrefix="1"/>
    <xf numFmtId="168" fontId="147" fillId="0" borderId="0" xfId="0" applyNumberFormat="1" applyFont="1" applyAlignment="1">
      <alignment vertical="center" wrapText="1"/>
    </xf>
    <xf numFmtId="168" fontId="17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14" fillId="0" borderId="58" xfId="4496" applyFont="1" applyBorder="1" applyAlignment="1">
      <alignment vertical="center"/>
    </xf>
    <xf numFmtId="0" fontId="26" fillId="0" borderId="5" xfId="4495" applyFont="1" applyBorder="1"/>
    <xf numFmtId="182" fontId="90" fillId="0" borderId="6" xfId="4496" applyNumberFormat="1" applyFont="1" applyBorder="1" applyAlignment="1">
      <alignment vertical="center"/>
    </xf>
    <xf numFmtId="1" fontId="90" fillId="0" borderId="0" xfId="4496" applyNumberFormat="1" applyFont="1" applyAlignment="1">
      <alignment horizontal="right" vertical="top" wrapText="1" indent="1"/>
    </xf>
    <xf numFmtId="3" fontId="90" fillId="43" borderId="6" xfId="4496" applyNumberFormat="1" applyFont="1" applyFill="1" applyBorder="1" applyAlignment="1" applyProtection="1">
      <alignment horizontal="center"/>
      <protection locked="0"/>
    </xf>
    <xf numFmtId="0" fontId="3" fillId="0" borderId="0" xfId="8736"/>
    <xf numFmtId="0" fontId="160" fillId="0" borderId="0" xfId="8736" applyFont="1"/>
    <xf numFmtId="0" fontId="95" fillId="0" borderId="0" xfId="8736" applyFont="1"/>
    <xf numFmtId="0" fontId="3" fillId="47" borderId="66" xfId="8736" applyFill="1" applyBorder="1"/>
    <xf numFmtId="0" fontId="3" fillId="47" borderId="0" xfId="8736" applyFill="1"/>
    <xf numFmtId="0" fontId="94" fillId="47" borderId="0" xfId="8736" applyFont="1" applyFill="1"/>
    <xf numFmtId="0" fontId="94" fillId="47" borderId="41" xfId="8736" applyFont="1" applyFill="1" applyBorder="1" applyAlignment="1">
      <alignment horizontal="center"/>
    </xf>
    <xf numFmtId="182" fontId="165" fillId="47" borderId="0" xfId="8737" applyNumberFormat="1" applyFont="1" applyFill="1" applyBorder="1" applyAlignment="1"/>
    <xf numFmtId="0" fontId="3" fillId="47" borderId="41" xfId="8736" applyFill="1" applyBorder="1"/>
    <xf numFmtId="0" fontId="95" fillId="47" borderId="0" xfId="8736" applyFont="1" applyFill="1"/>
    <xf numFmtId="0" fontId="169" fillId="47" borderId="0" xfId="8736" applyFont="1" applyFill="1"/>
    <xf numFmtId="0" fontId="94" fillId="47" borderId="41" xfId="8736" applyFont="1" applyFill="1" applyBorder="1"/>
    <xf numFmtId="0" fontId="94" fillId="0" borderId="0" xfId="8736" applyFont="1"/>
    <xf numFmtId="0" fontId="157" fillId="0" borderId="0" xfId="8736" applyFont="1"/>
    <xf numFmtId="0" fontId="94" fillId="54" borderId="100" xfId="8736" applyFont="1" applyFill="1" applyBorder="1"/>
    <xf numFmtId="0" fontId="3" fillId="53" borderId="99" xfId="8736" applyFill="1" applyBorder="1"/>
    <xf numFmtId="0" fontId="3" fillId="52" borderId="99" xfId="8736" applyFill="1" applyBorder="1"/>
    <xf numFmtId="0" fontId="9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94" fillId="45" borderId="0" xfId="8736" applyFont="1" applyFill="1"/>
    <xf numFmtId="0" fontId="94" fillId="45" borderId="12" xfId="8736" applyFont="1" applyFill="1" applyBorder="1"/>
    <xf numFmtId="0" fontId="94" fillId="45" borderId="29" xfId="8736" applyFont="1" applyFill="1" applyBorder="1"/>
    <xf numFmtId="0" fontId="94" fillId="45" borderId="80" xfId="8736" applyFont="1" applyFill="1" applyBorder="1"/>
    <xf numFmtId="0" fontId="94" fillId="45" borderId="79" xfId="8736" applyFont="1" applyFill="1" applyBorder="1"/>
    <xf numFmtId="0" fontId="94" fillId="45" borderId="78" xfId="8736" applyFont="1" applyFill="1" applyBorder="1"/>
    <xf numFmtId="0" fontId="94" fillId="45" borderId="93" xfId="8736" applyFont="1" applyFill="1" applyBorder="1"/>
    <xf numFmtId="0" fontId="94" fillId="45" borderId="6" xfId="8736" applyFont="1" applyFill="1" applyBorder="1"/>
    <xf numFmtId="0" fontId="94" fillId="45" borderId="10" xfId="8736" applyFont="1" applyFill="1" applyBorder="1"/>
    <xf numFmtId="0" fontId="160" fillId="44" borderId="0" xfId="8736" applyFont="1" applyFill="1"/>
    <xf numFmtId="10" fontId="160" fillId="44" borderId="0" xfId="1022" applyNumberFormat="1" applyFont="1" applyFill="1"/>
    <xf numFmtId="0" fontId="3" fillId="45" borderId="29" xfId="8736" applyFill="1" applyBorder="1"/>
    <xf numFmtId="0" fontId="3" fillId="45" borderId="31" xfId="8736" applyFill="1" applyBorder="1"/>
    <xf numFmtId="0" fontId="94" fillId="45" borderId="92" xfId="8736" applyFont="1" applyFill="1" applyBorder="1"/>
    <xf numFmtId="0" fontId="94" fillId="45" borderId="74" xfId="8736" applyFont="1" applyFill="1" applyBorder="1"/>
    <xf numFmtId="0" fontId="171" fillId="47" borderId="0" xfId="8736" applyFont="1" applyFill="1"/>
    <xf numFmtId="0" fontId="94" fillId="45" borderId="31" xfId="8736" applyFont="1" applyFill="1" applyBorder="1"/>
    <xf numFmtId="0" fontId="3" fillId="47" borderId="0" xfId="8736" applyFill="1" applyAlignment="1">
      <alignment horizontal="left"/>
    </xf>
    <xf numFmtId="0" fontId="163" fillId="51" borderId="11" xfId="8736" applyFont="1" applyFill="1" applyBorder="1"/>
    <xf numFmtId="0" fontId="163" fillId="51" borderId="76" xfId="8736" applyFont="1" applyFill="1" applyBorder="1"/>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94" fillId="47" borderId="66" xfId="8736" applyFont="1" applyFill="1" applyBorder="1"/>
    <xf numFmtId="49" fontId="9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55" fillId="0" borderId="0" xfId="8736" applyFont="1"/>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9" fillId="0" borderId="4" xfId="0" applyFont="1" applyBorder="1"/>
    <xf numFmtId="0" fontId="41" fillId="0" borderId="0" xfId="0" applyFont="1"/>
    <xf numFmtId="0" fontId="19" fillId="8" borderId="0" xfId="542" quotePrefix="1" applyFont="1" applyFill="1" applyAlignment="1">
      <alignment horizontal="left"/>
    </xf>
    <xf numFmtId="0" fontId="26" fillId="8" borderId="0" xfId="539" applyFont="1" applyFill="1" applyAlignment="1" applyProtection="1">
      <alignment horizontal="centerContinuous"/>
    </xf>
    <xf numFmtId="0" fontId="19" fillId="8" borderId="0" xfId="542" applyFont="1" applyFill="1"/>
    <xf numFmtId="168" fontId="26" fillId="0" borderId="6" xfId="543" applyNumberFormat="1" applyFont="1" applyBorder="1" applyAlignment="1">
      <alignment horizontal="left"/>
    </xf>
    <xf numFmtId="168" fontId="26" fillId="0" borderId="6" xfId="543" applyNumberFormat="1" applyFont="1" applyBorder="1" applyAlignment="1">
      <alignment horizontal="center"/>
    </xf>
    <xf numFmtId="0" fontId="43" fillId="0" borderId="0" xfId="244" applyFont="1" applyFill="1" applyBorder="1" applyAlignment="1" applyProtection="1">
      <alignment horizontal="left"/>
    </xf>
    <xf numFmtId="0" fontId="19" fillId="0" borderId="0" xfId="0" applyFont="1" applyAlignment="1">
      <alignment horizontal="left" indent="4"/>
    </xf>
    <xf numFmtId="0" fontId="19" fillId="9" borderId="6" xfId="0" applyFont="1" applyFill="1" applyBorder="1"/>
    <xf numFmtId="166" fontId="19" fillId="0" borderId="0" xfId="0" applyNumberFormat="1" applyFont="1" applyAlignment="1">
      <alignment horizontal="left"/>
    </xf>
    <xf numFmtId="166" fontId="19" fillId="0" borderId="0" xfId="0" applyNumberFormat="1" applyFont="1"/>
    <xf numFmtId="168" fontId="19" fillId="0" borderId="0" xfId="0" applyNumberFormat="1" applyFont="1" applyAlignment="1">
      <alignment horizontal="right"/>
    </xf>
    <xf numFmtId="168" fontId="19" fillId="0" borderId="3" xfId="0" applyNumberFormat="1" applyFont="1" applyBorder="1" applyAlignment="1">
      <alignment vertical="top"/>
    </xf>
    <xf numFmtId="168" fontId="19" fillId="0" borderId="4" xfId="0" applyNumberFormat="1" applyFont="1" applyBorder="1" applyAlignment="1">
      <alignment vertical="top"/>
    </xf>
    <xf numFmtId="168" fontId="19" fillId="0" borderId="5" xfId="0" applyNumberFormat="1" applyFont="1" applyBorder="1" applyAlignment="1">
      <alignment vertical="top"/>
    </xf>
    <xf numFmtId="168" fontId="19" fillId="0" borderId="8" xfId="0" applyNumberFormat="1" applyFont="1" applyBorder="1" applyAlignment="1">
      <alignment vertical="top"/>
    </xf>
    <xf numFmtId="168" fontId="19" fillId="0" borderId="0" xfId="0" applyNumberFormat="1" applyFont="1" applyAlignment="1">
      <alignment vertical="top"/>
    </xf>
    <xf numFmtId="0" fontId="19" fillId="0" borderId="0" xfId="0" applyFont="1" applyAlignment="1">
      <alignment horizontal="right" vertical="top"/>
    </xf>
    <xf numFmtId="0" fontId="19" fillId="0" borderId="12" xfId="0" applyFont="1" applyBorder="1" applyAlignment="1">
      <alignment horizontal="right" vertical="top"/>
    </xf>
    <xf numFmtId="0" fontId="19" fillId="5" borderId="4" xfId="0" applyFont="1" applyFill="1" applyBorder="1" applyAlignment="1" applyProtection="1">
      <alignment horizontal="left" vertical="top"/>
      <protection locked="0"/>
    </xf>
    <xf numFmtId="0" fontId="19" fillId="5" borderId="5" xfId="0" applyFont="1" applyFill="1" applyBorder="1" applyAlignment="1" applyProtection="1">
      <alignment horizontal="left" vertical="top"/>
      <protection locked="0"/>
    </xf>
    <xf numFmtId="5" fontId="19" fillId="0" borderId="0" xfId="542" applyNumberFormat="1" applyFont="1"/>
    <xf numFmtId="0" fontId="19" fillId="0" borderId="11" xfId="0" applyFont="1" applyBorder="1" applyAlignment="1">
      <alignment horizontal="left"/>
    </xf>
    <xf numFmtId="0" fontId="19" fillId="0" borderId="7" xfId="0" applyFont="1" applyBorder="1"/>
    <xf numFmtId="0" fontId="19" fillId="0" borderId="12" xfId="0" applyFont="1" applyBorder="1"/>
    <xf numFmtId="0" fontId="19" fillId="0" borderId="10" xfId="0" applyFont="1" applyBorder="1"/>
    <xf numFmtId="0" fontId="29" fillId="0" borderId="0" xfId="543" applyFont="1"/>
    <xf numFmtId="0" fontId="19" fillId="0" borderId="1" xfId="0" applyFont="1" applyBorder="1"/>
    <xf numFmtId="0" fontId="37" fillId="0" borderId="7" xfId="543" applyFont="1" applyBorder="1"/>
    <xf numFmtId="0" fontId="26" fillId="0" borderId="12" xfId="543" applyFont="1" applyBorder="1" applyAlignment="1">
      <alignment horizontal="center" vertical="top"/>
    </xf>
    <xf numFmtId="0" fontId="27" fillId="0" borderId="8" xfId="543" applyFont="1" applyBorder="1" applyAlignment="1">
      <alignment horizontal="left" vertical="top" wrapText="1"/>
    </xf>
    <xf numFmtId="0" fontId="27" fillId="0" borderId="12" xfId="543" applyFont="1" applyBorder="1" applyAlignment="1">
      <alignment horizontal="center" vertical="top" wrapText="1"/>
    </xf>
    <xf numFmtId="0" fontId="27" fillId="0" borderId="1" xfId="543" applyFont="1" applyBorder="1" applyAlignment="1">
      <alignment horizontal="left" vertical="top" wrapText="1"/>
    </xf>
    <xf numFmtId="0" fontId="27" fillId="0" borderId="2" xfId="543" applyFont="1" applyBorder="1" applyAlignment="1">
      <alignment horizontal="center" vertical="top" wrapText="1"/>
    </xf>
    <xf numFmtId="0" fontId="27" fillId="0" borderId="0" xfId="543" applyFont="1" applyAlignment="1">
      <alignment horizontal="center" vertical="top" wrapText="1"/>
    </xf>
    <xf numFmtId="0" fontId="27" fillId="0" borderId="9" xfId="543" applyFont="1" applyBorder="1" applyAlignment="1">
      <alignment horizontal="left" vertical="top" wrapText="1"/>
    </xf>
    <xf numFmtId="0" fontId="27" fillId="0" borderId="6" xfId="543" applyFont="1" applyBorder="1" applyAlignment="1">
      <alignment horizontal="center" vertical="top" wrapText="1"/>
    </xf>
    <xf numFmtId="0" fontId="26" fillId="0" borderId="0" xfId="543" applyFont="1" applyAlignment="1">
      <alignment horizontal="center"/>
    </xf>
    <xf numFmtId="0" fontId="35" fillId="0" borderId="9" xfId="543" applyFont="1" applyBorder="1" applyAlignment="1">
      <alignment horizontal="left" vertical="top" wrapText="1"/>
    </xf>
    <xf numFmtId="0" fontId="19" fillId="0" borderId="15" xfId="0" applyFont="1" applyBorder="1"/>
    <xf numFmtId="0" fontId="35" fillId="0" borderId="8" xfId="543" applyFont="1" applyBorder="1" applyAlignment="1">
      <alignment horizontal="left" vertical="top" wrapText="1"/>
    </xf>
    <xf numFmtId="0" fontId="35" fillId="0" borderId="0" xfId="543" applyFont="1" applyAlignment="1">
      <alignment horizontal="center" vertical="top" wrapText="1"/>
    </xf>
    <xf numFmtId="2" fontId="19" fillId="0" borderId="11" xfId="0" applyNumberFormat="1" applyFont="1" applyBorder="1"/>
    <xf numFmtId="0" fontId="27" fillId="0" borderId="0" xfId="543" applyFont="1" applyAlignment="1">
      <alignment horizontal="center"/>
    </xf>
    <xf numFmtId="0" fontId="35" fillId="0" borderId="4" xfId="543" applyFont="1" applyBorder="1" applyAlignment="1">
      <alignment horizontal="right" vertical="top" wrapText="1"/>
    </xf>
    <xf numFmtId="0" fontId="35" fillId="0" borderId="0" xfId="543" applyFont="1" applyAlignment="1">
      <alignment horizontal="right" vertical="top" wrapText="1"/>
    </xf>
    <xf numFmtId="0" fontId="26" fillId="0" borderId="0" xfId="543" applyFont="1" applyAlignment="1">
      <alignment horizontal="right" vertical="top" wrapText="1"/>
    </xf>
    <xf numFmtId="0" fontId="26" fillId="0" borderId="2" xfId="543" applyFont="1" applyBorder="1" applyAlignment="1">
      <alignment horizontal="right" vertical="top" wrapText="1"/>
    </xf>
    <xf numFmtId="0" fontId="26" fillId="0" borderId="0" xfId="543" applyFont="1" applyAlignment="1">
      <alignment vertical="center" wrapText="1"/>
    </xf>
    <xf numFmtId="0" fontId="27" fillId="0" borderId="0" xfId="543" applyFont="1"/>
    <xf numFmtId="0" fontId="19" fillId="0" borderId="0" xfId="543" applyAlignment="1">
      <alignment horizontal="left"/>
    </xf>
    <xf numFmtId="0" fontId="48" fillId="4" borderId="11" xfId="0" applyFont="1" applyFill="1" applyBorder="1" applyAlignment="1">
      <alignment vertical="top" wrapText="1"/>
    </xf>
    <xf numFmtId="0" fontId="48" fillId="2" borderId="11" xfId="0" applyFont="1" applyFill="1" applyBorder="1" applyAlignment="1">
      <alignment vertical="top" wrapText="1"/>
    </xf>
    <xf numFmtId="168" fontId="48" fillId="6" borderId="11" xfId="0" applyNumberFormat="1" applyFont="1" applyFill="1" applyBorder="1" applyAlignment="1">
      <alignment horizontal="center" vertical="top" wrapText="1"/>
    </xf>
    <xf numFmtId="0" fontId="48" fillId="0" borderId="11" xfId="0" applyFont="1" applyBorder="1" applyAlignment="1">
      <alignment horizontal="right" vertical="top"/>
    </xf>
    <xf numFmtId="168" fontId="48" fillId="0" borderId="11" xfId="0" applyNumberFormat="1" applyFont="1" applyBorder="1" applyAlignment="1">
      <alignment vertical="top"/>
    </xf>
    <xf numFmtId="168" fontId="48" fillId="5" borderId="11" xfId="0" applyNumberFormat="1" applyFont="1" applyFill="1" applyBorder="1" applyAlignment="1" applyProtection="1">
      <alignment vertical="top"/>
      <protection locked="0"/>
    </xf>
    <xf numFmtId="168" fontId="48" fillId="6" borderId="11" xfId="0" applyNumberFormat="1" applyFont="1" applyFill="1" applyBorder="1" applyAlignment="1">
      <alignment horizontal="center" vertical="top"/>
    </xf>
    <xf numFmtId="0" fontId="48" fillId="2" borderId="11" xfId="0" applyFont="1" applyFill="1" applyBorder="1" applyAlignment="1" applyProtection="1">
      <alignment vertical="top"/>
      <protection locked="0"/>
    </xf>
    <xf numFmtId="168" fontId="48" fillId="44" borderId="11" xfId="0" applyNumberFormat="1" applyFont="1" applyFill="1" applyBorder="1" applyAlignment="1">
      <alignment vertical="top" wrapText="1"/>
    </xf>
    <xf numFmtId="0" fontId="48" fillId="0" borderId="0" xfId="0" applyFont="1" applyAlignment="1">
      <alignment horizontal="left" vertical="top"/>
    </xf>
    <xf numFmtId="3" fontId="48" fillId="0" borderId="11" xfId="0" applyNumberFormat="1" applyFont="1" applyBorder="1" applyAlignment="1">
      <alignment vertical="top" wrapText="1"/>
    </xf>
    <xf numFmtId="0" fontId="48" fillId="2" borderId="12" xfId="0" applyFont="1" applyFill="1" applyBorder="1" applyAlignment="1">
      <alignment vertical="top" wrapText="1"/>
    </xf>
    <xf numFmtId="0" fontId="19" fillId="0" borderId="0" xfId="0" applyFont="1" applyAlignment="1">
      <alignment horizontal="right" vertical="top" wrapText="1"/>
    </xf>
    <xf numFmtId="10" fontId="19" fillId="5" borderId="6" xfId="0" applyNumberFormat="1" applyFont="1" applyFill="1" applyBorder="1" applyAlignment="1" applyProtection="1">
      <alignment horizontal="center" vertical="top" wrapText="1"/>
      <protection locked="0"/>
    </xf>
    <xf numFmtId="172" fontId="19" fillId="0" borderId="0" xfId="0" applyNumberFormat="1" applyFont="1" applyAlignment="1">
      <alignment horizontal="center"/>
    </xf>
    <xf numFmtId="10" fontId="41" fillId="0" borderId="0" xfId="0" applyNumberFormat="1" applyFont="1" applyAlignment="1">
      <alignment horizontal="center"/>
    </xf>
    <xf numFmtId="172" fontId="19" fillId="5" borderId="0" xfId="0" applyNumberFormat="1" applyFont="1" applyFill="1" applyAlignment="1">
      <alignment horizontal="center"/>
    </xf>
    <xf numFmtId="3" fontId="19" fillId="0" borderId="0" xfId="0" applyNumberFormat="1" applyFont="1" applyAlignment="1">
      <alignment vertical="top"/>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97" fillId="0" borderId="0" xfId="0" applyFont="1" applyAlignment="1">
      <alignment horizontal="left" vertical="top" wrapText="1"/>
    </xf>
    <xf numFmtId="0" fontId="20" fillId="0" borderId="0" xfId="244" applyAlignment="1">
      <alignment horizontal="left" vertical="top"/>
    </xf>
    <xf numFmtId="0" fontId="42" fillId="0" borderId="0" xfId="0" applyFont="1" applyAlignment="1">
      <alignment horizontal="left" vertical="top" wrapText="1"/>
    </xf>
    <xf numFmtId="0" fontId="10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applyAlignment="1"/>
    <xf numFmtId="0" fontId="19" fillId="0" borderId="0" xfId="1192" applyAlignment="1">
      <alignment horizontal="left" vertical="top" wrapText="1"/>
    </xf>
    <xf numFmtId="0" fontId="26" fillId="0" borderId="0" xfId="0" applyFont="1" applyAlignment="1">
      <alignment horizontal="left" vertical="top" wrapText="1"/>
    </xf>
    <xf numFmtId="0" fontId="106" fillId="0" borderId="0" xfId="569" applyFont="1" applyAlignment="1">
      <alignment horizontal="center"/>
    </xf>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26" fillId="0" borderId="4" xfId="543" applyFont="1" applyBorder="1" applyAlignment="1">
      <alignment horizontal="right" vertical="top" wrapText="1"/>
    </xf>
    <xf numFmtId="0" fontId="26" fillId="0" borderId="5" xfId="543" applyFont="1" applyBorder="1" applyAlignment="1">
      <alignment horizontal="right" vertical="top"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0" fillId="5" borderId="6" xfId="0" applyFill="1" applyBorder="1" applyAlignment="1" applyProtection="1">
      <alignment horizontal="center"/>
      <protection locked="0"/>
    </xf>
    <xf numFmtId="0" fontId="19" fillId="0" borderId="0" xfId="543" applyAlignment="1">
      <alignment horizontal="center"/>
    </xf>
    <xf numFmtId="0" fontId="0" fillId="0" borderId="0" xfId="0" applyAlignment="1">
      <alignment horizontal="center"/>
    </xf>
    <xf numFmtId="0" fontId="19" fillId="0" borderId="0" xfId="543" applyAlignment="1">
      <alignment wrapText="1"/>
    </xf>
    <xf numFmtId="0" fontId="19" fillId="5" borderId="6" xfId="0" applyFont="1" applyFill="1" applyBorder="1" applyAlignment="1" applyProtection="1">
      <alignment horizontal="center"/>
      <protection locked="0"/>
    </xf>
    <xf numFmtId="0" fontId="26" fillId="0" borderId="0" xfId="0" applyFont="1" applyAlignment="1">
      <alignment horizontal="center"/>
    </xf>
    <xf numFmtId="0" fontId="150" fillId="0" borderId="8" xfId="543" applyFont="1" applyBorder="1" applyAlignment="1">
      <alignment horizontal="center" wrapText="1"/>
    </xf>
    <xf numFmtId="0" fontId="150" fillId="0" borderId="0" xfId="543" applyFont="1" applyAlignment="1">
      <alignment horizontal="center" wrapText="1"/>
    </xf>
    <xf numFmtId="0" fontId="150" fillId="0" borderId="12" xfId="543" applyFont="1" applyBorder="1" applyAlignment="1">
      <alignment horizontal="center" wrapText="1"/>
    </xf>
    <xf numFmtId="0" fontId="150" fillId="0" borderId="9" xfId="543" applyFont="1" applyBorder="1" applyAlignment="1">
      <alignment horizontal="center" wrapText="1"/>
    </xf>
    <xf numFmtId="0" fontId="150" fillId="0" borderId="6" xfId="543" applyFont="1" applyBorder="1" applyAlignment="1">
      <alignment horizontal="center" wrapText="1"/>
    </xf>
    <xf numFmtId="0" fontId="150" fillId="0" borderId="10" xfId="543" applyFont="1" applyBorder="1" applyAlignment="1">
      <alignment horizontal="center" wrapText="1"/>
    </xf>
    <xf numFmtId="0" fontId="150" fillId="0" borderId="8" xfId="543" applyFont="1" applyBorder="1" applyAlignment="1">
      <alignment horizontal="center" vertical="top" wrapText="1"/>
    </xf>
    <xf numFmtId="0" fontId="150" fillId="0" borderId="0" xfId="543" applyFont="1" applyAlignment="1">
      <alignment horizontal="center" vertical="top" wrapText="1"/>
    </xf>
    <xf numFmtId="0" fontId="150" fillId="0" borderId="12" xfId="543" applyFont="1" applyBorder="1" applyAlignment="1">
      <alignment horizontal="center" vertical="top" wrapText="1"/>
    </xf>
    <xf numFmtId="0" fontId="150" fillId="0" borderId="9" xfId="543" applyFont="1" applyBorder="1" applyAlignment="1">
      <alignment horizontal="center" vertical="top" wrapText="1"/>
    </xf>
    <xf numFmtId="0" fontId="150" fillId="0" borderId="6" xfId="543" applyFont="1" applyBorder="1" applyAlignment="1">
      <alignment horizontal="center" vertical="top" wrapText="1"/>
    </xf>
    <xf numFmtId="0" fontId="150" fillId="0" borderId="10" xfId="543" applyFont="1" applyBorder="1" applyAlignment="1">
      <alignment horizontal="center" vertical="top" wrapText="1"/>
    </xf>
    <xf numFmtId="0" fontId="147" fillId="0" borderId="0" xfId="0" applyFont="1" applyAlignment="1">
      <alignment horizontal="center" vertic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Border="1" applyAlignment="1">
      <alignment horizontal="center"/>
    </xf>
    <xf numFmtId="168" fontId="19" fillId="0" borderId="4" xfId="0" applyNumberFormat="1" applyFont="1" applyBorder="1" applyAlignment="1">
      <alignment horizontal="center"/>
    </xf>
    <xf numFmtId="168" fontId="19" fillId="0" borderId="5" xfId="0" applyNumberFormat="1" applyFont="1" applyBorder="1" applyAlignment="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1" xfId="0" applyFont="1" applyBorder="1" applyAlignment="1">
      <alignment horizontal="center" vertical="top" wrapText="1"/>
    </xf>
    <xf numFmtId="0" fontId="19" fillId="0" borderId="2" xfId="0" applyFont="1" applyBorder="1" applyAlignment="1">
      <alignment horizontal="center" vertical="top" wrapText="1"/>
    </xf>
    <xf numFmtId="0" fontId="19" fillId="0" borderId="7" xfId="0" applyFont="1" applyBorder="1" applyAlignment="1">
      <alignment horizontal="center" vertical="top" wrapText="1"/>
    </xf>
    <xf numFmtId="0" fontId="19" fillId="0" borderId="8" xfId="0" applyFont="1" applyBorder="1" applyAlignment="1">
      <alignment horizontal="center" vertical="top" wrapText="1"/>
    </xf>
    <xf numFmtId="0" fontId="19" fillId="0" borderId="0" xfId="0" applyFont="1" applyAlignment="1">
      <alignment horizontal="center" vertical="top" wrapText="1"/>
    </xf>
    <xf numFmtId="0" fontId="19" fillId="0" borderId="12" xfId="0" applyFont="1" applyBorder="1" applyAlignment="1">
      <alignment horizontal="center" vertical="top" wrapText="1"/>
    </xf>
    <xf numFmtId="0" fontId="19" fillId="0" borderId="9" xfId="0" applyFont="1" applyBorder="1" applyAlignment="1">
      <alignment horizontal="center" vertical="top" wrapText="1"/>
    </xf>
    <xf numFmtId="0" fontId="19" fillId="0" borderId="6" xfId="0" applyFont="1" applyBorder="1" applyAlignment="1">
      <alignment horizontal="center" vertical="top" wrapText="1"/>
    </xf>
    <xf numFmtId="0" fontId="19" fillId="0" borderId="10" xfId="0" applyFont="1" applyBorder="1" applyAlignment="1">
      <alignment horizontal="center" vertical="top" wrapText="1"/>
    </xf>
    <xf numFmtId="165" fontId="19" fillId="0" borderId="1" xfId="0" applyNumberFormat="1" applyFont="1" applyBorder="1" applyAlignment="1">
      <alignment horizontal="right"/>
    </xf>
    <xf numFmtId="165" fontId="19" fillId="0" borderId="2" xfId="0" applyNumberFormat="1" applyFont="1" applyBorder="1" applyAlignment="1">
      <alignment horizontal="right"/>
    </xf>
    <xf numFmtId="165" fontId="19" fillId="0" borderId="7" xfId="0" applyNumberFormat="1" applyFont="1" applyBorder="1" applyAlignment="1">
      <alignment horizontal="right"/>
    </xf>
    <xf numFmtId="1" fontId="19" fillId="5" borderId="11" xfId="0" applyNumberFormat="1" applyFont="1" applyFill="1" applyBorder="1" applyAlignment="1" applyProtection="1">
      <alignment horizontal="center"/>
      <protection locked="0"/>
    </xf>
    <xf numFmtId="0" fontId="19" fillId="0" borderId="1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19" fillId="5" borderId="3" xfId="0" applyNumberFormat="1" applyFont="1" applyFill="1" applyBorder="1" applyAlignment="1" applyProtection="1">
      <alignment horizontal="right" vertical="top"/>
      <protection locked="0"/>
    </xf>
    <xf numFmtId="1" fontId="19" fillId="5" borderId="4" xfId="0" applyNumberFormat="1" applyFont="1" applyFill="1" applyBorder="1" applyAlignment="1" applyProtection="1">
      <alignment horizontal="right" vertical="top"/>
      <protection locked="0"/>
    </xf>
    <xf numFmtId="1" fontId="19" fillId="5" borderId="5" xfId="0" applyNumberFormat="1" applyFont="1" applyFill="1" applyBorder="1" applyAlignment="1" applyProtection="1">
      <alignment horizontal="right" vertical="top"/>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19" fillId="5" borderId="9" xfId="0" applyFont="1" applyFill="1" applyBorder="1" applyAlignment="1" applyProtection="1">
      <alignment horizontal="center"/>
      <protection locked="0"/>
    </xf>
    <xf numFmtId="0" fontId="26" fillId="0" borderId="9" xfId="0" applyFont="1" applyBorder="1" applyAlignment="1">
      <alignment horizontal="center"/>
    </xf>
    <xf numFmtId="0" fontId="26" fillId="0" borderId="6" xfId="0" applyFont="1" applyBorder="1" applyAlignment="1">
      <alignment horizontal="center"/>
    </xf>
    <xf numFmtId="0" fontId="0" fillId="5" borderId="4" xfId="0"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45"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19" fillId="5" borderId="6" xfId="0" applyFont="1" applyFill="1" applyBorder="1" applyAlignment="1" applyProtection="1">
      <alignment horizontal="left"/>
      <protection locked="0"/>
    </xf>
    <xf numFmtId="168" fontId="19"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7" fillId="0" borderId="0" xfId="0" applyFont="1" applyAlignment="1">
      <alignment horizontal="center"/>
    </xf>
    <xf numFmtId="0" fontId="25" fillId="3" borderId="0" xfId="0" applyFont="1" applyFill="1" applyAlignment="1">
      <alignment horizontal="center" vertical="center"/>
    </xf>
    <xf numFmtId="166" fontId="19"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5" borderId="5" xfId="0" applyFill="1" applyBorder="1" applyAlignment="1" applyProtection="1">
      <alignment horizontal="left"/>
      <protection locked="0"/>
    </xf>
    <xf numFmtId="0" fontId="19" fillId="5" borderId="11" xfId="0" applyFont="1" applyFill="1" applyBorder="1" applyAlignment="1" applyProtection="1">
      <alignment horizontal="left" wrapText="1"/>
      <protection locked="0"/>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19" fillId="45" borderId="11" xfId="0" applyFont="1" applyFill="1" applyBorder="1" applyAlignment="1">
      <alignment horizontal="center"/>
    </xf>
    <xf numFmtId="0" fontId="19" fillId="2" borderId="11" xfId="0" applyFont="1" applyFill="1" applyBorder="1" applyAlignment="1">
      <alignment horizontal="center"/>
    </xf>
    <xf numFmtId="0" fontId="19" fillId="45" borderId="3" xfId="0" applyFont="1" applyFill="1" applyBorder="1" applyAlignment="1">
      <alignment horizontal="center"/>
    </xf>
    <xf numFmtId="0" fontId="19" fillId="45" borderId="4" xfId="0" applyFont="1" applyFill="1" applyBorder="1" applyAlignment="1">
      <alignment horizontal="center"/>
    </xf>
    <xf numFmtId="0" fontId="19" fillId="45" borderId="5" xfId="0" applyFont="1" applyFill="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1"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9" fillId="0" borderId="11" xfId="543" applyBorder="1" applyAlignment="1">
      <alignment horizontal="center"/>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26" fillId="0" borderId="0" xfId="0" applyFont="1" applyAlignment="1">
      <alignment horizontal="center" vertical="center"/>
    </xf>
    <xf numFmtId="0" fontId="143" fillId="0" borderId="8" xfId="543" applyFont="1" applyBorder="1" applyAlignment="1">
      <alignment horizontal="center" vertical="center" wrapText="1"/>
    </xf>
    <xf numFmtId="0" fontId="143" fillId="0" borderId="0" xfId="543" applyFont="1" applyAlignment="1">
      <alignment horizontal="center" vertical="center" wrapText="1"/>
    </xf>
    <xf numFmtId="0" fontId="14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7" fillId="5" borderId="3" xfId="543" applyFont="1" applyFill="1" applyBorder="1" applyAlignment="1" applyProtection="1">
      <alignment horizontal="center"/>
      <protection locked="0"/>
    </xf>
    <xf numFmtId="0" fontId="27" fillId="5" borderId="5" xfId="543" applyFont="1" applyFill="1" applyBorder="1" applyAlignment="1" applyProtection="1">
      <alignment horizontal="center"/>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6" fillId="0" borderId="1" xfId="543" applyFont="1" applyBorder="1" applyAlignment="1">
      <alignment horizontal="right"/>
    </xf>
    <xf numFmtId="0" fontId="26" fillId="0" borderId="2" xfId="543" applyFont="1" applyBorder="1" applyAlignment="1">
      <alignment horizontal="right"/>
    </xf>
    <xf numFmtId="0" fontId="26"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27" fillId="5" borderId="9" xfId="543" applyFont="1" applyFill="1" applyBorder="1" applyAlignment="1" applyProtection="1">
      <alignment horizontal="center"/>
      <protection locked="0"/>
    </xf>
    <xf numFmtId="0" fontId="27"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27" fillId="5" borderId="3" xfId="543" applyFont="1" applyFill="1" applyBorder="1" applyAlignment="1" applyProtection="1">
      <alignment horizontal="center" vertical="top"/>
      <protection locked="0"/>
    </xf>
    <xf numFmtId="0" fontId="27" fillId="5" borderId="5" xfId="543" applyFont="1" applyFill="1" applyBorder="1" applyAlignment="1" applyProtection="1">
      <alignment horizontal="center" vertical="top"/>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9" fillId="5" borderId="3" xfId="543" applyFill="1" applyBorder="1" applyAlignment="1" applyProtection="1">
      <alignment horizontal="left" vertical="top" wrapText="1"/>
      <protection locked="0"/>
    </xf>
    <xf numFmtId="0" fontId="19" fillId="5" borderId="4" xfId="543" applyFill="1" applyBorder="1" applyAlignment="1" applyProtection="1">
      <alignment horizontal="left" vertical="top" wrapText="1"/>
      <protection locked="0"/>
    </xf>
    <xf numFmtId="0" fontId="19" fillId="5" borderId="5" xfId="543" applyFill="1" applyBorder="1" applyAlignment="1" applyProtection="1">
      <alignment horizontal="left" vertical="top" wrapText="1"/>
      <protection locked="0"/>
    </xf>
    <xf numFmtId="0" fontId="0" fillId="0" borderId="9" xfId="0" applyBorder="1" applyAlignment="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166" fontId="19" fillId="5" borderId="4" xfId="0" applyNumberFormat="1" applyFont="1"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center"/>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19" fillId="0" borderId="4" xfId="0" applyNumberFormat="1" applyFont="1" applyBorder="1" applyAlignment="1">
      <alignment horizontal="center"/>
    </xf>
    <xf numFmtId="1" fontId="19" fillId="0" borderId="5" xfId="0" applyNumberFormat="1" applyFont="1" applyBorder="1" applyAlignment="1">
      <alignment horizontal="center"/>
    </xf>
    <xf numFmtId="0" fontId="26" fillId="0" borderId="7" xfId="0" applyFont="1" applyBorder="1" applyAlignment="1">
      <alignment horizontal="center" wrapText="1"/>
    </xf>
    <xf numFmtId="0" fontId="26" fillId="0" borderId="10" xfId="0" applyFont="1" applyBorder="1" applyAlignment="1">
      <alignment horizontal="center" wrapText="1"/>
    </xf>
    <xf numFmtId="9" fontId="19" fillId="5" borderId="3" xfId="0" applyNumberFormat="1" applyFont="1" applyFill="1" applyBorder="1" applyAlignment="1" applyProtection="1">
      <alignment horizontal="right"/>
      <protection locked="0"/>
    </xf>
    <xf numFmtId="2" fontId="19" fillId="0" borderId="0" xfId="543" applyNumberFormat="1" applyAlignment="1">
      <alignment horizontal="center"/>
    </xf>
    <xf numFmtId="0" fontId="0" fillId="0" borderId="3" xfId="0" applyBorder="1" applyAlignment="1">
      <alignment horizontal="left"/>
    </xf>
    <xf numFmtId="0" fontId="0" fillId="0" borderId="4" xfId="0" applyBorder="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26" fillId="0" borderId="12" xfId="0" applyFont="1" applyBorder="1" applyAlignment="1">
      <alignment horizontal="center" wrapText="1"/>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0" fontId="27" fillId="5" borderId="3" xfId="543" applyFont="1" applyFill="1" applyBorder="1" applyAlignment="1">
      <alignment horizontal="center"/>
    </xf>
    <xf numFmtId="0" fontId="27" fillId="5" borderId="4" xfId="543" applyFont="1" applyFill="1" applyBorder="1" applyAlignment="1">
      <alignment horizontal="center"/>
    </xf>
    <xf numFmtId="0" fontId="27"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0" fontId="19" fillId="5" borderId="11" xfId="0" applyFont="1" applyFill="1" applyBorder="1" applyAlignment="1" applyProtection="1">
      <alignment horizontal="left" vertical="center" wrapText="1"/>
      <protection locked="0"/>
    </xf>
    <xf numFmtId="0" fontId="26" fillId="0" borderId="11" xfId="0" applyFont="1" applyBorder="1" applyAlignment="1">
      <alignment horizontal="center" vertical="center"/>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0" xfId="0" applyFont="1" applyAlignment="1">
      <alignment horizontal="center" vertical="center" wrapText="1"/>
    </xf>
    <xf numFmtId="0" fontId="49" fillId="0" borderId="12"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10"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147" fillId="0" borderId="0" xfId="0" applyNumberFormat="1" applyFont="1" applyAlignment="1">
      <alignment horizontal="center" vertical="center" wrapText="1"/>
    </xf>
    <xf numFmtId="171" fontId="19" fillId="0" borderId="0" xfId="543" applyNumberFormat="1" applyAlignment="1">
      <alignment horizontal="right"/>
    </xf>
    <xf numFmtId="168" fontId="19" fillId="5" borderId="11"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0" fontId="19"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5" xfId="0" applyBorder="1" applyAlignment="1">
      <alignment horizontal="left"/>
    </xf>
    <xf numFmtId="3" fontId="19" fillId="5" borderId="11" xfId="0" applyNumberFormat="1" applyFont="1" applyFill="1" applyBorder="1" applyAlignment="1" applyProtection="1">
      <alignment horizontal="center"/>
      <protection locked="0"/>
    </xf>
    <xf numFmtId="2" fontId="0" fillId="0" borderId="6" xfId="0" applyNumberFormat="1" applyBorder="1" applyAlignment="1">
      <alignment horizontal="center"/>
    </xf>
    <xf numFmtId="168" fontId="19" fillId="0" borderId="11" xfId="0" applyNumberFormat="1" applyFont="1" applyBorder="1" applyAlignment="1">
      <alignment horizontal="center"/>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0" borderId="12" xfId="0" applyBorder="1" applyAlignment="1">
      <alignment horizontal="center"/>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0" fillId="43" borderId="6" xfId="0"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80" fontId="0" fillId="0" borderId="6" xfId="0" applyNumberFormat="1" applyBorder="1" applyAlignment="1">
      <alignment horizontal="center"/>
    </xf>
    <xf numFmtId="14" fontId="19" fillId="5" borderId="4" xfId="0" applyNumberFormat="1" applyFont="1" applyFill="1" applyBorder="1" applyAlignment="1" applyProtection="1">
      <alignment horizontal="righ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0" borderId="6" xfId="0" applyFont="1" applyBorder="1" applyAlignment="1">
      <alignment horizontal="left"/>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19"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0" borderId="0" xfId="0" applyFont="1" applyAlignment="1" applyProtection="1">
      <alignment horizontal="left"/>
      <protection locked="0"/>
    </xf>
    <xf numFmtId="0" fontId="19"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19" fillId="43" borderId="6" xfId="0" applyFont="1" applyFill="1" applyBorder="1" applyAlignment="1" applyProtection="1">
      <alignment horizontal="left"/>
      <protection locked="0"/>
    </xf>
    <xf numFmtId="0" fontId="14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0" fontId="19" fillId="5" borderId="11" xfId="0"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 fontId="19"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9" fillId="0" borderId="11" xfId="0" applyNumberFormat="1" applyFont="1" applyBorder="1" applyAlignment="1">
      <alignment horizontal="center"/>
    </xf>
    <xf numFmtId="0" fontId="26" fillId="0" borderId="3" xfId="0" applyFont="1" applyBorder="1" applyAlignment="1">
      <alignment horizontal="center"/>
    </xf>
    <xf numFmtId="3" fontId="19" fillId="0" borderId="11" xfId="0" applyNumberFormat="1" applyFont="1" applyBorder="1" applyAlignment="1">
      <alignment horizontal="center"/>
    </xf>
    <xf numFmtId="0" fontId="26" fillId="0" borderId="10"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168" fontId="175" fillId="0" borderId="105" xfId="543" applyNumberFormat="1" applyFont="1" applyBorder="1" applyAlignment="1">
      <alignment horizontal="right" vertical="center" wrapText="1"/>
    </xf>
    <xf numFmtId="175" fontId="175" fillId="0" borderId="107" xfId="543" applyNumberFormat="1" applyFont="1" applyBorder="1" applyAlignment="1">
      <alignment horizontal="center" vertical="center" wrapText="1"/>
    </xf>
    <xf numFmtId="175" fontId="175" fillId="0" borderId="108" xfId="543" applyNumberFormat="1" applyFont="1" applyBorder="1" applyAlignment="1">
      <alignment horizontal="center" vertical="center" wrapText="1"/>
    </xf>
    <xf numFmtId="175" fontId="175" fillId="0" borderId="109" xfId="543" applyNumberFormat="1" applyFont="1" applyBorder="1" applyAlignment="1">
      <alignment horizontal="center" vertical="center" wrapText="1"/>
    </xf>
    <xf numFmtId="0" fontId="17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5" xfId="0" applyFont="1" applyFill="1" applyBorder="1" applyAlignment="1">
      <alignment horizontal="center" vertical="top"/>
    </xf>
    <xf numFmtId="0" fontId="19" fillId="0" borderId="6" xfId="0" applyFont="1" applyBorder="1" applyAlignment="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lignment vertical="top" wrapText="1"/>
    </xf>
    <xf numFmtId="0" fontId="48" fillId="0" borderId="0" xfId="0" applyFont="1" applyAlignment="1">
      <alignment vertical="top" wrapText="1"/>
    </xf>
    <xf numFmtId="0" fontId="19" fillId="0" borderId="2" xfId="0" applyFont="1" applyBorder="1" applyAlignment="1">
      <alignment horizontal="left" vertical="top" wrapText="1"/>
    </xf>
    <xf numFmtId="0" fontId="49" fillId="0" borderId="0" xfId="0" applyFont="1" applyAlignment="1">
      <alignment vertical="top" wrapText="1"/>
    </xf>
    <xf numFmtId="0" fontId="19" fillId="0" borderId="6" xfId="0" applyFont="1" applyBorder="1" applyAlignment="1">
      <alignment horizontal="right" vertical="top" wrapText="1"/>
    </xf>
    <xf numFmtId="0" fontId="49"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60" fillId="44" borderId="80" xfId="8736" applyFont="1" applyFill="1" applyBorder="1" applyAlignment="1">
      <alignment horizontal="left"/>
    </xf>
    <xf numFmtId="0" fontId="160" fillId="44" borderId="79" xfId="8736" applyFont="1" applyFill="1" applyBorder="1" applyAlignment="1">
      <alignment horizontal="left"/>
    </xf>
    <xf numFmtId="0" fontId="160" fillId="44" borderId="78" xfId="8736" applyFont="1" applyFill="1" applyBorder="1" applyAlignment="1">
      <alignment horizontal="left"/>
    </xf>
    <xf numFmtId="0" fontId="161" fillId="45" borderId="11" xfId="8736" applyFont="1" applyFill="1" applyBorder="1" applyAlignment="1">
      <alignment horizontal="right"/>
    </xf>
    <xf numFmtId="1" fontId="160" fillId="48" borderId="11" xfId="8736" applyNumberFormat="1" applyFont="1" applyFill="1" applyBorder="1" applyAlignment="1" applyProtection="1">
      <alignment horizontal="center"/>
      <protection locked="0"/>
    </xf>
    <xf numFmtId="0" fontId="172" fillId="51" borderId="65" xfId="8736" applyFont="1" applyFill="1" applyBorder="1" applyAlignment="1">
      <alignment horizontal="center"/>
    </xf>
    <xf numFmtId="0" fontId="172" fillId="51" borderId="29" xfId="8736" applyFont="1" applyFill="1" applyBorder="1" applyAlignment="1">
      <alignment horizontal="center"/>
    </xf>
    <xf numFmtId="0" fontId="172" fillId="51" borderId="31" xfId="8736" applyFont="1" applyFill="1" applyBorder="1" applyAlignment="1">
      <alignment horizontal="center"/>
    </xf>
    <xf numFmtId="0" fontId="157" fillId="48" borderId="66" xfId="8736" applyFont="1" applyFill="1" applyBorder="1" applyAlignment="1">
      <alignment horizontal="center"/>
    </xf>
    <xf numFmtId="0" fontId="157" fillId="48" borderId="0" xfId="8736" applyFont="1" applyFill="1" applyAlignment="1">
      <alignment horizontal="center"/>
    </xf>
    <xf numFmtId="0" fontId="157" fillId="48" borderId="41" xfId="8736" applyFont="1" applyFill="1" applyBorder="1" applyAlignment="1">
      <alignment horizontal="center"/>
    </xf>
    <xf numFmtId="0" fontId="157" fillId="45" borderId="3" xfId="8736" applyFont="1" applyFill="1" applyBorder="1" applyAlignment="1">
      <alignment horizontal="center"/>
    </xf>
    <xf numFmtId="0" fontId="157" fillId="45" borderId="4" xfId="8736" applyFont="1" applyFill="1" applyBorder="1" applyAlignment="1">
      <alignment horizontal="center"/>
    </xf>
    <xf numFmtId="0" fontId="157" fillId="45" borderId="5" xfId="8736" applyFont="1" applyFill="1" applyBorder="1" applyAlignment="1">
      <alignment horizontal="center"/>
    </xf>
    <xf numFmtId="0" fontId="167" fillId="45" borderId="11" xfId="8736" applyFont="1" applyFill="1" applyBorder="1" applyAlignment="1">
      <alignment horizontal="right"/>
    </xf>
    <xf numFmtId="14" fontId="160" fillId="48" borderId="11" xfId="8736" applyNumberFormat="1" applyFont="1" applyFill="1" applyBorder="1" applyAlignment="1" applyProtection="1">
      <alignment horizontal="center"/>
      <protection locked="0"/>
    </xf>
    <xf numFmtId="0" fontId="16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94" fillId="45" borderId="80" xfId="8736" applyFont="1" applyFill="1" applyBorder="1" applyAlignment="1">
      <alignment horizontal="center"/>
    </xf>
    <xf numFmtId="0" fontId="94" fillId="45" borderId="79" xfId="8736" applyFont="1" applyFill="1" applyBorder="1" applyAlignment="1">
      <alignment horizontal="center"/>
    </xf>
    <xf numFmtId="0" fontId="94" fillId="45" borderId="78" xfId="8736" applyFont="1" applyFill="1" applyBorder="1" applyAlignment="1">
      <alignment horizontal="center"/>
    </xf>
    <xf numFmtId="0" fontId="160" fillId="48" borderId="80" xfId="8736" applyFont="1" applyFill="1" applyBorder="1" applyAlignment="1" applyProtection="1">
      <alignment horizontal="center"/>
      <protection locked="0"/>
    </xf>
    <xf numFmtId="0" fontId="160" fillId="48" borderId="79" xfId="8736" applyFont="1" applyFill="1" applyBorder="1" applyAlignment="1" applyProtection="1">
      <alignment horizontal="center"/>
      <protection locked="0"/>
    </xf>
    <xf numFmtId="0" fontId="160" fillId="48" borderId="78" xfId="8736" applyFont="1" applyFill="1" applyBorder="1" applyAlignment="1" applyProtection="1">
      <alignment horizontal="center"/>
      <protection locked="0"/>
    </xf>
    <xf numFmtId="0" fontId="16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61" fillId="45" borderId="11" xfId="8736" applyFont="1" applyFill="1" applyBorder="1" applyAlignment="1">
      <alignment horizontal="right" wrapText="1"/>
    </xf>
    <xf numFmtId="14" fontId="160" fillId="48" borderId="11" xfId="8736" applyNumberFormat="1" applyFont="1" applyFill="1" applyBorder="1" applyAlignment="1" applyProtection="1">
      <alignment horizontal="center" vertical="center"/>
      <protection locked="0"/>
    </xf>
    <xf numFmtId="0" fontId="160" fillId="48" borderId="11" xfId="8736" applyFont="1" applyFill="1" applyBorder="1" applyAlignment="1" applyProtection="1">
      <alignment horizontal="center" vertical="center"/>
      <protection locked="0"/>
    </xf>
    <xf numFmtId="168" fontId="165" fillId="44" borderId="11" xfId="8737" applyNumberFormat="1" applyFont="1" applyFill="1" applyBorder="1" applyAlignment="1" applyProtection="1">
      <alignment horizontal="left"/>
    </xf>
    <xf numFmtId="0" fontId="94" fillId="45" borderId="80" xfId="8736" applyFont="1" applyFill="1" applyBorder="1" applyAlignment="1">
      <alignment horizontal="right"/>
    </xf>
    <xf numFmtId="0" fontId="94" fillId="45" borderId="79" xfId="8736" applyFont="1" applyFill="1" applyBorder="1" applyAlignment="1">
      <alignment horizontal="right"/>
    </xf>
    <xf numFmtId="0" fontId="9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57" fillId="45" borderId="93" xfId="8736" applyFont="1" applyFill="1" applyBorder="1" applyAlignment="1">
      <alignment horizontal="center"/>
    </xf>
    <xf numFmtId="0" fontId="157" fillId="45" borderId="92" xfId="8736" applyFont="1" applyFill="1" applyBorder="1" applyAlignment="1">
      <alignment horizontal="center"/>
    </xf>
    <xf numFmtId="0" fontId="157" fillId="45" borderId="91" xfId="8736" applyFont="1" applyFill="1" applyBorder="1" applyAlignment="1">
      <alignment horizontal="center"/>
    </xf>
    <xf numFmtId="0" fontId="164" fillId="45" borderId="97" xfId="8736" applyFont="1" applyFill="1" applyBorder="1" applyAlignment="1">
      <alignment horizontal="center"/>
    </xf>
    <xf numFmtId="0" fontId="164" fillId="45" borderId="2" xfId="8736" applyFont="1" applyFill="1" applyBorder="1" applyAlignment="1">
      <alignment horizontal="center"/>
    </xf>
    <xf numFmtId="0" fontId="164" fillId="45" borderId="7" xfId="8736" applyFont="1" applyFill="1" applyBorder="1" applyAlignment="1">
      <alignment horizontal="center"/>
    </xf>
    <xf numFmtId="0" fontId="164" fillId="45" borderId="3" xfId="8736" applyFont="1" applyFill="1" applyBorder="1" applyAlignment="1">
      <alignment horizontal="center"/>
    </xf>
    <xf numFmtId="0" fontId="164" fillId="45" borderId="4" xfId="8736" applyFont="1" applyFill="1" applyBorder="1" applyAlignment="1">
      <alignment horizontal="center"/>
    </xf>
    <xf numFmtId="0" fontId="164" fillId="45" borderId="5" xfId="8736" applyFont="1" applyFill="1" applyBorder="1" applyAlignment="1">
      <alignment horizontal="center"/>
    </xf>
    <xf numFmtId="0" fontId="164" fillId="45" borderId="81" xfId="8736" applyFont="1" applyFill="1" applyBorder="1" applyAlignment="1">
      <alignment horizontal="center"/>
    </xf>
    <xf numFmtId="9" fontId="163" fillId="48" borderId="90" xfId="8736" applyNumberFormat="1" applyFont="1" applyFill="1" applyBorder="1" applyAlignment="1" applyProtection="1">
      <alignment horizontal="center"/>
      <protection locked="0"/>
    </xf>
    <xf numFmtId="9" fontId="163" fillId="48" borderId="4" xfId="8736" applyNumberFormat="1" applyFont="1" applyFill="1" applyBorder="1" applyAlignment="1" applyProtection="1">
      <alignment horizontal="center"/>
      <protection locked="0"/>
    </xf>
    <xf numFmtId="9" fontId="163" fillId="48" borderId="5" xfId="8736" applyNumberFormat="1" applyFont="1" applyFill="1" applyBorder="1" applyAlignment="1" applyProtection="1">
      <alignment horizontal="center"/>
      <protection locked="0"/>
    </xf>
    <xf numFmtId="0" fontId="163" fillId="44" borderId="3" xfId="8736" applyFont="1" applyFill="1" applyBorder="1" applyAlignment="1">
      <alignment horizontal="center"/>
    </xf>
    <xf numFmtId="0" fontId="163" fillId="44" borderId="4" xfId="8736" applyFont="1" applyFill="1" applyBorder="1" applyAlignment="1">
      <alignment horizontal="center"/>
    </xf>
    <xf numFmtId="0" fontId="163" fillId="44" borderId="5" xfId="8736" applyFont="1" applyFill="1" applyBorder="1" applyAlignment="1">
      <alignment horizontal="center"/>
    </xf>
    <xf numFmtId="10" fontId="164" fillId="44" borderId="3" xfId="8736" applyNumberFormat="1" applyFont="1" applyFill="1" applyBorder="1" applyAlignment="1">
      <alignment horizontal="center"/>
    </xf>
    <xf numFmtId="10" fontId="164" fillId="44" borderId="4" xfId="8736" applyNumberFormat="1" applyFont="1" applyFill="1" applyBorder="1" applyAlignment="1">
      <alignment horizontal="center"/>
    </xf>
    <xf numFmtId="10" fontId="164" fillId="44" borderId="81" xfId="8736" applyNumberFormat="1" applyFont="1" applyFill="1" applyBorder="1" applyAlignment="1">
      <alignment horizontal="center"/>
    </xf>
    <xf numFmtId="0" fontId="163" fillId="48" borderId="3" xfId="8736" applyFont="1" applyFill="1" applyBorder="1" applyAlignment="1" applyProtection="1">
      <alignment horizontal="center"/>
      <protection locked="0"/>
    </xf>
    <xf numFmtId="0" fontId="163" fillId="48" borderId="4" xfId="8736" applyFont="1" applyFill="1" applyBorder="1" applyAlignment="1" applyProtection="1">
      <alignment horizontal="center"/>
      <protection locked="0"/>
    </xf>
    <xf numFmtId="0" fontId="163" fillId="48" borderId="5" xfId="8736" applyFont="1" applyFill="1" applyBorder="1" applyAlignment="1" applyProtection="1">
      <alignment horizontal="center"/>
      <protection locked="0"/>
    </xf>
    <xf numFmtId="0" fontId="164" fillId="44" borderId="87" xfId="8736" applyFont="1" applyFill="1" applyBorder="1" applyAlignment="1">
      <alignment horizontal="center"/>
    </xf>
    <xf numFmtId="0" fontId="164" fillId="44" borderId="86" xfId="8736" applyFont="1" applyFill="1" applyBorder="1" applyAlignment="1">
      <alignment horizontal="center"/>
    </xf>
    <xf numFmtId="0" fontId="164" fillId="44" borderId="95" xfId="8736" applyFont="1" applyFill="1" applyBorder="1" applyAlignment="1">
      <alignment horizontal="center"/>
    </xf>
    <xf numFmtId="0" fontId="163" fillId="44" borderId="94"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10" fontId="164" fillId="44" borderId="94" xfId="8736" applyNumberFormat="1" applyFont="1" applyFill="1" applyBorder="1" applyAlignment="1">
      <alignment horizontal="center"/>
    </xf>
    <xf numFmtId="10" fontId="164" fillId="44" borderId="86" xfId="8736" applyNumberFormat="1" applyFont="1" applyFill="1" applyBorder="1" applyAlignment="1">
      <alignment horizontal="center"/>
    </xf>
    <xf numFmtId="10" fontId="164" fillId="44" borderId="85" xfId="8736" applyNumberFormat="1" applyFont="1" applyFill="1" applyBorder="1" applyAlignment="1">
      <alignment horizontal="center"/>
    </xf>
    <xf numFmtId="0" fontId="164" fillId="44" borderId="101" xfId="8736" applyFont="1" applyFill="1" applyBorder="1" applyAlignment="1">
      <alignment horizontal="center"/>
    </xf>
    <xf numFmtId="0" fontId="164" fillId="44" borderId="42" xfId="8736" applyFont="1" applyFill="1" applyBorder="1" applyAlignment="1">
      <alignment horizontal="center"/>
    </xf>
    <xf numFmtId="0" fontId="164" fillId="44" borderId="96" xfId="8736" applyFont="1" applyFill="1" applyBorder="1" applyAlignment="1">
      <alignment horizontal="center"/>
    </xf>
    <xf numFmtId="9" fontId="164" fillId="44" borderId="101" xfId="1022" applyFont="1" applyFill="1" applyBorder="1" applyAlignment="1">
      <alignment horizontal="center"/>
    </xf>
    <xf numFmtId="9" fontId="164" fillId="44" borderId="42" xfId="1022" applyFont="1" applyFill="1" applyBorder="1" applyAlignment="1">
      <alignment horizontal="center"/>
    </xf>
    <xf numFmtId="9" fontId="164" fillId="44" borderId="44" xfId="1022" applyFont="1" applyFill="1" applyBorder="1" applyAlignment="1">
      <alignment horizontal="center"/>
    </xf>
    <xf numFmtId="0" fontId="157" fillId="45" borderId="80" xfId="8736" applyFont="1" applyFill="1" applyBorder="1" applyAlignment="1">
      <alignment horizontal="center"/>
    </xf>
    <xf numFmtId="0" fontId="157" fillId="45" borderId="79" xfId="8736" applyFont="1" applyFill="1" applyBorder="1" applyAlignment="1">
      <alignment horizontal="center"/>
    </xf>
    <xf numFmtId="0" fontId="157" fillId="45" borderId="78" xfId="8736" applyFont="1" applyFill="1" applyBorder="1" applyAlignment="1">
      <alignment horizontal="center"/>
    </xf>
    <xf numFmtId="0" fontId="156" fillId="45" borderId="98" xfId="8736" applyFont="1" applyFill="1" applyBorder="1" applyAlignment="1">
      <alignment horizontal="center" vertical="center" wrapText="1"/>
    </xf>
    <xf numFmtId="0" fontId="156" fillId="45" borderId="13" xfId="8736" applyFont="1" applyFill="1" applyBorder="1" applyAlignment="1">
      <alignment horizontal="center" vertical="center"/>
    </xf>
    <xf numFmtId="0" fontId="156" fillId="45" borderId="72" xfId="8736" applyFont="1" applyFill="1" applyBorder="1" applyAlignment="1">
      <alignment horizontal="center" vertical="center"/>
    </xf>
    <xf numFmtId="0" fontId="156" fillId="45" borderId="11" xfId="8736" applyFont="1" applyFill="1" applyBorder="1" applyAlignment="1">
      <alignment horizontal="center" vertical="center"/>
    </xf>
    <xf numFmtId="0" fontId="164" fillId="45" borderId="13"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11" xfId="8736" applyFont="1" applyFill="1" applyBorder="1" applyAlignment="1">
      <alignment horizontal="center" vertical="center"/>
    </xf>
    <xf numFmtId="0" fontId="164" fillId="45" borderId="9" xfId="8736" applyFont="1" applyFill="1" applyBorder="1" applyAlignment="1">
      <alignment horizontal="center" vertical="center"/>
    </xf>
    <xf numFmtId="0" fontId="164" fillId="45" borderId="3" xfId="8736" applyFont="1" applyFill="1" applyBorder="1" applyAlignment="1">
      <alignment horizontal="center" vertic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6" fillId="45" borderId="65" xfId="8736" applyFont="1" applyFill="1" applyBorder="1" applyAlignment="1">
      <alignment horizontal="center" vertical="center" wrapText="1"/>
    </xf>
    <xf numFmtId="0" fontId="156" fillId="45" borderId="29" xfId="8736" applyFont="1" applyFill="1" applyBorder="1" applyAlignment="1">
      <alignment horizontal="center" vertical="center" wrapText="1"/>
    </xf>
    <xf numFmtId="0" fontId="156" fillId="45" borderId="31" xfId="8736" applyFont="1" applyFill="1" applyBorder="1" applyAlignment="1">
      <alignment horizontal="center" vertical="center" wrapText="1"/>
    </xf>
    <xf numFmtId="0" fontId="156" fillId="45" borderId="73" xfId="8736" applyFont="1" applyFill="1" applyBorder="1" applyAlignment="1">
      <alignment horizontal="center" vertical="center" wrapText="1"/>
    </xf>
    <xf numFmtId="0" fontId="156" fillId="45" borderId="42" xfId="8736" applyFont="1" applyFill="1" applyBorder="1" applyAlignment="1">
      <alignment horizontal="center" vertical="center" wrapText="1"/>
    </xf>
    <xf numFmtId="0" fontId="156" fillId="45" borderId="44" xfId="8736" applyFont="1" applyFill="1" applyBorder="1" applyAlignment="1">
      <alignment horizontal="center" vertical="center" wrapText="1"/>
    </xf>
    <xf numFmtId="9" fontId="164" fillId="48" borderId="13" xfId="8736" applyNumberFormat="1" applyFont="1" applyFill="1" applyBorder="1" applyAlignment="1" applyProtection="1">
      <alignment horizontal="center"/>
      <protection locked="0"/>
    </xf>
    <xf numFmtId="0" fontId="164" fillId="44" borderId="73" xfId="8736" applyFont="1" applyFill="1" applyBorder="1" applyAlignment="1">
      <alignment horizontal="center"/>
    </xf>
    <xf numFmtId="0" fontId="156" fillId="44" borderId="9" xfId="8736" applyFont="1" applyFill="1" applyBorder="1" applyAlignment="1">
      <alignment horizontal="center"/>
    </xf>
    <xf numFmtId="0" fontId="156" fillId="44" borderId="6" xfId="8736" applyFont="1" applyFill="1" applyBorder="1" applyAlignment="1">
      <alignment horizontal="center"/>
    </xf>
    <xf numFmtId="0" fontId="156" fillId="44" borderId="82" xfId="8736" applyFont="1" applyFill="1" applyBorder="1" applyAlignment="1">
      <alignment horizontal="center"/>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9" fontId="156" fillId="48" borderId="9" xfId="8736" applyNumberFormat="1" applyFont="1" applyFill="1" applyBorder="1" applyAlignment="1" applyProtection="1">
      <alignment horizontal="center"/>
      <protection locked="0"/>
    </xf>
    <xf numFmtId="9" fontId="156" fillId="48" borderId="6" xfId="8736" applyNumberFormat="1" applyFont="1" applyFill="1" applyBorder="1" applyAlignment="1" applyProtection="1">
      <alignment horizontal="center"/>
      <protection locked="0"/>
    </xf>
    <xf numFmtId="9" fontId="156" fillId="48" borderId="10" xfId="8736" applyNumberFormat="1" applyFont="1" applyFill="1" applyBorder="1" applyAlignment="1" applyProtection="1">
      <alignment horizontal="center"/>
      <protection locked="0"/>
    </xf>
    <xf numFmtId="0" fontId="156" fillId="44" borderId="10" xfId="8736" applyFont="1" applyFill="1" applyBorder="1" applyAlignment="1">
      <alignment horizontal="center"/>
    </xf>
    <xf numFmtId="1" fontId="168" fillId="48" borderId="3" xfId="8736" applyNumberFormat="1" applyFont="1" applyFill="1" applyBorder="1" applyAlignment="1" applyProtection="1">
      <alignment horizontal="center"/>
      <protection locked="0"/>
    </xf>
    <xf numFmtId="1" fontId="168" fillId="48" borderId="4" xfId="8736" applyNumberFormat="1" applyFont="1" applyFill="1" applyBorder="1" applyAlignment="1" applyProtection="1">
      <alignment horizontal="center"/>
      <protection locked="0"/>
    </xf>
    <xf numFmtId="1" fontId="168" fillId="48" borderId="5" xfId="8736" applyNumberFormat="1" applyFont="1" applyFill="1" applyBorder="1" applyAlignment="1" applyProtection="1">
      <alignment horizontal="center"/>
      <protection locked="0"/>
    </xf>
    <xf numFmtId="1" fontId="156" fillId="44" borderId="3" xfId="8736" applyNumberFormat="1" applyFont="1" applyFill="1" applyBorder="1" applyAlignment="1">
      <alignment horizontal="center"/>
    </xf>
    <xf numFmtId="1" fontId="156" fillId="44" borderId="4" xfId="8736" applyNumberFormat="1" applyFont="1" applyFill="1" applyBorder="1" applyAlignment="1">
      <alignment horizontal="center"/>
    </xf>
    <xf numFmtId="1" fontId="156" fillId="44" borderId="5" xfId="8736" applyNumberFormat="1" applyFont="1" applyFill="1" applyBorder="1" applyAlignment="1">
      <alignment horizontal="center"/>
    </xf>
    <xf numFmtId="9" fontId="156" fillId="44" borderId="3" xfId="8738" applyFont="1" applyFill="1" applyBorder="1" applyAlignment="1">
      <alignment horizontal="center"/>
    </xf>
    <xf numFmtId="9" fontId="156" fillId="44" borderId="4" xfId="8738" applyFont="1" applyFill="1" applyBorder="1" applyAlignment="1">
      <alignment horizontal="center"/>
    </xf>
    <xf numFmtId="9" fontId="156" fillId="44" borderId="81" xfId="8738" applyFont="1" applyFill="1" applyBorder="1" applyAlignment="1">
      <alignment horizontal="center"/>
    </xf>
    <xf numFmtId="0" fontId="165" fillId="48" borderId="72" xfId="8736" applyFont="1" applyFill="1" applyBorder="1" applyAlignment="1" applyProtection="1">
      <alignment horizontal="right"/>
      <protection locked="0"/>
    </xf>
    <xf numFmtId="0" fontId="165" fillId="48" borderId="11" xfId="8736" applyFont="1" applyFill="1" applyBorder="1" applyAlignment="1" applyProtection="1">
      <alignment horizontal="right"/>
      <protection locked="0"/>
    </xf>
    <xf numFmtId="0" fontId="168" fillId="48" borderId="11" xfId="8736" applyFont="1" applyFill="1" applyBorder="1" applyAlignment="1" applyProtection="1">
      <alignment horizontal="center"/>
      <protection locked="0"/>
    </xf>
    <xf numFmtId="1" fontId="168" fillId="48" borderId="11" xfId="8736" applyNumberFormat="1" applyFont="1" applyFill="1" applyBorder="1" applyAlignment="1" applyProtection="1">
      <alignment horizontal="center"/>
      <protection locked="0"/>
    </xf>
    <xf numFmtId="0" fontId="163" fillId="48" borderId="72" xfId="8736" applyFont="1" applyFill="1" applyBorder="1" applyAlignment="1" applyProtection="1">
      <alignment horizontal="right"/>
      <protection locked="0"/>
    </xf>
    <xf numFmtId="0" fontId="163" fillId="48" borderId="11" xfId="8736" applyFont="1" applyFill="1" applyBorder="1" applyAlignment="1" applyProtection="1">
      <alignment horizontal="right"/>
      <protection locked="0"/>
    </xf>
    <xf numFmtId="0" fontId="163" fillId="48" borderId="69" xfId="8736" applyFont="1" applyFill="1" applyBorder="1" applyAlignment="1" applyProtection="1">
      <alignment horizontal="right"/>
      <protection locked="0"/>
    </xf>
    <xf numFmtId="0" fontId="163" fillId="48" borderId="70" xfId="8736" applyFont="1" applyFill="1" applyBorder="1" applyAlignment="1" applyProtection="1">
      <alignment horizontal="right"/>
      <protection locked="0"/>
    </xf>
    <xf numFmtId="0" fontId="168" fillId="48" borderId="70" xfId="8736" applyFont="1" applyFill="1" applyBorder="1" applyAlignment="1" applyProtection="1">
      <alignment horizontal="center"/>
      <protection locked="0"/>
    </xf>
    <xf numFmtId="1" fontId="168" fillId="48" borderId="70" xfId="8736" applyNumberFormat="1" applyFont="1" applyFill="1" applyBorder="1" applyAlignment="1" applyProtection="1">
      <alignment horizontal="center"/>
      <protection locked="0"/>
    </xf>
    <xf numFmtId="9" fontId="156" fillId="44" borderId="94" xfId="8738" applyFont="1" applyFill="1" applyBorder="1" applyAlignment="1">
      <alignment horizontal="center"/>
    </xf>
    <xf numFmtId="9" fontId="156" fillId="44" borderId="86" xfId="8738" applyFont="1" applyFill="1" applyBorder="1" applyAlignment="1">
      <alignment horizontal="center"/>
    </xf>
    <xf numFmtId="9" fontId="156" fillId="44" borderId="85" xfId="8738" applyFont="1" applyFill="1" applyBorder="1" applyAlignment="1">
      <alignment horizontal="center"/>
    </xf>
    <xf numFmtId="1" fontId="168" fillId="48" borderId="94" xfId="8736" applyNumberFormat="1" applyFont="1" applyFill="1" applyBorder="1" applyAlignment="1" applyProtection="1">
      <alignment horizontal="center"/>
      <protection locked="0"/>
    </xf>
    <xf numFmtId="1" fontId="168" fillId="48" borderId="86" xfId="8736" applyNumberFormat="1" applyFont="1" applyFill="1" applyBorder="1" applyAlignment="1" applyProtection="1">
      <alignment horizontal="center"/>
      <protection locked="0"/>
    </xf>
    <xf numFmtId="1" fontId="168" fillId="48" borderId="95" xfId="8736" applyNumberFormat="1" applyFont="1" applyFill="1" applyBorder="1" applyAlignment="1" applyProtection="1">
      <alignment horizontal="center"/>
      <protection locked="0"/>
    </xf>
    <xf numFmtId="0" fontId="157" fillId="45" borderId="67" xfId="8736" applyFont="1" applyFill="1" applyBorder="1" applyAlignment="1">
      <alignment horizontal="center"/>
    </xf>
    <xf numFmtId="0" fontId="157" fillId="45" borderId="68" xfId="8736" applyFont="1" applyFill="1" applyBorder="1" applyAlignment="1">
      <alignment horizontal="center"/>
    </xf>
    <xf numFmtId="0" fontId="157" fillId="45" borderId="71" xfId="8736" applyFont="1" applyFill="1" applyBorder="1" applyAlignment="1">
      <alignment horizontal="center"/>
    </xf>
    <xf numFmtId="0" fontId="164" fillId="45" borderId="72" xfId="8736" applyFont="1" applyFill="1" applyBorder="1" applyAlignment="1">
      <alignment horizontal="center"/>
    </xf>
    <xf numFmtId="0" fontId="164" fillId="45" borderId="11" xfId="8736" applyFont="1" applyFill="1" applyBorder="1" applyAlignment="1">
      <alignment horizontal="center"/>
    </xf>
    <xf numFmtId="0" fontId="156" fillId="45" borderId="11" xfId="8736" applyFont="1" applyFill="1" applyBorder="1" applyAlignment="1">
      <alignment horizontal="center" vertical="center" wrapText="1"/>
    </xf>
    <xf numFmtId="0" fontId="156" fillId="45" borderId="76" xfId="8736" applyFont="1" applyFill="1" applyBorder="1" applyAlignment="1">
      <alignment horizontal="center" vertical="center" wrapText="1"/>
    </xf>
    <xf numFmtId="0" fontId="163" fillId="48" borderId="11" xfId="8736" applyFont="1" applyFill="1" applyBorder="1" applyAlignment="1" applyProtection="1">
      <alignment horizontal="center"/>
      <protection locked="0"/>
    </xf>
    <xf numFmtId="168" fontId="163" fillId="48" borderId="11" xfId="8737" applyNumberFormat="1" applyFont="1" applyFill="1" applyBorder="1" applyAlignment="1" applyProtection="1">
      <alignment horizontal="center"/>
      <protection locked="0"/>
    </xf>
    <xf numFmtId="1" fontId="163" fillId="48" borderId="11" xfId="8736" applyNumberFormat="1" applyFont="1" applyFill="1" applyBorder="1" applyAlignment="1" applyProtection="1">
      <alignment horizontal="center"/>
      <protection locked="0"/>
    </xf>
    <xf numFmtId="0" fontId="163" fillId="48" borderId="11" xfId="700" applyNumberFormat="1" applyFont="1" applyFill="1" applyBorder="1" applyAlignment="1" applyProtection="1">
      <alignment horizontal="left"/>
      <protection locked="0"/>
    </xf>
    <xf numFmtId="0" fontId="163" fillId="48" borderId="76" xfId="700" applyNumberFormat="1" applyFont="1" applyFill="1" applyBorder="1" applyAlignment="1" applyProtection="1">
      <alignment horizontal="left"/>
      <protection locked="0"/>
    </xf>
    <xf numFmtId="0" fontId="157" fillId="45" borderId="65" xfId="8736" applyFont="1" applyFill="1" applyBorder="1" applyAlignment="1">
      <alignment horizontal="center"/>
    </xf>
    <xf numFmtId="0" fontId="157" fillId="45" borderId="29" xfId="8736" applyFont="1" applyFill="1" applyBorder="1" applyAlignment="1">
      <alignment horizontal="center"/>
    </xf>
    <xf numFmtId="0" fontId="157" fillId="45" borderId="31" xfId="8736" applyFont="1" applyFill="1" applyBorder="1" applyAlignment="1">
      <alignment horizontal="center"/>
    </xf>
    <xf numFmtId="0" fontId="163" fillId="44" borderId="72" xfId="8736" applyFont="1" applyFill="1" applyBorder="1" applyAlignment="1" applyProtection="1">
      <alignment horizontal="right"/>
      <protection locked="0"/>
    </xf>
    <xf numFmtId="0" fontId="163" fillId="44" borderId="11" xfId="8736" applyFont="1" applyFill="1" applyBorder="1" applyAlignment="1" applyProtection="1">
      <alignment horizontal="right"/>
      <protection locked="0"/>
    </xf>
    <xf numFmtId="0" fontId="163" fillId="44" borderId="76" xfId="8736" applyFont="1" applyFill="1" applyBorder="1" applyAlignment="1" applyProtection="1">
      <alignment horizontal="right"/>
      <protection locked="0"/>
    </xf>
    <xf numFmtId="0" fontId="163" fillId="48" borderId="5" xfId="8736" applyFont="1" applyFill="1" applyBorder="1" applyAlignment="1" applyProtection="1">
      <alignment horizontal="left"/>
      <protection locked="0"/>
    </xf>
    <xf numFmtId="0" fontId="163" fillId="48" borderId="11" xfId="8736" applyFont="1" applyFill="1" applyBorder="1" applyAlignment="1" applyProtection="1">
      <alignment horizontal="left"/>
      <protection locked="0"/>
    </xf>
    <xf numFmtId="0" fontId="163" fillId="48" borderId="76" xfId="8736" applyFont="1" applyFill="1" applyBorder="1" applyAlignment="1" applyProtection="1">
      <alignment horizontal="left"/>
      <protection locked="0"/>
    </xf>
    <xf numFmtId="0" fontId="164" fillId="45" borderId="69" xfId="8736" applyFont="1" applyFill="1" applyBorder="1" applyAlignment="1">
      <alignment horizontal="center"/>
    </xf>
    <xf numFmtId="0" fontId="164" fillId="45" borderId="70" xfId="8736" applyFont="1" applyFill="1" applyBorder="1" applyAlignment="1">
      <alignment horizontal="center"/>
    </xf>
    <xf numFmtId="168" fontId="164" fillId="45" borderId="70" xfId="8737" applyNumberFormat="1" applyFont="1" applyFill="1" applyBorder="1" applyAlignment="1">
      <alignment horizontal="center"/>
    </xf>
    <xf numFmtId="1" fontId="164" fillId="45" borderId="70" xfId="8737" applyNumberFormat="1" applyFont="1" applyFill="1" applyBorder="1" applyAlignment="1">
      <alignment horizontal="center"/>
    </xf>
    <xf numFmtId="0" fontId="164" fillId="45" borderId="70" xfId="8737" applyNumberFormat="1" applyFont="1" applyFill="1" applyBorder="1" applyAlignment="1">
      <alignment horizontal="center"/>
    </xf>
    <xf numFmtId="0" fontId="164" fillId="45" borderId="77" xfId="8737" applyNumberFormat="1" applyFont="1" applyFill="1" applyBorder="1" applyAlignment="1">
      <alignment horizontal="center"/>
    </xf>
    <xf numFmtId="0" fontId="160" fillId="48" borderId="74" xfId="8736" applyFont="1" applyFill="1" applyBorder="1" applyAlignment="1" applyProtection="1">
      <alignment horizontal="left"/>
      <protection locked="0"/>
    </xf>
    <xf numFmtId="0" fontId="160" fillId="48" borderId="68" xfId="8736" applyFont="1" applyFill="1" applyBorder="1" applyAlignment="1" applyProtection="1">
      <alignment horizontal="left"/>
      <protection locked="0"/>
    </xf>
    <xf numFmtId="0" fontId="160" fillId="48" borderId="71" xfId="8736" applyFont="1" applyFill="1" applyBorder="1" applyAlignment="1" applyProtection="1">
      <alignment horizontal="left"/>
      <protection locked="0"/>
    </xf>
    <xf numFmtId="0" fontId="157" fillId="45" borderId="72" xfId="8736" applyFont="1" applyFill="1" applyBorder="1" applyAlignment="1">
      <alignment horizontal="center"/>
    </xf>
    <xf numFmtId="0" fontId="157" fillId="45" borderId="11" xfId="8736" applyFont="1" applyFill="1" applyBorder="1" applyAlignment="1">
      <alignment horizontal="center"/>
    </xf>
    <xf numFmtId="0" fontId="157" fillId="45" borderId="81" xfId="8736" applyFont="1" applyFill="1" applyBorder="1" applyAlignment="1">
      <alignment horizontal="center"/>
    </xf>
    <xf numFmtId="0" fontId="94" fillId="45" borderId="69" xfId="8736" applyFont="1" applyFill="1" applyBorder="1" applyAlignment="1">
      <alignment horizontal="center"/>
    </xf>
    <xf numFmtId="0" fontId="94" fillId="45" borderId="70" xfId="8736" applyFont="1" applyFill="1" applyBorder="1" applyAlignment="1">
      <alignment horizontal="center"/>
    </xf>
    <xf numFmtId="0" fontId="163" fillId="44" borderId="69" xfId="8736" applyFont="1" applyFill="1" applyBorder="1" applyAlignment="1" applyProtection="1">
      <alignment horizontal="right"/>
      <protection locked="0"/>
    </xf>
    <xf numFmtId="0" fontId="163" fillId="44" borderId="70" xfId="8736" applyFont="1" applyFill="1" applyBorder="1" applyAlignment="1" applyProtection="1">
      <alignment horizontal="right"/>
      <protection locked="0"/>
    </xf>
    <xf numFmtId="0" fontId="163" fillId="44" borderId="77" xfId="8736" applyFont="1" applyFill="1" applyBorder="1" applyAlignment="1" applyProtection="1">
      <alignment horizontal="right"/>
      <protection locked="0"/>
    </xf>
    <xf numFmtId="0" fontId="163" fillId="48" borderId="95" xfId="8736" applyFont="1" applyFill="1" applyBorder="1" applyAlignment="1" applyProtection="1">
      <alignment horizontal="left"/>
      <protection locked="0"/>
    </xf>
    <xf numFmtId="0" fontId="163" fillId="48" borderId="70" xfId="8736" applyFont="1" applyFill="1" applyBorder="1" applyAlignment="1" applyProtection="1">
      <alignment horizontal="left"/>
      <protection locked="0"/>
    </xf>
    <xf numFmtId="0" fontId="163" fillId="48" borderId="77" xfId="8736" applyFont="1" applyFill="1" applyBorder="1" applyAlignment="1" applyProtection="1">
      <alignment horizontal="left"/>
      <protection locked="0"/>
    </xf>
    <xf numFmtId="168" fontId="165" fillId="48" borderId="11" xfId="700" applyNumberFormat="1" applyFont="1" applyFill="1" applyBorder="1" applyAlignment="1" applyProtection="1">
      <alignment horizontal="left"/>
      <protection locked="0"/>
    </xf>
    <xf numFmtId="168" fontId="165" fillId="48" borderId="76" xfId="700" applyNumberFormat="1" applyFont="1" applyFill="1" applyBorder="1" applyAlignment="1" applyProtection="1">
      <alignment horizontal="left"/>
      <protection locked="0"/>
    </xf>
    <xf numFmtId="0" fontId="163" fillId="48" borderId="68" xfId="8736" applyFont="1" applyFill="1" applyBorder="1" applyAlignment="1" applyProtection="1">
      <alignment horizontal="left"/>
      <protection locked="0"/>
    </xf>
    <xf numFmtId="0" fontId="163" fillId="48" borderId="71" xfId="8736" applyFont="1" applyFill="1" applyBorder="1" applyAlignment="1" applyProtection="1">
      <alignment horizontal="left"/>
      <protection locked="0"/>
    </xf>
    <xf numFmtId="0" fontId="157" fillId="45" borderId="69" xfId="8736" applyFont="1" applyFill="1" applyBorder="1" applyAlignment="1">
      <alignment horizontal="center"/>
    </xf>
    <xf numFmtId="0" fontId="157" fillId="45" borderId="70" xfId="8736" applyFont="1" applyFill="1" applyBorder="1" applyAlignment="1">
      <alignment horizontal="center"/>
    </xf>
    <xf numFmtId="0" fontId="94" fillId="45" borderId="67" xfId="8736" applyFont="1" applyFill="1" applyBorder="1" applyAlignment="1">
      <alignment horizontal="center"/>
    </xf>
    <xf numFmtId="0" fontId="94" fillId="45" borderId="68" xfId="8736" applyFont="1" applyFill="1" applyBorder="1" applyAlignment="1">
      <alignment horizontal="center"/>
    </xf>
    <xf numFmtId="0" fontId="157" fillId="45" borderId="98" xfId="8736" applyFont="1" applyFill="1" applyBorder="1" applyAlignment="1">
      <alignment horizontal="center"/>
    </xf>
    <xf numFmtId="0" fontId="157" fillId="45" borderId="13" xfId="8736" applyFont="1" applyFill="1" applyBorder="1" applyAlignment="1">
      <alignment horizontal="center"/>
    </xf>
    <xf numFmtId="0" fontId="163" fillId="48" borderId="72" xfId="8736" applyFont="1" applyFill="1" applyBorder="1" applyAlignment="1" applyProtection="1">
      <alignment horizontal="left" vertical="top"/>
      <protection locked="0"/>
    </xf>
    <xf numFmtId="0" fontId="163" fillId="48" borderId="11" xfId="8736" applyFont="1" applyFill="1" applyBorder="1" applyAlignment="1" applyProtection="1">
      <alignment horizontal="left" vertical="top"/>
      <protection locked="0"/>
    </xf>
    <xf numFmtId="0" fontId="163" fillId="48" borderId="76" xfId="8736" applyFont="1" applyFill="1" applyBorder="1" applyAlignment="1" applyProtection="1">
      <alignment horizontal="left" vertical="top"/>
      <protection locked="0"/>
    </xf>
    <xf numFmtId="0" fontId="163" fillId="48" borderId="69" xfId="8736" applyFont="1" applyFill="1" applyBorder="1" applyAlignment="1" applyProtection="1">
      <alignment horizontal="left" vertical="top"/>
      <protection locked="0"/>
    </xf>
    <xf numFmtId="0" fontId="163" fillId="48" borderId="70" xfId="8736" applyFont="1" applyFill="1" applyBorder="1" applyAlignment="1" applyProtection="1">
      <alignment horizontal="left" vertical="top"/>
      <protection locked="0"/>
    </xf>
    <xf numFmtId="0" fontId="163" fillId="48" borderId="77" xfId="8736" applyFont="1" applyFill="1" applyBorder="1" applyAlignment="1" applyProtection="1">
      <alignment horizontal="left" vertical="top"/>
      <protection locked="0"/>
    </xf>
    <xf numFmtId="0" fontId="163" fillId="48" borderId="72" xfId="8736" applyFont="1" applyFill="1" applyBorder="1" applyAlignment="1" applyProtection="1">
      <alignment horizontal="center"/>
      <protection locked="0"/>
    </xf>
    <xf numFmtId="0" fontId="157" fillId="45" borderId="89" xfId="8736" applyFont="1" applyFill="1" applyBorder="1" applyAlignment="1">
      <alignment horizontal="right"/>
    </xf>
    <xf numFmtId="0" fontId="157" fillId="45" borderId="43" xfId="8736" applyFont="1" applyFill="1" applyBorder="1" applyAlignment="1">
      <alignment horizontal="right"/>
    </xf>
    <xf numFmtId="168" fontId="157" fillId="45" borderId="43" xfId="8736" applyNumberFormat="1" applyFont="1" applyFill="1" applyBorder="1" applyAlignment="1">
      <alignment horizontal="left"/>
    </xf>
    <xf numFmtId="168" fontId="15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94" fillId="45" borderId="67" xfId="8736" applyFont="1" applyFill="1" applyBorder="1" applyAlignment="1">
      <alignment horizontal="center" wrapText="1"/>
    </xf>
    <xf numFmtId="0" fontId="94" fillId="45" borderId="68" xfId="8736" applyFont="1" applyFill="1" applyBorder="1" applyAlignment="1">
      <alignment horizontal="center" wrapText="1"/>
    </xf>
    <xf numFmtId="0" fontId="94" fillId="45" borderId="71" xfId="8736" applyFont="1" applyFill="1" applyBorder="1" applyAlignment="1">
      <alignment horizontal="center" wrapText="1"/>
    </xf>
    <xf numFmtId="0" fontId="94" fillId="45" borderId="67" xfId="8736" applyFont="1" applyFill="1" applyBorder="1" applyAlignment="1">
      <alignment horizontal="left" wrapText="1"/>
    </xf>
    <xf numFmtId="0" fontId="94" fillId="45" borderId="68" xfId="8736" applyFont="1" applyFill="1" applyBorder="1" applyAlignment="1">
      <alignment horizontal="left" wrapText="1"/>
    </xf>
    <xf numFmtId="0" fontId="94" fillId="45" borderId="72" xfId="8736" applyFont="1" applyFill="1" applyBorder="1" applyAlignment="1">
      <alignment horizontal="left" wrapText="1"/>
    </xf>
    <xf numFmtId="0" fontId="94" fillId="45" borderId="11" xfId="8736" applyFont="1" applyFill="1" applyBorder="1" applyAlignment="1">
      <alignment horizontal="left" wrapText="1"/>
    </xf>
    <xf numFmtId="0" fontId="160" fillId="48" borderId="68" xfId="8736" applyFont="1" applyFill="1" applyBorder="1" applyAlignment="1" applyProtection="1">
      <alignment horizontal="left" wrapText="1"/>
      <protection locked="0"/>
    </xf>
    <xf numFmtId="0" fontId="160" fillId="48" borderId="71" xfId="8736" applyFont="1" applyFill="1" applyBorder="1" applyAlignment="1" applyProtection="1">
      <alignment horizontal="left" wrapText="1"/>
      <protection locked="0"/>
    </xf>
    <xf numFmtId="0" fontId="160" fillId="48" borderId="11" xfId="8736" applyFont="1" applyFill="1" applyBorder="1" applyAlignment="1" applyProtection="1">
      <alignment horizontal="left" wrapText="1"/>
      <protection locked="0"/>
    </xf>
    <xf numFmtId="0" fontId="160" fillId="48" borderId="76" xfId="8736" applyFont="1" applyFill="1" applyBorder="1" applyAlignment="1" applyProtection="1">
      <alignment horizontal="left" wrapText="1"/>
      <protection locked="0"/>
    </xf>
    <xf numFmtId="0" fontId="164" fillId="45" borderId="11" xfId="8736" applyFont="1" applyFill="1" applyBorder="1" applyAlignment="1">
      <alignment horizontal="center" wrapText="1"/>
    </xf>
    <xf numFmtId="0" fontId="156" fillId="45" borderId="11" xfId="8736" applyFont="1" applyFill="1" applyBorder="1" applyAlignment="1">
      <alignment horizontal="center"/>
    </xf>
    <xf numFmtId="0" fontId="15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0" fillId="48" borderId="3" xfId="8736" applyFont="1" applyFill="1" applyBorder="1" applyAlignment="1" applyProtection="1">
      <alignment horizontal="center"/>
      <protection locked="0"/>
    </xf>
    <xf numFmtId="0" fontId="160" fillId="48" borderId="4" xfId="8736" applyFont="1" applyFill="1" applyBorder="1" applyAlignment="1" applyProtection="1">
      <alignment horizontal="center"/>
      <protection locked="0"/>
    </xf>
    <xf numFmtId="0" fontId="160" fillId="48" borderId="81" xfId="8736" applyFont="1" applyFill="1" applyBorder="1" applyAlignment="1" applyProtection="1">
      <alignment horizontal="center"/>
      <protection locked="0"/>
    </xf>
    <xf numFmtId="0" fontId="94" fillId="45" borderId="71" xfId="8736" applyFont="1" applyFill="1" applyBorder="1" applyAlignment="1">
      <alignment horizontal="center"/>
    </xf>
    <xf numFmtId="0" fontId="94" fillId="45" borderId="67" xfId="8736" applyFont="1" applyFill="1" applyBorder="1" applyAlignment="1" applyProtection="1">
      <alignment horizontal="left" vertical="center" wrapText="1"/>
      <protection locked="0"/>
    </xf>
    <xf numFmtId="0" fontId="94" fillId="45" borderId="68" xfId="8736" applyFont="1" applyFill="1" applyBorder="1" applyAlignment="1" applyProtection="1">
      <alignment horizontal="left" vertical="center" wrapText="1"/>
      <protection locked="0"/>
    </xf>
    <xf numFmtId="0" fontId="94" fillId="45" borderId="72" xfId="8736" applyFont="1" applyFill="1" applyBorder="1" applyAlignment="1" applyProtection="1">
      <alignment horizontal="left" vertical="center" wrapText="1"/>
      <protection locked="0"/>
    </xf>
    <xf numFmtId="0" fontId="94" fillId="45" borderId="11" xfId="8736" applyFont="1" applyFill="1" applyBorder="1" applyAlignment="1" applyProtection="1">
      <alignment horizontal="left" vertical="center" wrapText="1"/>
      <protection locked="0"/>
    </xf>
    <xf numFmtId="0" fontId="160" fillId="48" borderId="68" xfId="8736" applyFont="1" applyFill="1" applyBorder="1" applyAlignment="1" applyProtection="1">
      <alignment horizontal="left" vertical="center" wrapText="1"/>
      <protection locked="0"/>
    </xf>
    <xf numFmtId="0" fontId="160" fillId="48" borderId="71" xfId="8736" applyFont="1" applyFill="1" applyBorder="1" applyAlignment="1" applyProtection="1">
      <alignment horizontal="left" vertical="center" wrapText="1"/>
      <protection locked="0"/>
    </xf>
    <xf numFmtId="0" fontId="160" fillId="48" borderId="11" xfId="8736" applyFont="1" applyFill="1" applyBorder="1" applyAlignment="1" applyProtection="1">
      <alignment horizontal="left" vertical="center" wrapText="1"/>
      <protection locked="0"/>
    </xf>
    <xf numFmtId="0" fontId="160" fillId="48" borderId="76" xfId="8736" applyFont="1" applyFill="1" applyBorder="1" applyAlignment="1" applyProtection="1">
      <alignment horizontal="left" vertical="center" wrapText="1"/>
      <protection locked="0"/>
    </xf>
    <xf numFmtId="0" fontId="163" fillId="48" borderId="72" xfId="8736" applyFont="1" applyFill="1" applyBorder="1" applyAlignment="1" applyProtection="1">
      <alignment horizontal="left" vertical="top" wrapText="1"/>
      <protection locked="0"/>
    </xf>
    <xf numFmtId="0" fontId="163" fillId="48" borderId="11" xfId="8736" applyFont="1" applyFill="1" applyBorder="1" applyAlignment="1" applyProtection="1">
      <alignment horizontal="left" vertical="top" wrapText="1"/>
      <protection locked="0"/>
    </xf>
    <xf numFmtId="0" fontId="163" fillId="48" borderId="69" xfId="8736" applyFont="1" applyFill="1" applyBorder="1" applyAlignment="1" applyProtection="1">
      <alignment horizontal="left" vertical="top" wrapText="1"/>
      <protection locked="0"/>
    </xf>
    <xf numFmtId="0" fontId="163" fillId="48" borderId="70" xfId="8736" applyFont="1" applyFill="1" applyBorder="1" applyAlignment="1" applyProtection="1">
      <alignment horizontal="left" vertical="top" wrapText="1"/>
      <protection locked="0"/>
    </xf>
    <xf numFmtId="0" fontId="160" fillId="48" borderId="11" xfId="8736" applyFont="1" applyFill="1" applyBorder="1" applyAlignment="1" applyProtection="1">
      <alignment horizontal="center" vertical="center" wrapText="1"/>
      <protection locked="0"/>
    </xf>
    <xf numFmtId="0" fontId="160" fillId="48" borderId="76" xfId="8736" applyFont="1" applyFill="1" applyBorder="1" applyAlignment="1" applyProtection="1">
      <alignment horizontal="center" vertical="center" wrapText="1"/>
      <protection locked="0"/>
    </xf>
    <xf numFmtId="0" fontId="160" fillId="48" borderId="70" xfId="8736" applyFont="1" applyFill="1" applyBorder="1" applyAlignment="1" applyProtection="1">
      <alignment horizontal="center" vertical="center" wrapText="1"/>
      <protection locked="0"/>
    </xf>
    <xf numFmtId="0" fontId="160" fillId="48" borderId="77" xfId="8736" applyFont="1" applyFill="1" applyBorder="1" applyAlignment="1" applyProtection="1">
      <alignment horizontal="center" vertical="center" wrapText="1"/>
      <protection locked="0"/>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67" fillId="45" borderId="69" xfId="8736" applyFont="1" applyFill="1" applyBorder="1" applyAlignment="1">
      <alignment horizontal="left"/>
    </xf>
    <xf numFmtId="0" fontId="16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94" fillId="45" borderId="71" xfId="8736" applyFont="1" applyFill="1" applyBorder="1" applyAlignment="1">
      <alignment horizontal="left" wrapText="1"/>
    </xf>
    <xf numFmtId="0" fontId="94" fillId="45" borderId="76" xfId="8736" applyFont="1" applyFill="1" applyBorder="1" applyAlignment="1">
      <alignment horizontal="left" wrapText="1"/>
    </xf>
    <xf numFmtId="0" fontId="94" fillId="45" borderId="65" xfId="8736" applyFont="1" applyFill="1" applyBorder="1" applyAlignment="1">
      <alignment horizontal="center"/>
    </xf>
    <xf numFmtId="0" fontId="94" fillId="45" borderId="29" xfId="8736" applyFont="1" applyFill="1" applyBorder="1" applyAlignment="1">
      <alignment horizontal="center"/>
    </xf>
    <xf numFmtId="0" fontId="94" fillId="45" borderId="31" xfId="8736" applyFont="1" applyFill="1" applyBorder="1" applyAlignment="1">
      <alignment horizontal="center"/>
    </xf>
    <xf numFmtId="0" fontId="156" fillId="48" borderId="90" xfId="8736" applyFont="1" applyFill="1" applyBorder="1" applyAlignment="1">
      <alignment horizontal="left"/>
    </xf>
    <xf numFmtId="0" fontId="156" fillId="48" borderId="4" xfId="8736" applyFont="1" applyFill="1" applyBorder="1" applyAlignment="1">
      <alignment horizontal="left"/>
    </xf>
    <xf numFmtId="0" fontId="156" fillId="48" borderId="5" xfId="8736" applyFont="1" applyFill="1" applyBorder="1" applyAlignment="1">
      <alignment horizontal="left"/>
    </xf>
    <xf numFmtId="0" fontId="156" fillId="45" borderId="72" xfId="8736" applyFont="1" applyFill="1" applyBorder="1" applyAlignment="1">
      <alignment horizontal="left"/>
    </xf>
    <xf numFmtId="0" fontId="156" fillId="45" borderId="11" xfId="8736" applyFont="1" applyFill="1" applyBorder="1" applyAlignment="1">
      <alignment horizontal="left"/>
    </xf>
    <xf numFmtId="0" fontId="168" fillId="48" borderId="11" xfId="8736" applyFont="1" applyFill="1" applyBorder="1" applyAlignment="1" applyProtection="1">
      <alignment horizontal="left"/>
      <protection locked="0"/>
    </xf>
    <xf numFmtId="0" fontId="168" fillId="48" borderId="76" xfId="8736" applyFont="1" applyFill="1" applyBorder="1" applyAlignment="1" applyProtection="1">
      <alignment horizontal="left"/>
      <protection locked="0"/>
    </xf>
    <xf numFmtId="0" fontId="165" fillId="48" borderId="72" xfId="8736" applyFont="1" applyFill="1" applyBorder="1" applyAlignment="1" applyProtection="1">
      <alignment horizontal="left" vertical="top"/>
      <protection locked="0"/>
    </xf>
    <xf numFmtId="0" fontId="165" fillId="48" borderId="11" xfId="8736" applyFont="1" applyFill="1" applyBorder="1" applyAlignment="1" applyProtection="1">
      <alignment horizontal="left" vertical="top"/>
      <protection locked="0"/>
    </xf>
    <xf numFmtId="0" fontId="165" fillId="48" borderId="76" xfId="8736" applyFont="1" applyFill="1" applyBorder="1" applyAlignment="1" applyProtection="1">
      <alignment horizontal="left" vertical="top"/>
      <protection locked="0"/>
    </xf>
    <xf numFmtId="0" fontId="165" fillId="48" borderId="69" xfId="8736" applyFont="1" applyFill="1" applyBorder="1" applyAlignment="1" applyProtection="1">
      <alignment horizontal="left" vertical="top"/>
      <protection locked="0"/>
    </xf>
    <xf numFmtId="0" fontId="165" fillId="48" borderId="70" xfId="8736" applyFont="1" applyFill="1" applyBorder="1" applyAlignment="1" applyProtection="1">
      <alignment horizontal="left" vertical="top"/>
      <protection locked="0"/>
    </xf>
    <xf numFmtId="0" fontId="165" fillId="48" borderId="77" xfId="8736" applyFont="1" applyFill="1" applyBorder="1" applyAlignment="1" applyProtection="1">
      <alignment horizontal="left" vertical="top"/>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94" fillId="45" borderId="72" xfId="8736" applyFont="1" applyFill="1" applyBorder="1" applyAlignment="1">
      <alignment horizontal="center"/>
    </xf>
    <xf numFmtId="0" fontId="94" fillId="45" borderId="11" xfId="8736" applyFont="1" applyFill="1" applyBorder="1" applyAlignment="1">
      <alignment horizontal="center"/>
    </xf>
    <xf numFmtId="0" fontId="156" fillId="45" borderId="11" xfId="8736" applyFont="1" applyFill="1" applyBorder="1" applyAlignment="1">
      <alignment horizontal="center" wrapText="1"/>
    </xf>
    <xf numFmtId="0" fontId="156" fillId="45" borderId="76" xfId="8736" applyFont="1" applyFill="1" applyBorder="1" applyAlignment="1">
      <alignment horizontal="center" wrapText="1"/>
    </xf>
    <xf numFmtId="0" fontId="170" fillId="45" borderId="11" xfId="8736" applyFont="1" applyFill="1" applyBorder="1" applyAlignment="1">
      <alignment horizontal="left"/>
    </xf>
    <xf numFmtId="0" fontId="170" fillId="45" borderId="76" xfId="8736" applyFont="1" applyFill="1" applyBorder="1" applyAlignment="1">
      <alignment horizontal="left"/>
    </xf>
    <xf numFmtId="0" fontId="162" fillId="45" borderId="72" xfId="8736" applyFont="1" applyFill="1" applyBorder="1" applyAlignment="1">
      <alignment horizontal="center"/>
    </xf>
    <xf numFmtId="0" fontId="162" fillId="45" borderId="11" xfId="8736" applyFont="1" applyFill="1" applyBorder="1" applyAlignment="1">
      <alignment horizontal="center"/>
    </xf>
    <xf numFmtId="0" fontId="165" fillId="48" borderId="11" xfId="8736" applyFont="1" applyFill="1" applyBorder="1" applyAlignment="1" applyProtection="1">
      <alignment horizontal="center"/>
      <protection locked="0"/>
    </xf>
    <xf numFmtId="14" fontId="163" fillId="48" borderId="11" xfId="8736" applyNumberFormat="1" applyFont="1" applyFill="1" applyBorder="1" applyAlignment="1" applyProtection="1">
      <alignment horizontal="center"/>
      <protection locked="0"/>
    </xf>
    <xf numFmtId="14" fontId="165" fillId="48" borderId="11" xfId="8736" applyNumberFormat="1" applyFont="1" applyFill="1" applyBorder="1" applyAlignment="1" applyProtection="1">
      <alignment horizontal="center"/>
      <protection locked="0"/>
    </xf>
    <xf numFmtId="0" fontId="94" fillId="45" borderId="76" xfId="8736" applyFont="1" applyFill="1" applyBorder="1" applyAlignment="1">
      <alignment horizontal="center"/>
    </xf>
    <xf numFmtId="168" fontId="165" fillId="48" borderId="11" xfId="8737" applyNumberFormat="1" applyFont="1" applyFill="1" applyBorder="1" applyAlignment="1" applyProtection="1">
      <alignment horizontal="center"/>
      <protection locked="0"/>
    </xf>
    <xf numFmtId="168" fontId="165" fillId="48" borderId="76" xfId="8737" applyNumberFormat="1" applyFont="1" applyFill="1" applyBorder="1" applyAlignment="1" applyProtection="1">
      <alignment horizontal="center"/>
      <protection locked="0"/>
    </xf>
    <xf numFmtId="0" fontId="166" fillId="48" borderId="11" xfId="8736" applyFont="1" applyFill="1" applyBorder="1" applyAlignment="1" applyProtection="1">
      <alignment horizontal="left"/>
      <protection locked="0"/>
    </xf>
    <xf numFmtId="0" fontId="162" fillId="45" borderId="69" xfId="8736" applyFont="1" applyFill="1" applyBorder="1" applyAlignment="1">
      <alignment horizontal="center"/>
    </xf>
    <xf numFmtId="0" fontId="162" fillId="45" borderId="70" xfId="8736" applyFont="1" applyFill="1" applyBorder="1" applyAlignment="1">
      <alignment horizontal="center"/>
    </xf>
    <xf numFmtId="0" fontId="166" fillId="48" borderId="70" xfId="8736" applyFont="1" applyFill="1" applyBorder="1" applyAlignment="1" applyProtection="1">
      <alignment horizontal="left"/>
      <protection locked="0"/>
    </xf>
    <xf numFmtId="0" fontId="165" fillId="48" borderId="70" xfId="8736" applyFont="1" applyFill="1" applyBorder="1" applyAlignment="1" applyProtection="1">
      <alignment horizontal="center"/>
      <protection locked="0"/>
    </xf>
    <xf numFmtId="14" fontId="165" fillId="48" borderId="70" xfId="8736" applyNumberFormat="1" applyFont="1" applyFill="1" applyBorder="1" applyAlignment="1" applyProtection="1">
      <alignment horizontal="center"/>
      <protection locked="0"/>
    </xf>
    <xf numFmtId="168" fontId="165" fillId="48" borderId="70" xfId="8737" applyNumberFormat="1" applyFont="1" applyFill="1" applyBorder="1" applyAlignment="1" applyProtection="1">
      <alignment horizontal="center"/>
      <protection locked="0"/>
    </xf>
    <xf numFmtId="168" fontId="165" fillId="48" borderId="77" xfId="8737" applyNumberFormat="1" applyFont="1" applyFill="1" applyBorder="1" applyAlignment="1" applyProtection="1">
      <alignment horizontal="center"/>
      <protection locked="0"/>
    </xf>
    <xf numFmtId="0" fontId="157" fillId="45" borderId="67" xfId="8736" applyFont="1" applyFill="1" applyBorder="1" applyAlignment="1">
      <alignment horizontal="left"/>
    </xf>
    <xf numFmtId="0" fontId="157" fillId="45" borderId="68" xfId="8736" applyFont="1" applyFill="1" applyBorder="1" applyAlignment="1">
      <alignment horizontal="left"/>
    </xf>
    <xf numFmtId="0" fontId="157" fillId="45" borderId="71" xfId="8736" applyFont="1" applyFill="1" applyBorder="1" applyAlignment="1">
      <alignment horizontal="left"/>
    </xf>
    <xf numFmtId="14" fontId="163" fillId="48" borderId="76" xfId="8736" applyNumberFormat="1" applyFont="1" applyFill="1" applyBorder="1" applyAlignment="1" applyProtection="1">
      <alignment horizontal="center"/>
      <protection locked="0"/>
    </xf>
    <xf numFmtId="0" fontId="163" fillId="48" borderId="69" xfId="8736" applyFont="1" applyFill="1" applyBorder="1" applyAlignment="1" applyProtection="1">
      <alignment horizontal="center"/>
      <protection locked="0"/>
    </xf>
    <xf numFmtId="0" fontId="163" fillId="48" borderId="70" xfId="8736" applyFont="1" applyFill="1" applyBorder="1" applyAlignment="1" applyProtection="1">
      <alignment horizontal="center"/>
      <protection locked="0"/>
    </xf>
    <xf numFmtId="14" fontId="163" fillId="48" borderId="70" xfId="8736" applyNumberFormat="1" applyFont="1" applyFill="1" applyBorder="1" applyAlignment="1" applyProtection="1">
      <alignment horizontal="center"/>
      <protection locked="0"/>
    </xf>
    <xf numFmtId="14" fontId="163" fillId="48" borderId="77" xfId="8736" applyNumberFormat="1" applyFont="1" applyFill="1" applyBorder="1" applyAlignment="1" applyProtection="1">
      <alignment horizontal="center"/>
      <protection locked="0"/>
    </xf>
    <xf numFmtId="0" fontId="163" fillId="45" borderId="72" xfId="8736" applyFont="1" applyFill="1" applyBorder="1" applyAlignment="1">
      <alignment horizontal="right"/>
    </xf>
    <xf numFmtId="0" fontId="163" fillId="45" borderId="11" xfId="8736" applyFont="1" applyFill="1" applyBorder="1" applyAlignment="1">
      <alignment horizontal="right"/>
    </xf>
    <xf numFmtId="168" fontId="165" fillId="44" borderId="11" xfId="700" applyNumberFormat="1" applyFont="1" applyFill="1" applyBorder="1" applyAlignment="1">
      <alignment horizontal="left"/>
    </xf>
    <xf numFmtId="0" fontId="94" fillId="45" borderId="65" xfId="8736" applyFont="1" applyFill="1" applyBorder="1" applyAlignment="1">
      <alignment horizontal="left" wrapText="1"/>
    </xf>
    <xf numFmtId="0" fontId="94" fillId="45" borderId="29" xfId="8736" applyFont="1" applyFill="1" applyBorder="1" applyAlignment="1">
      <alignment horizontal="left" wrapText="1"/>
    </xf>
    <xf numFmtId="0" fontId="94" fillId="45" borderId="31" xfId="8736" applyFont="1" applyFill="1" applyBorder="1" applyAlignment="1">
      <alignment horizontal="left" wrapText="1"/>
    </xf>
    <xf numFmtId="0" fontId="94" fillId="45" borderId="73" xfId="8736" applyFont="1" applyFill="1" applyBorder="1" applyAlignment="1">
      <alignment horizontal="left" wrapText="1"/>
    </xf>
    <xf numFmtId="0" fontId="94" fillId="45" borderId="42" xfId="8736" applyFont="1" applyFill="1" applyBorder="1" applyAlignment="1">
      <alignment horizontal="left" wrapText="1"/>
    </xf>
    <xf numFmtId="0" fontId="94" fillId="45" borderId="44" xfId="8736" applyFont="1" applyFill="1" applyBorder="1" applyAlignment="1">
      <alignment horizontal="left" wrapText="1"/>
    </xf>
    <xf numFmtId="168" fontId="163" fillId="48" borderId="11" xfId="700" applyNumberFormat="1" applyFont="1" applyFill="1" applyBorder="1" applyAlignment="1" applyProtection="1">
      <alignment horizontal="left"/>
      <protection locked="0"/>
    </xf>
    <xf numFmtId="43" fontId="160" fillId="50" borderId="72" xfId="698" applyFont="1" applyFill="1" applyBorder="1" applyAlignment="1" applyProtection="1">
      <alignment horizontal="left"/>
      <protection hidden="1"/>
    </xf>
    <xf numFmtId="43" fontId="160"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4" fillId="47" borderId="0" xfId="8736" applyFont="1" applyFill="1" applyAlignment="1">
      <alignment horizontal="center"/>
    </xf>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165" fillId="45" borderId="72" xfId="8736" applyFont="1" applyFill="1" applyBorder="1" applyAlignment="1">
      <alignment horizontal="right"/>
    </xf>
    <xf numFmtId="0" fontId="165" fillId="45" borderId="11" xfId="8736" applyFont="1" applyFill="1" applyBorder="1" applyAlignment="1">
      <alignment horizontal="right"/>
    </xf>
    <xf numFmtId="168" fontId="16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57" fillId="50" borderId="111" xfId="698" applyFont="1" applyFill="1" applyBorder="1" applyAlignment="1" applyProtection="1">
      <alignment horizontal="center"/>
      <protection hidden="1"/>
    </xf>
    <xf numFmtId="43" fontId="157" fillId="50" borderId="84" xfId="698" applyFont="1" applyFill="1" applyBorder="1" applyAlignment="1" applyProtection="1">
      <alignment horizontal="center"/>
      <protection hidden="1"/>
    </xf>
    <xf numFmtId="43" fontId="157" fillId="50" borderId="102" xfId="698" applyFont="1" applyFill="1" applyBorder="1" applyAlignment="1" applyProtection="1">
      <alignment horizontal="center"/>
      <protection hidden="1"/>
    </xf>
    <xf numFmtId="43" fontId="160" fillId="50" borderId="98" xfId="698" applyFont="1" applyFill="1" applyBorder="1" applyAlignment="1" applyProtection="1">
      <alignment horizontal="left"/>
      <protection hidden="1"/>
    </xf>
    <xf numFmtId="43" fontId="160"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3" fillId="48" borderId="9" xfId="8736" applyFont="1" applyFill="1" applyBorder="1" applyAlignment="1">
      <alignment horizontal="center"/>
    </xf>
    <xf numFmtId="0" fontId="163" fillId="48" borderId="6" xfId="8736" applyFont="1" applyFill="1" applyBorder="1" applyAlignment="1">
      <alignment horizontal="center"/>
    </xf>
    <xf numFmtId="0" fontId="163" fillId="48" borderId="82" xfId="8736" applyFont="1" applyFill="1" applyBorder="1" applyAlignment="1">
      <alignment horizontal="center"/>
    </xf>
    <xf numFmtId="0" fontId="16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65" fillId="48" borderId="72" xfId="8736" applyFont="1" applyFill="1" applyBorder="1" applyAlignment="1" applyProtection="1">
      <alignment horizontal="center"/>
      <protection locked="0"/>
    </xf>
    <xf numFmtId="43" fontId="160" fillId="50" borderId="72" xfId="698" applyFont="1" applyFill="1" applyBorder="1" applyAlignment="1" applyProtection="1">
      <alignment horizontal="left" wrapText="1"/>
      <protection hidden="1"/>
    </xf>
    <xf numFmtId="43" fontId="160"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5" fillId="45" borderId="67" xfId="8736" applyFont="1" applyFill="1" applyBorder="1" applyAlignment="1">
      <alignment horizontal="right"/>
    </xf>
    <xf numFmtId="0" fontId="165" fillId="45" borderId="68" xfId="8736" applyFont="1" applyFill="1" applyBorder="1" applyAlignment="1">
      <alignment horizontal="right"/>
    </xf>
    <xf numFmtId="168" fontId="160" fillId="44" borderId="68" xfId="700" applyNumberFormat="1" applyFont="1" applyFill="1" applyBorder="1" applyAlignment="1">
      <alignment horizontal="left"/>
    </xf>
    <xf numFmtId="168" fontId="160" fillId="44" borderId="71" xfId="700" applyNumberFormat="1" applyFont="1" applyFill="1" applyBorder="1" applyAlignment="1">
      <alignment horizontal="left"/>
    </xf>
    <xf numFmtId="0" fontId="162" fillId="48" borderId="66" xfId="8736" applyFont="1" applyFill="1" applyBorder="1" applyAlignment="1">
      <alignment horizontal="left" wrapText="1"/>
    </xf>
    <xf numFmtId="0" fontId="162" fillId="48" borderId="0" xfId="8736" applyFont="1" applyFill="1" applyAlignment="1">
      <alignment horizontal="left" wrapText="1"/>
    </xf>
    <xf numFmtId="0" fontId="162" fillId="48" borderId="41" xfId="8736" applyFont="1" applyFill="1" applyBorder="1" applyAlignment="1">
      <alignment horizontal="left" wrapText="1"/>
    </xf>
    <xf numFmtId="0" fontId="162" fillId="48" borderId="73" xfId="8736" applyFont="1" applyFill="1" applyBorder="1" applyAlignment="1">
      <alignment horizontal="left" wrapText="1"/>
    </xf>
    <xf numFmtId="0" fontId="162" fillId="48" borderId="42" xfId="8736" applyFont="1" applyFill="1" applyBorder="1" applyAlignment="1">
      <alignment horizontal="left" wrapText="1"/>
    </xf>
    <xf numFmtId="0" fontId="162" fillId="48" borderId="44" xfId="8736" applyFont="1" applyFill="1" applyBorder="1" applyAlignment="1">
      <alignment horizontal="left" wrapText="1"/>
    </xf>
    <xf numFmtId="0" fontId="164" fillId="45" borderId="69" xfId="8736" applyFont="1" applyFill="1" applyBorder="1" applyAlignment="1">
      <alignment horizontal="right"/>
    </xf>
    <xf numFmtId="0" fontId="164" fillId="45" borderId="70" xfId="8736" applyFont="1" applyFill="1" applyBorder="1" applyAlignment="1">
      <alignment horizontal="right"/>
    </xf>
    <xf numFmtId="0" fontId="156" fillId="44" borderId="70" xfId="700" applyNumberFormat="1" applyFont="1" applyFill="1" applyBorder="1" applyAlignment="1">
      <alignment horizontal="left"/>
    </xf>
    <xf numFmtId="168" fontId="156" fillId="44" borderId="70" xfId="700" applyNumberFormat="1" applyFont="1" applyFill="1" applyBorder="1" applyAlignment="1">
      <alignment horizontal="left"/>
    </xf>
    <xf numFmtId="168" fontId="156" fillId="44" borderId="77" xfId="700" applyNumberFormat="1" applyFont="1" applyFill="1" applyBorder="1" applyAlignment="1">
      <alignment horizontal="left"/>
    </xf>
    <xf numFmtId="0" fontId="157" fillId="47" borderId="0" xfId="8736" applyFont="1" applyFill="1" applyAlignment="1">
      <alignment horizontal="right"/>
    </xf>
    <xf numFmtId="168" fontId="161" fillId="47" borderId="0"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center"/>
      <protection locked="0"/>
    </xf>
    <xf numFmtId="0" fontId="163" fillId="48" borderId="86" xfId="8736" applyFont="1" applyFill="1" applyBorder="1" applyAlignment="1" applyProtection="1">
      <alignment horizontal="center"/>
      <protection locked="0"/>
    </xf>
    <xf numFmtId="0" fontId="165" fillId="48" borderId="70" xfId="8736" applyFont="1" applyFill="1" applyBorder="1" applyAlignment="1" applyProtection="1">
      <alignment horizontal="left"/>
      <protection locked="0"/>
    </xf>
    <xf numFmtId="0" fontId="165" fillId="48" borderId="77" xfId="8736" applyFont="1" applyFill="1" applyBorder="1" applyAlignment="1" applyProtection="1">
      <alignment horizontal="left"/>
      <protection locked="0"/>
    </xf>
    <xf numFmtId="168" fontId="163" fillId="48" borderId="86" xfId="700" applyNumberFormat="1" applyFont="1" applyFill="1" applyBorder="1" applyAlignment="1" applyProtection="1">
      <alignment horizontal="left"/>
      <protection locked="0"/>
    </xf>
    <xf numFmtId="168" fontId="163" fillId="48" borderId="85"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left"/>
      <protection locked="0"/>
    </xf>
    <xf numFmtId="0" fontId="163" fillId="48" borderId="86" xfId="8736" applyFont="1" applyFill="1" applyBorder="1" applyAlignment="1" applyProtection="1">
      <alignment horizontal="left"/>
      <protection locked="0"/>
    </xf>
    <xf numFmtId="0" fontId="163" fillId="48" borderId="85" xfId="8736" applyFont="1" applyFill="1" applyBorder="1" applyAlignment="1" applyProtection="1">
      <alignment horizontal="left"/>
      <protection locked="0"/>
    </xf>
    <xf numFmtId="0" fontId="94" fillId="48" borderId="80" xfId="8736" applyFont="1" applyFill="1" applyBorder="1" applyAlignment="1">
      <alignment horizontal="left"/>
    </xf>
    <xf numFmtId="0" fontId="94"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3"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56" fillId="45" borderId="80" xfId="569" applyFont="1" applyFill="1" applyBorder="1" applyAlignment="1" applyProtection="1">
      <alignment horizontal="center" wrapText="1"/>
      <protection hidden="1"/>
    </xf>
    <xf numFmtId="0" fontId="156" fillId="45" borderId="79" xfId="569" applyFont="1" applyFill="1" applyBorder="1" applyAlignment="1" applyProtection="1">
      <alignment horizontal="center" wrapText="1"/>
      <protection hidden="1"/>
    </xf>
    <xf numFmtId="0" fontId="156" fillId="45" borderId="78" xfId="569" applyFont="1" applyFill="1" applyBorder="1" applyAlignment="1" applyProtection="1">
      <alignment horizontal="center" wrapText="1"/>
      <protection hidden="1"/>
    </xf>
    <xf numFmtId="0" fontId="156" fillId="45" borderId="13" xfId="569" applyFont="1" applyFill="1" applyBorder="1" applyAlignment="1" applyProtection="1">
      <alignment horizontal="left" wrapText="1"/>
      <protection hidden="1"/>
    </xf>
    <xf numFmtId="0" fontId="156" fillId="45" borderId="13" xfId="569" applyFont="1" applyFill="1" applyBorder="1" applyAlignment="1" applyProtection="1">
      <alignment horizontal="center" wrapText="1"/>
      <protection hidden="1"/>
    </xf>
    <xf numFmtId="0" fontId="162" fillId="45" borderId="11" xfId="8736" applyFont="1" applyFill="1" applyBorder="1" applyAlignment="1">
      <alignment horizontal="left" wrapText="1"/>
    </xf>
    <xf numFmtId="43" fontId="157" fillId="45" borderId="80" xfId="698" applyFont="1" applyFill="1" applyBorder="1" applyAlignment="1" applyProtection="1">
      <alignment horizontal="center"/>
      <protection hidden="1"/>
    </xf>
    <xf numFmtId="43" fontId="157" fillId="45" borderId="79" xfId="698" applyFont="1" applyFill="1" applyBorder="1" applyAlignment="1" applyProtection="1">
      <alignment horizontal="center"/>
      <protection hidden="1"/>
    </xf>
    <xf numFmtId="43" fontId="157" fillId="45" borderId="78" xfId="698" applyFont="1" applyFill="1" applyBorder="1" applyAlignment="1" applyProtection="1">
      <alignment horizontal="center"/>
      <protection hidden="1"/>
    </xf>
    <xf numFmtId="43" fontId="161" fillId="49" borderId="66" xfId="698" applyFont="1" applyFill="1" applyBorder="1" applyAlignment="1" applyProtection="1">
      <alignment horizontal="center" wrapText="1"/>
      <protection hidden="1"/>
    </xf>
    <xf numFmtId="43" fontId="161" fillId="49" borderId="0" xfId="698" applyFont="1" applyFill="1" applyBorder="1" applyAlignment="1" applyProtection="1">
      <alignment horizontal="center" wrapText="1"/>
      <protection hidden="1"/>
    </xf>
    <xf numFmtId="43" fontId="161" fillId="49" borderId="12" xfId="698" applyFont="1" applyFill="1" applyBorder="1" applyAlignment="1" applyProtection="1">
      <alignment horizontal="center" wrapText="1"/>
      <protection hidden="1"/>
    </xf>
    <xf numFmtId="43" fontId="161" fillId="49" borderId="83" xfId="698" applyFont="1" applyFill="1" applyBorder="1" applyAlignment="1" applyProtection="1">
      <alignment horizontal="center" wrapText="1"/>
      <protection hidden="1"/>
    </xf>
    <xf numFmtId="43" fontId="161" fillId="49" borderId="6" xfId="698" applyFont="1" applyFill="1" applyBorder="1" applyAlignment="1" applyProtection="1">
      <alignment horizontal="center" wrapText="1"/>
      <protection hidden="1"/>
    </xf>
    <xf numFmtId="43" fontId="161" fillId="49" borderId="10" xfId="698" applyFont="1" applyFill="1" applyBorder="1" applyAlignment="1" applyProtection="1">
      <alignment horizontal="center" wrapText="1"/>
      <protection hidden="1"/>
    </xf>
    <xf numFmtId="43" fontId="161" fillId="49" borderId="8" xfId="698" applyFont="1" applyFill="1" applyBorder="1" applyAlignment="1" applyProtection="1">
      <alignment horizontal="center" wrapText="1"/>
      <protection hidden="1"/>
    </xf>
    <xf numFmtId="43" fontId="161" fillId="49" borderId="9" xfId="698" applyFont="1" applyFill="1" applyBorder="1" applyAlignment="1" applyProtection="1">
      <alignment horizontal="center" wrapText="1"/>
      <protection hidden="1"/>
    </xf>
    <xf numFmtId="14" fontId="161" fillId="0" borderId="8" xfId="700" applyNumberFormat="1" applyFont="1" applyFill="1" applyBorder="1" applyAlignment="1" applyProtection="1">
      <alignment horizontal="center" wrapText="1"/>
      <protection hidden="1"/>
    </xf>
    <xf numFmtId="14" fontId="161" fillId="0" borderId="0" xfId="700" applyNumberFormat="1" applyFont="1" applyFill="1" applyBorder="1" applyAlignment="1" applyProtection="1">
      <alignment horizontal="center" wrapText="1"/>
      <protection hidden="1"/>
    </xf>
    <xf numFmtId="14" fontId="161" fillId="0" borderId="12" xfId="700" applyNumberFormat="1" applyFont="1" applyFill="1" applyBorder="1" applyAlignment="1" applyProtection="1">
      <alignment horizontal="center" wrapText="1"/>
      <protection hidden="1"/>
    </xf>
    <xf numFmtId="14" fontId="161" fillId="0" borderId="9" xfId="700" applyNumberFormat="1" applyFont="1" applyFill="1" applyBorder="1" applyAlignment="1" applyProtection="1">
      <alignment horizontal="center" wrapText="1"/>
      <protection hidden="1"/>
    </xf>
    <xf numFmtId="14" fontId="161" fillId="0" borderId="6" xfId="700" applyNumberFormat="1" applyFont="1" applyFill="1" applyBorder="1" applyAlignment="1" applyProtection="1">
      <alignment horizontal="center" wrapText="1"/>
      <protection hidden="1"/>
    </xf>
    <xf numFmtId="14" fontId="161" fillId="0" borderId="10" xfId="700" applyNumberFormat="1" applyFont="1" applyFill="1" applyBorder="1" applyAlignment="1" applyProtection="1">
      <alignment horizontal="center" wrapText="1"/>
      <protection hidden="1"/>
    </xf>
    <xf numFmtId="44" fontId="161" fillId="0" borderId="8" xfId="700" applyFont="1" applyBorder="1" applyAlignment="1" applyProtection="1">
      <alignment horizontal="center" wrapText="1"/>
      <protection hidden="1"/>
    </xf>
    <xf numFmtId="44" fontId="161" fillId="0" borderId="0" xfId="700" applyFont="1" applyBorder="1" applyAlignment="1" applyProtection="1">
      <alignment horizontal="center" wrapText="1"/>
      <protection hidden="1"/>
    </xf>
    <xf numFmtId="44" fontId="161" fillId="0" borderId="12" xfId="700" applyFont="1" applyBorder="1" applyAlignment="1" applyProtection="1">
      <alignment horizontal="center" wrapText="1"/>
      <protection hidden="1"/>
    </xf>
    <xf numFmtId="44" fontId="161" fillId="0" borderId="9" xfId="700" applyFont="1" applyBorder="1" applyAlignment="1" applyProtection="1">
      <alignment horizontal="center" wrapText="1"/>
      <protection hidden="1"/>
    </xf>
    <xf numFmtId="44" fontId="161" fillId="0" borderId="6" xfId="700" applyFont="1" applyBorder="1" applyAlignment="1" applyProtection="1">
      <alignment horizontal="center" wrapText="1"/>
      <protection hidden="1"/>
    </xf>
    <xf numFmtId="44" fontId="161" fillId="0" borderId="10" xfId="700" applyFont="1" applyBorder="1" applyAlignment="1" applyProtection="1">
      <alignment horizontal="center" wrapText="1"/>
      <protection hidden="1"/>
    </xf>
    <xf numFmtId="43" fontId="161" fillId="49" borderId="41" xfId="698" applyFont="1" applyFill="1" applyBorder="1" applyAlignment="1" applyProtection="1">
      <alignment horizontal="center" wrapText="1"/>
      <protection hidden="1"/>
    </xf>
    <xf numFmtId="43" fontId="161" fillId="49" borderId="82" xfId="698" applyFont="1" applyFill="1" applyBorder="1" applyAlignment="1" applyProtection="1">
      <alignment horizontal="center" wrapText="1"/>
      <protection hidden="1"/>
    </xf>
    <xf numFmtId="0" fontId="159" fillId="50" borderId="3" xfId="698" applyNumberFormat="1" applyFont="1" applyFill="1" applyBorder="1" applyAlignment="1" applyProtection="1">
      <alignment horizontal="center"/>
      <protection locked="0"/>
    </xf>
    <xf numFmtId="0" fontId="159" fillId="50" borderId="4" xfId="698" applyNumberFormat="1" applyFont="1" applyFill="1" applyBorder="1" applyAlignment="1" applyProtection="1">
      <alignment horizontal="center"/>
      <protection locked="0"/>
    </xf>
    <xf numFmtId="0" fontId="159" fillId="50" borderId="81" xfId="698" applyNumberFormat="1" applyFont="1" applyFill="1" applyBorder="1" applyAlignment="1" applyProtection="1">
      <alignment horizontal="center"/>
      <protection locked="0"/>
    </xf>
    <xf numFmtId="0" fontId="160" fillId="49" borderId="72" xfId="698" applyNumberFormat="1" applyFont="1" applyFill="1" applyBorder="1" applyAlignment="1" applyProtection="1">
      <alignment horizontal="center"/>
      <protection hidden="1"/>
    </xf>
    <xf numFmtId="0" fontId="160" fillId="49" borderId="11" xfId="698" applyNumberFormat="1" applyFont="1" applyFill="1" applyBorder="1" applyAlignment="1" applyProtection="1">
      <alignment horizontal="center"/>
      <protection hidden="1"/>
    </xf>
    <xf numFmtId="0" fontId="160" fillId="48" borderId="11" xfId="569" applyFont="1" applyFill="1" applyBorder="1" applyAlignment="1" applyProtection="1">
      <alignment horizontal="center"/>
      <protection locked="0"/>
    </xf>
    <xf numFmtId="14" fontId="159" fillId="48" borderId="11" xfId="700" applyNumberFormat="1" applyFont="1" applyFill="1" applyBorder="1" applyAlignment="1" applyProtection="1">
      <alignment horizontal="center"/>
      <protection locked="0"/>
    </xf>
    <xf numFmtId="168" fontId="160" fillId="48" borderId="11" xfId="700" applyNumberFormat="1" applyFont="1" applyFill="1" applyBorder="1" applyAlignment="1" applyProtection="1">
      <alignment horizontal="center"/>
      <protection locked="0"/>
    </xf>
    <xf numFmtId="9" fontId="160" fillId="48" borderId="11" xfId="1022" applyFont="1" applyFill="1" applyBorder="1" applyAlignment="1" applyProtection="1">
      <alignment horizontal="center"/>
      <protection locked="0"/>
    </xf>
    <xf numFmtId="44" fontId="159" fillId="48" borderId="11" xfId="700" applyFont="1" applyFill="1" applyBorder="1" applyAlignment="1" applyProtection="1">
      <alignment horizontal="center"/>
      <protection locked="0"/>
    </xf>
    <xf numFmtId="0" fontId="158" fillId="47" borderId="65" xfId="8736" applyFont="1" applyFill="1" applyBorder="1" applyAlignment="1">
      <alignment horizontal="center"/>
    </xf>
    <xf numFmtId="0" fontId="158" fillId="47" borderId="29" xfId="8736" applyFont="1" applyFill="1" applyBorder="1" applyAlignment="1">
      <alignment horizontal="center"/>
    </xf>
    <xf numFmtId="0" fontId="15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57" fillId="47" borderId="66" xfId="8736" applyFont="1" applyFill="1" applyBorder="1" applyAlignment="1">
      <alignment horizontal="center"/>
    </xf>
    <xf numFmtId="0" fontId="157" fillId="47" borderId="0" xfId="8736" applyFont="1" applyFill="1" applyAlignment="1">
      <alignment horizontal="center"/>
    </xf>
    <xf numFmtId="0" fontId="157" fillId="47" borderId="41" xfId="8736" applyFont="1" applyFill="1" applyBorder="1" applyAlignment="1">
      <alignment horizontal="center"/>
    </xf>
    <xf numFmtId="0" fontId="94" fillId="47" borderId="66" xfId="8736" applyFont="1" applyFill="1" applyBorder="1" applyAlignment="1">
      <alignment horizontal="center"/>
    </xf>
    <xf numFmtId="0" fontId="94" fillId="47" borderId="41" xfId="8736" applyFont="1" applyFill="1" applyBorder="1" applyAlignment="1">
      <alignment horizontal="center"/>
    </xf>
    <xf numFmtId="0" fontId="94" fillId="47" borderId="0" xfId="8736" applyFont="1" applyFill="1" applyAlignment="1">
      <alignment horizontal="left"/>
    </xf>
    <xf numFmtId="43" fontId="157" fillId="49" borderId="72" xfId="698" applyFont="1" applyFill="1" applyBorder="1" applyAlignment="1" applyProtection="1">
      <alignment horizontal="right"/>
      <protection hidden="1"/>
    </xf>
    <xf numFmtId="43" fontId="157" fillId="49" borderId="11" xfId="698" applyFont="1" applyFill="1" applyBorder="1" applyAlignment="1" applyProtection="1">
      <alignment horizontal="right"/>
      <protection hidden="1"/>
    </xf>
    <xf numFmtId="44" fontId="157" fillId="0" borderId="11" xfId="700" applyFont="1" applyBorder="1" applyAlignment="1" applyProtection="1">
      <alignment horizontal="center"/>
      <protection hidden="1"/>
    </xf>
    <xf numFmtId="168" fontId="157" fillId="0" borderId="11" xfId="700" applyNumberFormat="1" applyFont="1" applyBorder="1" applyAlignment="1" applyProtection="1">
      <alignment horizontal="center"/>
      <protection hidden="1"/>
    </xf>
    <xf numFmtId="9" fontId="157" fillId="0" borderId="11" xfId="1022" applyFont="1" applyBorder="1" applyAlignment="1" applyProtection="1">
      <alignment horizontal="center"/>
      <protection hidden="1"/>
    </xf>
    <xf numFmtId="43" fontId="157" fillId="49" borderId="3" xfId="698" applyFont="1" applyFill="1" applyBorder="1" applyAlignment="1" applyProtection="1">
      <alignment horizontal="center"/>
      <protection hidden="1"/>
    </xf>
    <xf numFmtId="43" fontId="157" fillId="49" borderId="4" xfId="698" applyFont="1" applyFill="1" applyBorder="1" applyAlignment="1" applyProtection="1">
      <alignment horizontal="center"/>
      <protection hidden="1"/>
    </xf>
    <xf numFmtId="43" fontId="157" fillId="49" borderId="81" xfId="698" applyFont="1" applyFill="1" applyBorder="1" applyAlignment="1" applyProtection="1">
      <alignment horizontal="center"/>
      <protection hidden="1"/>
    </xf>
    <xf numFmtId="0" fontId="9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56" fillId="44" borderId="0" xfId="8736" applyFont="1" applyFill="1" applyAlignment="1">
      <alignment horizontal="left" vertical="top"/>
    </xf>
    <xf numFmtId="0" fontId="9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57" fillId="47" borderId="0" xfId="8736" applyFont="1" applyFill="1" applyAlignment="1">
      <alignment horizontal="left" vertical="top" wrapText="1"/>
    </xf>
    <xf numFmtId="0" fontId="9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9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9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48"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1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14" fillId="0" borderId="50" xfId="4496" applyFont="1" applyBorder="1" applyAlignment="1">
      <alignment horizontal="left" vertical="top" wrapText="1"/>
    </xf>
    <xf numFmtId="0" fontId="114" fillId="0" borderId="51" xfId="4496" applyFont="1" applyBorder="1" applyAlignment="1">
      <alignment horizontal="left" vertical="top" wrapText="1"/>
    </xf>
    <xf numFmtId="0" fontId="114" fillId="0" borderId="52" xfId="4496" applyFont="1" applyBorder="1" applyAlignment="1">
      <alignment horizontal="left" vertical="top" wrapText="1"/>
    </xf>
    <xf numFmtId="0" fontId="114" fillId="0" borderId="57" xfId="4496" applyFont="1" applyBorder="1" applyAlignment="1">
      <alignment horizontal="left" vertical="top" wrapText="1"/>
    </xf>
    <xf numFmtId="0" fontId="114" fillId="0" borderId="58" xfId="4496" applyFont="1" applyBorder="1" applyAlignment="1">
      <alignment horizontal="left" vertical="top" wrapText="1"/>
    </xf>
    <xf numFmtId="0" fontId="11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14" fillId="0" borderId="55" xfId="4496" applyNumberFormat="1" applyFont="1" applyBorder="1" applyAlignment="1">
      <alignment horizontal="center" vertical="top" wrapText="1"/>
    </xf>
    <xf numFmtId="165" fontId="114" fillId="0" borderId="6" xfId="4496" applyNumberFormat="1" applyFont="1" applyBorder="1" applyAlignment="1">
      <alignment horizontal="center" vertical="top" wrapText="1"/>
    </xf>
    <xf numFmtId="165" fontId="114" fillId="0" borderId="60" xfId="4496" applyNumberFormat="1" applyFont="1" applyBorder="1" applyAlignment="1">
      <alignment horizontal="center" vertical="top" wrapText="1"/>
    </xf>
    <xf numFmtId="165" fontId="114" fillId="0" borderId="4" xfId="4496" applyNumberFormat="1" applyFont="1" applyBorder="1" applyAlignment="1">
      <alignment horizontal="center" vertical="top" wrapText="1"/>
    </xf>
    <xf numFmtId="0" fontId="114" fillId="5" borderId="60" xfId="4496" applyFont="1" applyFill="1" applyBorder="1" applyAlignment="1" applyProtection="1">
      <alignment horizontal="center"/>
      <protection locked="0"/>
    </xf>
    <xf numFmtId="0" fontId="114" fillId="5" borderId="4" xfId="4496" applyFont="1" applyFill="1" applyBorder="1" applyAlignment="1" applyProtection="1">
      <alignment horizontal="center"/>
      <protection locked="0"/>
    </xf>
    <xf numFmtId="0" fontId="26" fillId="0" borderId="0" xfId="4495" applyFont="1" applyAlignment="1">
      <alignment horizontal="right"/>
    </xf>
    <xf numFmtId="0" fontId="114" fillId="0" borderId="53" xfId="4496" applyFont="1" applyBorder="1" applyAlignment="1">
      <alignment horizontal="left" vertical="top" wrapText="1"/>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0" fontId="114" fillId="5" borderId="55" xfId="4496" applyFont="1" applyFill="1" applyBorder="1" applyAlignment="1" applyProtection="1">
      <alignment horizontal="center"/>
      <protection locked="0"/>
    </xf>
    <xf numFmtId="168" fontId="114" fillId="0" borderId="55" xfId="4496" applyNumberFormat="1" applyFont="1" applyBorder="1" applyAlignment="1">
      <alignment horizontal="center" vertical="top"/>
    </xf>
    <xf numFmtId="168" fontId="11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14" fillId="0" borderId="3" xfId="4496" applyNumberFormat="1" applyFont="1" applyBorder="1" applyAlignment="1">
      <alignment horizontal="center" vertical="top" wrapText="1"/>
    </xf>
    <xf numFmtId="10" fontId="114" fillId="0" borderId="4" xfId="4496" applyNumberFormat="1" applyFont="1" applyBorder="1" applyAlignment="1">
      <alignment horizontal="center" vertical="top" wrapText="1"/>
    </xf>
    <xf numFmtId="10" fontId="114" fillId="0" borderId="5" xfId="4496" applyNumberFormat="1" applyFont="1" applyBorder="1" applyAlignment="1">
      <alignment horizontal="center" vertical="top" wrapText="1"/>
    </xf>
    <xf numFmtId="0" fontId="114" fillId="0" borderId="55" xfId="4496" applyFont="1" applyBorder="1" applyAlignment="1">
      <alignment horizontal="center" vertical="top" wrapText="1"/>
    </xf>
    <xf numFmtId="0" fontId="11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33" fillId="0" borderId="6" xfId="1192" applyFont="1" applyBorder="1" applyAlignment="1">
      <alignment horizontal="center"/>
    </xf>
    <xf numFmtId="1" fontId="114" fillId="0" borderId="55" xfId="4496" applyNumberFormat="1" applyFont="1" applyBorder="1" applyAlignment="1">
      <alignment horizontal="center" vertical="top" wrapText="1"/>
    </xf>
    <xf numFmtId="1" fontId="114" fillId="0" borderId="6" xfId="4496" applyNumberFormat="1" applyFont="1" applyBorder="1" applyAlignment="1">
      <alignment horizontal="center" vertical="top" wrapText="1"/>
    </xf>
    <xf numFmtId="168" fontId="114" fillId="43" borderId="55" xfId="4496" applyNumberFormat="1" applyFont="1" applyFill="1" applyBorder="1" applyAlignment="1" applyProtection="1">
      <alignment horizontal="center" vertical="top" wrapText="1"/>
      <protection locked="0"/>
    </xf>
    <xf numFmtId="168" fontId="11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12" fillId="5" borderId="6" xfId="4495" applyFill="1" applyBorder="1" applyAlignment="1" applyProtection="1">
      <alignment horizontal="center"/>
      <protection locked="0"/>
    </xf>
    <xf numFmtId="0" fontId="26" fillId="0" borderId="0" xfId="4495" applyFont="1" applyAlignment="1">
      <alignment horizontal="left" vertical="top"/>
    </xf>
    <xf numFmtId="0" fontId="11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1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1" fillId="0" borderId="0" xfId="4495" applyFont="1" applyAlignment="1">
      <alignment horizontal="left" vertical="top" wrapText="1"/>
    </xf>
    <xf numFmtId="0" fontId="11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12" fillId="5" borderId="62" xfId="4495" applyFill="1" applyBorder="1" applyAlignment="1" applyProtection="1">
      <alignment horizontal="center"/>
      <protection locked="0"/>
    </xf>
    <xf numFmtId="0" fontId="112" fillId="5" borderId="63" xfId="4495" applyFill="1" applyBorder="1" applyAlignment="1" applyProtection="1">
      <alignment horizontal="center"/>
      <protection locked="0"/>
    </xf>
    <xf numFmtId="0" fontId="112" fillId="5" borderId="50" xfId="4495" applyFill="1" applyBorder="1" applyAlignment="1">
      <alignment horizontal="center"/>
    </xf>
    <xf numFmtId="0" fontId="112"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14" fillId="0" borderId="50" xfId="4496" applyFont="1" applyBorder="1" applyAlignment="1">
      <alignment horizontal="left" wrapText="1"/>
    </xf>
    <xf numFmtId="0" fontId="114" fillId="0" borderId="51" xfId="4496" applyFont="1" applyBorder="1" applyAlignment="1">
      <alignment horizontal="left" wrapText="1"/>
    </xf>
    <xf numFmtId="0" fontId="114" fillId="0" borderId="52" xfId="4496" applyFont="1" applyBorder="1" applyAlignment="1">
      <alignment horizontal="left" wrapText="1"/>
    </xf>
    <xf numFmtId="0" fontId="114" fillId="0" borderId="57" xfId="4496" applyFont="1" applyBorder="1" applyAlignment="1">
      <alignment horizontal="left" wrapText="1"/>
    </xf>
    <xf numFmtId="0" fontId="114" fillId="0" borderId="58" xfId="4496" applyFont="1" applyBorder="1" applyAlignment="1">
      <alignment horizontal="left" wrapText="1"/>
    </xf>
    <xf numFmtId="0" fontId="11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48" fillId="0" borderId="0" xfId="0" applyFont="1" applyAlignment="1" applyProtection="1">
      <alignment horizontal="left"/>
      <protection locked="0"/>
    </xf>
    <xf numFmtId="168" fontId="147" fillId="0" borderId="0" xfId="0" applyNumberFormat="1" applyFont="1" applyAlignment="1">
      <alignment horizontal="center" vertical="top" wrapText="1"/>
    </xf>
    <xf numFmtId="168" fontId="14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2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57" fillId="0" borderId="1" xfId="4495" applyNumberFormat="1" applyFont="1" applyBorder="1" applyAlignment="1">
      <alignment horizontal="right" vertical="center"/>
    </xf>
    <xf numFmtId="164" fontId="57" fillId="0" borderId="2" xfId="4495" applyNumberFormat="1" applyFont="1" applyBorder="1" applyAlignment="1">
      <alignment horizontal="right" vertical="center"/>
    </xf>
    <xf numFmtId="164" fontId="57" fillId="0" borderId="7" xfId="4495" applyNumberFormat="1" applyFont="1" applyBorder="1" applyAlignment="1">
      <alignment horizontal="right" vertical="center"/>
    </xf>
    <xf numFmtId="164" fontId="57" fillId="0" borderId="9" xfId="4495" applyNumberFormat="1" applyFont="1" applyBorder="1" applyAlignment="1">
      <alignment horizontal="right" vertical="center"/>
    </xf>
    <xf numFmtId="164" fontId="57" fillId="0" borderId="6" xfId="4495" applyNumberFormat="1" applyFont="1" applyBorder="1" applyAlignment="1">
      <alignment horizontal="right" vertical="center"/>
    </xf>
    <xf numFmtId="164" fontId="57" fillId="0" borderId="10" xfId="4495" applyNumberFormat="1" applyFont="1" applyBorder="1" applyAlignment="1">
      <alignment horizontal="right" vertical="center"/>
    </xf>
    <xf numFmtId="180" fontId="57" fillId="0" borderId="1" xfId="4495" applyNumberFormat="1" applyFont="1" applyBorder="1" applyAlignment="1">
      <alignment horizontal="center" vertical="center"/>
    </xf>
    <xf numFmtId="180" fontId="57" fillId="0" borderId="2" xfId="4495" applyNumberFormat="1" applyFont="1" applyBorder="1" applyAlignment="1">
      <alignment horizontal="center" vertical="center"/>
    </xf>
    <xf numFmtId="180" fontId="57" fillId="0" borderId="7" xfId="4495" applyNumberFormat="1" applyFont="1" applyBorder="1" applyAlignment="1">
      <alignment horizontal="center" vertical="center"/>
    </xf>
    <xf numFmtId="180" fontId="57" fillId="0" borderId="9" xfId="4495" applyNumberFormat="1" applyFont="1" applyBorder="1" applyAlignment="1">
      <alignment horizontal="center" vertical="center"/>
    </xf>
    <xf numFmtId="180" fontId="57" fillId="0" borderId="6" xfId="4495" applyNumberFormat="1" applyFont="1" applyBorder="1" applyAlignment="1">
      <alignment horizontal="center" vertical="center"/>
    </xf>
    <xf numFmtId="180" fontId="57" fillId="0" borderId="10" xfId="4495" applyNumberFormat="1" applyFont="1" applyBorder="1" applyAlignment="1">
      <alignment horizontal="center" vertical="center"/>
    </xf>
    <xf numFmtId="0" fontId="112" fillId="0" borderId="53" xfId="4495" applyBorder="1" applyAlignment="1">
      <alignment horizontal="center"/>
    </xf>
    <xf numFmtId="0" fontId="112" fillId="0" borderId="0" xfId="4495" applyAlignment="1">
      <alignment horizontal="center"/>
    </xf>
    <xf numFmtId="0" fontId="27" fillId="5" borderId="0" xfId="4495" applyFont="1" applyFill="1" applyAlignment="1">
      <alignment horizontal="left" vertical="top"/>
    </xf>
    <xf numFmtId="0" fontId="112" fillId="5" borderId="53" xfId="4495" applyFill="1" applyBorder="1" applyAlignment="1">
      <alignment horizontal="center"/>
    </xf>
    <xf numFmtId="0" fontId="112" fillId="5" borderId="0" xfId="4495" applyFill="1" applyAlignment="1">
      <alignment horizontal="center"/>
    </xf>
    <xf numFmtId="0" fontId="112" fillId="5" borderId="55" xfId="4495" applyFill="1" applyBorder="1" applyAlignment="1">
      <alignment horizontal="center"/>
    </xf>
    <xf numFmtId="0" fontId="11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14" fillId="0" borderId="3" xfId="4496" applyNumberFormat="1" applyFont="1" applyBorder="1" applyAlignment="1">
      <alignment horizontal="center" vertical="top" wrapText="1"/>
    </xf>
    <xf numFmtId="165" fontId="11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3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10" fillId="0" borderId="4" xfId="1192" applyFont="1" applyBorder="1" applyAlignment="1">
      <alignment horizontal="left"/>
    </xf>
    <xf numFmtId="0" fontId="112" fillId="5" borderId="62" xfId="4495" applyFill="1" applyBorder="1" applyAlignment="1">
      <alignment horizontal="center"/>
    </xf>
    <xf numFmtId="0" fontId="112" fillId="5" borderId="63" xfId="4495" applyFill="1" applyBorder="1" applyAlignment="1">
      <alignment horizontal="center"/>
    </xf>
    <xf numFmtId="49" fontId="90" fillId="45" borderId="15" xfId="4496" applyNumberFormat="1" applyFont="1" applyFill="1" applyBorder="1" applyAlignment="1">
      <alignment horizontal="center" vertical="center" wrapText="1"/>
    </xf>
    <xf numFmtId="49" fontId="90" fillId="45" borderId="13" xfId="4496" applyNumberFormat="1" applyFont="1" applyFill="1" applyBorder="1" applyAlignment="1">
      <alignment horizontal="center" vertical="center" wrapText="1"/>
    </xf>
    <xf numFmtId="0" fontId="90" fillId="0" borderId="93" xfId="4496" applyFont="1" applyBorder="1" applyAlignment="1">
      <alignment horizontal="right"/>
    </xf>
    <xf numFmtId="0" fontId="90" fillId="0" borderId="74" xfId="4496" applyFont="1" applyBorder="1" applyAlignment="1">
      <alignment horizontal="right"/>
    </xf>
    <xf numFmtId="0" fontId="90" fillId="0" borderId="90" xfId="4496" applyFont="1" applyBorder="1" applyAlignment="1">
      <alignment horizontal="right"/>
    </xf>
    <xf numFmtId="0" fontId="90" fillId="0" borderId="5" xfId="4496" applyFont="1" applyBorder="1" applyAlignment="1">
      <alignment horizontal="right"/>
    </xf>
    <xf numFmtId="0" fontId="90" fillId="0" borderId="69" xfId="4496" applyFont="1" applyBorder="1" applyAlignment="1">
      <alignment horizontal="right"/>
    </xf>
    <xf numFmtId="0" fontId="90" fillId="0" borderId="70" xfId="4496" applyFont="1" applyBorder="1" applyAlignment="1">
      <alignment horizontal="right"/>
    </xf>
    <xf numFmtId="168" fontId="90" fillId="0" borderId="11" xfId="4499" applyNumberFormat="1" applyFont="1" applyFill="1" applyBorder="1" applyAlignment="1" applyProtection="1">
      <alignment horizontal="left" vertical="center" indent="1"/>
    </xf>
    <xf numFmtId="0" fontId="128" fillId="0" borderId="68" xfId="4496" applyFont="1" applyBorder="1" applyAlignment="1">
      <alignment horizontal="left" indent="1"/>
    </xf>
    <xf numFmtId="168" fontId="90" fillId="0" borderId="70" xfId="4499" applyNumberFormat="1" applyFont="1" applyFill="1" applyBorder="1" applyAlignment="1" applyProtection="1">
      <alignment horizontal="left" vertical="center" indent="1"/>
    </xf>
    <xf numFmtId="49" fontId="127" fillId="3" borderId="0" xfId="1192" applyNumberFormat="1" applyFont="1" applyFill="1" applyAlignment="1">
      <alignment horizontal="center" vertical="center"/>
    </xf>
    <xf numFmtId="0" fontId="90" fillId="0" borderId="11" xfId="4496" applyFont="1" applyBorder="1" applyAlignment="1">
      <alignment horizontal="left" indent="1"/>
    </xf>
    <xf numFmtId="0" fontId="90" fillId="0" borderId="11" xfId="4496" applyFont="1" applyBorder="1" applyAlignment="1">
      <alignment horizontal="left" indent="2"/>
    </xf>
    <xf numFmtId="0" fontId="128" fillId="45" borderId="3" xfId="4496" applyFont="1" applyFill="1" applyBorder="1" applyAlignment="1">
      <alignment horizontal="center" vertical="center"/>
    </xf>
    <xf numFmtId="0" fontId="128" fillId="45" borderId="4" xfId="4496" applyFont="1" applyFill="1" applyBorder="1" applyAlignment="1">
      <alignment horizontal="center" vertical="center"/>
    </xf>
    <xf numFmtId="0" fontId="128" fillId="45" borderId="5" xfId="4496" applyFont="1" applyFill="1" applyBorder="1" applyAlignment="1">
      <alignment horizontal="center" vertical="center"/>
    </xf>
    <xf numFmtId="9" fontId="128" fillId="45" borderId="3" xfId="4499" applyFont="1" applyFill="1" applyBorder="1" applyAlignment="1" applyProtection="1">
      <alignment horizontal="center" vertical="center"/>
    </xf>
    <xf numFmtId="9" fontId="128" fillId="45" borderId="4" xfId="4499" applyFont="1" applyFill="1" applyBorder="1" applyAlignment="1" applyProtection="1">
      <alignment horizontal="center" vertical="center"/>
    </xf>
    <xf numFmtId="9" fontId="128" fillId="45" borderId="5" xfId="4499" applyFont="1" applyFill="1" applyBorder="1" applyAlignment="1" applyProtection="1">
      <alignment horizontal="center" vertical="center"/>
    </xf>
    <xf numFmtId="168" fontId="90" fillId="0" borderId="13" xfId="4499" applyNumberFormat="1" applyFont="1" applyFill="1" applyBorder="1" applyAlignment="1" applyProtection="1">
      <alignment horizontal="left" vertical="center" indent="1"/>
    </xf>
    <xf numFmtId="0" fontId="90" fillId="0" borderId="3" xfId="4496" applyFont="1" applyBorder="1" applyAlignment="1">
      <alignment horizontal="left" indent="1"/>
    </xf>
    <xf numFmtId="0" fontId="90" fillId="0" borderId="4" xfId="4496" applyFont="1" applyBorder="1" applyAlignment="1">
      <alignment horizontal="left" indent="1"/>
    </xf>
    <xf numFmtId="0" fontId="90" fillId="0" borderId="5" xfId="4496" applyFont="1" applyBorder="1" applyAlignment="1">
      <alignment horizontal="left" indent="1"/>
    </xf>
    <xf numFmtId="0" fontId="90" fillId="0" borderId="3" xfId="4496" applyFont="1" applyBorder="1" applyAlignment="1">
      <alignment horizontal="left" indent="2"/>
    </xf>
    <xf numFmtId="0" fontId="90" fillId="0" borderId="4" xfId="4496" applyFont="1" applyBorder="1" applyAlignment="1">
      <alignment horizontal="left" indent="2"/>
    </xf>
    <xf numFmtId="0" fontId="90" fillId="0" borderId="5" xfId="4496" applyFont="1" applyBorder="1" applyAlignment="1">
      <alignment horizontal="left" indent="2"/>
    </xf>
    <xf numFmtId="0" fontId="90" fillId="0" borderId="0" xfId="4496" applyFont="1" applyAlignment="1">
      <alignment wrapText="1"/>
    </xf>
    <xf numFmtId="0" fontId="128" fillId="0" borderId="75" xfId="4496" applyFont="1" applyBorder="1" applyAlignment="1">
      <alignment horizontal="center" vertical="top" wrapText="1"/>
    </xf>
    <xf numFmtId="0" fontId="128" fillId="0" borderId="74" xfId="4496" applyFont="1" applyBorder="1" applyAlignment="1">
      <alignment horizontal="center" vertical="top" wrapText="1"/>
    </xf>
    <xf numFmtId="0" fontId="90" fillId="0" borderId="0" xfId="4496" applyFont="1" applyAlignment="1">
      <alignment horizontal="left" wrapText="1"/>
    </xf>
    <xf numFmtId="0" fontId="90" fillId="0" borderId="0" xfId="4496" applyFont="1" applyAlignment="1">
      <alignment horizontal="center" vertical="center" wrapText="1"/>
    </xf>
    <xf numFmtId="0" fontId="90" fillId="43" borderId="0" xfId="4496" applyFont="1" applyFill="1" applyAlignment="1" applyProtection="1">
      <alignment horizontal="left" vertical="top" wrapText="1"/>
      <protection locked="0"/>
    </xf>
    <xf numFmtId="0" fontId="90" fillId="43" borderId="6" xfId="4496" applyFont="1" applyFill="1" applyBorder="1" applyAlignment="1" applyProtection="1">
      <alignment horizontal="left" vertical="top" wrapText="1"/>
      <protection locked="0"/>
    </xf>
    <xf numFmtId="0" fontId="9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0" fontId="19" fillId="43" borderId="0" xfId="0" applyFont="1" applyFill="1" applyAlignment="1">
      <alignment horizontal="left"/>
    </xf>
    <xf numFmtId="0" fontId="0" fillId="0" borderId="0" xfId="0" applyAlignment="1"/>
    <xf numFmtId="0" fontId="107" fillId="0" borderId="0" xfId="569" applyFont="1" applyAlignment="1"/>
    <xf numFmtId="0" fontId="19" fillId="0" borderId="0" xfId="569" applyAlignment="1"/>
    <xf numFmtId="0" fontId="0" fillId="5" borderId="6" xfId="0" applyFill="1" applyBorder="1" applyAlignment="1" applyProtection="1">
      <protection locked="0"/>
    </xf>
    <xf numFmtId="0" fontId="28" fillId="5" borderId="6" xfId="271" applyFill="1" applyBorder="1" applyAlignment="1" applyProtection="1">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9" fillId="0" borderId="3" xfId="0" applyFont="1" applyBorder="1" applyAlignment="1"/>
    <xf numFmtId="0" fontId="19" fillId="0" borderId="4" xfId="0" applyFont="1" applyBorder="1" applyAlignment="1"/>
    <xf numFmtId="0" fontId="19"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9" fillId="0" borderId="11" xfId="569" applyNumberFormat="1" applyBorder="1" applyAlignment="1"/>
    <xf numFmtId="168" fontId="19" fillId="0" borderId="3" xfId="569" applyNumberFormat="1" applyBorder="1" applyAlignment="1"/>
    <xf numFmtId="168" fontId="19" fillId="0" borderId="4" xfId="569" applyNumberFormat="1" applyBorder="1" applyAlignment="1"/>
    <xf numFmtId="168" fontId="19" fillId="0" borderId="5" xfId="569" applyNumberFormat="1" applyBorder="1" applyAlignment="1"/>
    <xf numFmtId="0" fontId="26" fillId="0" borderId="0" xfId="4495" applyFont="1" applyAlignment="1"/>
    <xf numFmtId="0" fontId="90" fillId="0" borderId="75" xfId="4496" applyFont="1" applyBorder="1" applyAlignment="1"/>
    <xf numFmtId="0" fontId="90" fillId="0" borderId="91" xfId="4496" applyFont="1" applyBorder="1" applyAlignment="1"/>
    <xf numFmtId="0" fontId="90" fillId="0" borderId="3" xfId="4496" applyFont="1" applyBorder="1" applyAlignment="1"/>
    <xf numFmtId="0" fontId="90" fillId="0" borderId="81" xfId="4496" applyFont="1" applyBorder="1" applyAlignment="1"/>
    <xf numFmtId="0" fontId="90" fillId="0" borderId="94" xfId="4496" applyFont="1" applyBorder="1" applyAlignment="1"/>
    <xf numFmtId="0" fontId="90" fillId="0" borderId="85" xfId="4496" applyFont="1" applyBorder="1" applyAlignment="1"/>
  </cellXfs>
  <cellStyles count="18910">
    <cellStyle name="20% - Accent1" xfId="1" builtinId="30" customBuiltin="1"/>
    <cellStyle name="20% - Accent1 10" xfId="4504" xr:uid="{00000000-0005-0000-0000-000001000000}"/>
    <cellStyle name="20% - Accent1 10 2" xfId="13830" xr:uid="{A753AE3D-FB7A-4535-A393-28F333735632}"/>
    <cellStyle name="20% - Accent1 11" xfId="8758" xr:uid="{2F735C8D-70CB-4E84-A95A-4445894745BC}"/>
    <cellStyle name="20% - Accent1 11 2" xfId="18081" xr:uid="{1476043D-1617-460C-AC4F-AA7CD7E48C07}"/>
    <cellStyle name="20% - Accent1 12" xfId="9613" xr:uid="{F9E2C74E-F812-4FFE-9E8D-9F7B72426EF4}"/>
    <cellStyle name="20% - Accent1 2" xfId="2" xr:uid="{00000000-0005-0000-0000-000002000000}"/>
    <cellStyle name="20% - Accent1 2 10" xfId="8797" xr:uid="{7F4BEAE6-CC35-4B07-89BD-8FC5D6B3D35B}"/>
    <cellStyle name="20% - Accent1 2 10 2" xfId="18120" xr:uid="{E3D69722-26E8-4625-9451-146ADA6FDE1B}"/>
    <cellStyle name="20% - Accent1 2 11" xfId="9614" xr:uid="{2F0B79B1-3B39-4640-9FEC-4AA9E0980D43}"/>
    <cellStyle name="20% - Accent1 2 2" xfId="3" xr:uid="{00000000-0005-0000-0000-000003000000}"/>
    <cellStyle name="20% - Accent1 2 2 10" xfId="9615" xr:uid="{7BF3D084-36C2-4327-B6F0-E47207404ACC}"/>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CD01F78F-30C0-4816-8782-FD6E35013B6F}"/>
    <cellStyle name="20% - Accent1 2 2 2 2 2 3" xfId="12175" xr:uid="{B66ECD32-7FB0-4297-92DB-75C7DFD7C53C}"/>
    <cellStyle name="20% - Accent1 2 2 2 2 3" xfId="4921" xr:uid="{00000000-0005-0000-0000-000008000000}"/>
    <cellStyle name="20% - Accent1 2 2 2 2 3 2" xfId="14247" xr:uid="{17B75467-1CF2-4F60-99D6-B9C95E0A04D7}"/>
    <cellStyle name="20% - Accent1 2 2 2 2 4" xfId="9532" xr:uid="{D5FAB462-C5A9-4306-AA37-C118C84F9393}"/>
    <cellStyle name="20% - Accent1 2 2 2 2 4 2" xfId="18845" xr:uid="{6D615294-CE17-4588-9545-5E01E1CD6078}"/>
    <cellStyle name="20% - Accent1 2 2 2 2 5" xfId="10030" xr:uid="{1B445993-B06F-4EE7-9D94-82E8305D66A1}"/>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19059886-7B58-46CB-803C-A11F06956E86}"/>
    <cellStyle name="20% - Accent1 2 2 2 3 2 3" xfId="12588" xr:uid="{9AA4EA8F-8ED9-4AD8-96F6-7CE64FC5FA35}"/>
    <cellStyle name="20% - Accent1 2 2 2 3 3" xfId="5334" xr:uid="{00000000-0005-0000-0000-00000C000000}"/>
    <cellStyle name="20% - Accent1 2 2 2 3 3 2" xfId="14660" xr:uid="{C43906A5-8CEC-4784-A9A6-E00A09E8E8FF}"/>
    <cellStyle name="20% - Accent1 2 2 2 3 4" xfId="10443" xr:uid="{FF50E9BA-0125-4C15-8175-94CFE942DD3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432D8E30-89DA-4D0D-AD33-C9B4173D3A29}"/>
    <cellStyle name="20% - Accent1 2 2 2 4 2 3" xfId="13001" xr:uid="{CEA695C1-EB63-4F83-97D7-C980BAB14F8A}"/>
    <cellStyle name="20% - Accent1 2 2 2 4 3" xfId="5747" xr:uid="{00000000-0005-0000-0000-000010000000}"/>
    <cellStyle name="20% - Accent1 2 2 2 4 3 2" xfId="15073" xr:uid="{2D34C106-1BBC-4ECE-A1CB-330286894E17}"/>
    <cellStyle name="20% - Accent1 2 2 2 4 4" xfId="10856" xr:uid="{207B7B09-A034-42CF-82C9-74C9110B6C4D}"/>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B149D38C-F4B1-485F-9AFB-76BCD0B62D38}"/>
    <cellStyle name="20% - Accent1 2 2 2 5 2 3" xfId="13414" xr:uid="{7F9F6383-9F12-44D3-BCFC-42C9D8A7CE39}"/>
    <cellStyle name="20% - Accent1 2 2 2 5 3" xfId="6160" xr:uid="{00000000-0005-0000-0000-000014000000}"/>
    <cellStyle name="20% - Accent1 2 2 2 5 3 2" xfId="15486" xr:uid="{95597F3D-9B5B-4735-9871-005813044173}"/>
    <cellStyle name="20% - Accent1 2 2 2 5 4" xfId="11269" xr:uid="{68CF2B6D-96AE-4AA3-A280-CED0D5AC523C}"/>
    <cellStyle name="20% - Accent1 2 2 2 6" xfId="2267" xr:uid="{00000000-0005-0000-0000-000015000000}"/>
    <cellStyle name="20% - Accent1 2 2 2 6 2" xfId="6573" xr:uid="{00000000-0005-0000-0000-000016000000}"/>
    <cellStyle name="20% - Accent1 2 2 2 6 2 2" xfId="15899" xr:uid="{87796431-F98B-4929-97F1-7472CEA3055B}"/>
    <cellStyle name="20% - Accent1 2 2 2 6 3" xfId="11682" xr:uid="{2CD9B783-027C-4A42-B84A-9BA9164F228F}"/>
    <cellStyle name="20% - Accent1 2 2 2 7" xfId="4507" xr:uid="{00000000-0005-0000-0000-000017000000}"/>
    <cellStyle name="20% - Accent1 2 2 2 7 2" xfId="13833" xr:uid="{B4E3B9D8-324B-4899-B3EC-40F016AE8FDE}"/>
    <cellStyle name="20% - Accent1 2 2 2 8" xfId="9107" xr:uid="{4168D01E-823F-4E8F-9A1D-70697AC1F241}"/>
    <cellStyle name="20% - Accent1 2 2 2 8 2" xfId="18430" xr:uid="{57FC5C5D-1A4A-41E4-9A08-D282558EDD54}"/>
    <cellStyle name="20% - Accent1 2 2 2 9" xfId="9616" xr:uid="{862F9DE7-96C8-45DB-B163-ECF965015770}"/>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09A9D78B-C642-4A20-87EF-569299381FD5}"/>
    <cellStyle name="20% - Accent1 2 2 3 2 3" xfId="12174" xr:uid="{C40F1657-B9F5-44A7-8E5B-0FA44A6AF5E8}"/>
    <cellStyle name="20% - Accent1 2 2 3 3" xfId="4920" xr:uid="{00000000-0005-0000-0000-00001B000000}"/>
    <cellStyle name="20% - Accent1 2 2 3 3 2" xfId="14246" xr:uid="{792B92C5-4DF6-4114-A5A6-16485C6A1CCA}"/>
    <cellStyle name="20% - Accent1 2 2 3 4" xfId="9325" xr:uid="{DE19910B-698B-4F31-B25F-3533B35DDA95}"/>
    <cellStyle name="20% - Accent1 2 2 3 4 2" xfId="18638" xr:uid="{F23A909E-D0E5-4217-A5B5-FEC11ED674A7}"/>
    <cellStyle name="20% - Accent1 2 2 3 5" xfId="10029" xr:uid="{21A77CD8-E7CE-405C-BBC3-6167FBB14A00}"/>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9353401A-81DF-4DDB-A47F-B57B922074BF}"/>
    <cellStyle name="20% - Accent1 2 2 4 2 3" xfId="12587" xr:uid="{39503091-B727-4714-BDBB-7AF17D613451}"/>
    <cellStyle name="20% - Accent1 2 2 4 3" xfId="5333" xr:uid="{00000000-0005-0000-0000-00001F000000}"/>
    <cellStyle name="20% - Accent1 2 2 4 3 2" xfId="14659" xr:uid="{9142C69D-D883-48F5-8476-5679DAF17460}"/>
    <cellStyle name="20% - Accent1 2 2 4 4" xfId="10442" xr:uid="{AD1A7C6C-F8DE-4FC7-9C8E-F894F1B619BA}"/>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27289A88-F230-491F-9646-4440D31EBB5B}"/>
    <cellStyle name="20% - Accent1 2 2 5 2 3" xfId="13000" xr:uid="{EA7EB23E-A3FA-42E8-AB8E-F545341D53E2}"/>
    <cellStyle name="20% - Accent1 2 2 5 3" xfId="5746" xr:uid="{00000000-0005-0000-0000-000023000000}"/>
    <cellStyle name="20% - Accent1 2 2 5 3 2" xfId="15072" xr:uid="{4DBB9C01-F9F2-4AB9-AF8D-CA48692BD66A}"/>
    <cellStyle name="20% - Accent1 2 2 5 4" xfId="10855" xr:uid="{74623F9A-C5FD-4823-AF8F-01A693932979}"/>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30811DAD-269A-43FC-9AA2-A6570A5B93D5}"/>
    <cellStyle name="20% - Accent1 2 2 6 2 3" xfId="13413" xr:uid="{1ECAA1DE-189A-4060-A32C-7BBA8F9E066F}"/>
    <cellStyle name="20% - Accent1 2 2 6 3" xfId="6159" xr:uid="{00000000-0005-0000-0000-000027000000}"/>
    <cellStyle name="20% - Accent1 2 2 6 3 2" xfId="15485" xr:uid="{1B67EF7B-97B0-4A0C-A027-915005B8DD1A}"/>
    <cellStyle name="20% - Accent1 2 2 6 4" xfId="11268" xr:uid="{59C06FB2-FCFB-4CF1-8292-B10DF4735162}"/>
    <cellStyle name="20% - Accent1 2 2 7" xfId="2266" xr:uid="{00000000-0005-0000-0000-000028000000}"/>
    <cellStyle name="20% - Accent1 2 2 7 2" xfId="6572" xr:uid="{00000000-0005-0000-0000-000029000000}"/>
    <cellStyle name="20% - Accent1 2 2 7 2 2" xfId="15898" xr:uid="{6968638C-55DA-4FE5-BEAE-874658A3A950}"/>
    <cellStyle name="20% - Accent1 2 2 7 3" xfId="11681" xr:uid="{C4046D2C-F86B-4AFC-BDDA-2098AA3674CF}"/>
    <cellStyle name="20% - Accent1 2 2 8" xfId="4506" xr:uid="{00000000-0005-0000-0000-00002A000000}"/>
    <cellStyle name="20% - Accent1 2 2 8 2" xfId="13832" xr:uid="{53307BDC-CBF4-441D-9D2A-0F7455CDB769}"/>
    <cellStyle name="20% - Accent1 2 2 9" xfId="8900" xr:uid="{7D7E3EAF-DF6A-403F-8C20-66BB9757790F}"/>
    <cellStyle name="20% - Accent1 2 2 9 2" xfId="18223" xr:uid="{332A61AA-B678-4758-A22B-29C036F7453A}"/>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C2E1A98A-926E-4AF3-AEB3-0441A5E95621}"/>
    <cellStyle name="20% - Accent1 2 3 2 2 3" xfId="12176" xr:uid="{386AF5B1-A648-4860-8282-B5E4BF35EBCD}"/>
    <cellStyle name="20% - Accent1 2 3 2 3" xfId="4922" xr:uid="{00000000-0005-0000-0000-00002F000000}"/>
    <cellStyle name="20% - Accent1 2 3 2 3 2" xfId="14248" xr:uid="{DD897BB2-2C08-4FF3-AAF8-0C03B8DA2BEC}"/>
    <cellStyle name="20% - Accent1 2 3 2 4" xfId="9429" xr:uid="{CCD4BD61-3143-497B-A316-8024A8762A6C}"/>
    <cellStyle name="20% - Accent1 2 3 2 4 2" xfId="18742" xr:uid="{0526AC45-47C0-4D84-BE7F-DFE8DDB06247}"/>
    <cellStyle name="20% - Accent1 2 3 2 5" xfId="10031" xr:uid="{E8AFDE7C-EC06-4C1A-91B5-9C5066732236}"/>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EAAB6B43-82AA-4ACD-94A4-AA6E29456A1E}"/>
    <cellStyle name="20% - Accent1 2 3 3 2 3" xfId="12589" xr:uid="{97C20511-E25D-4986-AC23-6EAE463A0FC0}"/>
    <cellStyle name="20% - Accent1 2 3 3 3" xfId="5335" xr:uid="{00000000-0005-0000-0000-000033000000}"/>
    <cellStyle name="20% - Accent1 2 3 3 3 2" xfId="14661" xr:uid="{FAA3C9E2-C23C-48FB-94C5-E851FC7FDD53}"/>
    <cellStyle name="20% - Accent1 2 3 3 4" xfId="10444" xr:uid="{459C9D1E-C9D5-46BE-8749-0FDF4CEF2122}"/>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4F6C65E8-F736-48FE-8218-62AC4698D19B}"/>
    <cellStyle name="20% - Accent1 2 3 4 2 3" xfId="13002" xr:uid="{E2D45205-EEF7-46C3-9CA5-EC0F2C60CEED}"/>
    <cellStyle name="20% - Accent1 2 3 4 3" xfId="5748" xr:uid="{00000000-0005-0000-0000-000037000000}"/>
    <cellStyle name="20% - Accent1 2 3 4 3 2" xfId="15074" xr:uid="{E53E6E6B-6485-49BE-A9D9-CE95BA3B63BE}"/>
    <cellStyle name="20% - Accent1 2 3 4 4" xfId="10857" xr:uid="{FDC2B4EA-DF83-4412-9F99-1AE0DB649828}"/>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67A7820C-F8F1-498D-B5A5-0910FEF5F82D}"/>
    <cellStyle name="20% - Accent1 2 3 5 2 3" xfId="13415" xr:uid="{6A482D02-7BF3-48E0-83E6-459A51D2D0B7}"/>
    <cellStyle name="20% - Accent1 2 3 5 3" xfId="6161" xr:uid="{00000000-0005-0000-0000-00003B000000}"/>
    <cellStyle name="20% - Accent1 2 3 5 3 2" xfId="15487" xr:uid="{EF5C700E-391D-4CBA-A916-3A52485428D3}"/>
    <cellStyle name="20% - Accent1 2 3 5 4" xfId="11270" xr:uid="{6EF2F9E0-0D77-4650-9CC0-7362A54D837B}"/>
    <cellStyle name="20% - Accent1 2 3 6" xfId="2268" xr:uid="{00000000-0005-0000-0000-00003C000000}"/>
    <cellStyle name="20% - Accent1 2 3 6 2" xfId="6574" xr:uid="{00000000-0005-0000-0000-00003D000000}"/>
    <cellStyle name="20% - Accent1 2 3 6 2 2" xfId="15900" xr:uid="{67709C1A-7D48-435B-9206-E6991D289CF3}"/>
    <cellStyle name="20% - Accent1 2 3 6 3" xfId="11683" xr:uid="{92A7C5FD-5115-4A43-BB23-E337CB811027}"/>
    <cellStyle name="20% - Accent1 2 3 7" xfId="4508" xr:uid="{00000000-0005-0000-0000-00003E000000}"/>
    <cellStyle name="20% - Accent1 2 3 7 2" xfId="13834" xr:uid="{DB44C34F-F0EF-40A7-917F-D831F1E60783}"/>
    <cellStyle name="20% - Accent1 2 3 8" xfId="9004" xr:uid="{14A9C135-BB7B-44DD-97E1-B6B10773DEE2}"/>
    <cellStyle name="20% - Accent1 2 3 8 2" xfId="18327" xr:uid="{AB58CA43-F1EA-4EEC-B3D9-4C87C2055D7E}"/>
    <cellStyle name="20% - Accent1 2 3 9" xfId="9617" xr:uid="{D6856921-E0AE-4921-8343-67A39CED7117}"/>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E47DEC8E-9737-4AE9-BBFE-43F68C992126}"/>
    <cellStyle name="20% - Accent1 2 4 2 3" xfId="12173" xr:uid="{A803FF2F-2A0B-486C-9B43-F987E270DF32}"/>
    <cellStyle name="20% - Accent1 2 4 3" xfId="4919" xr:uid="{00000000-0005-0000-0000-000042000000}"/>
    <cellStyle name="20% - Accent1 2 4 3 2" xfId="14245" xr:uid="{0BFCB84B-709B-4CED-8118-21FB392D5B28}"/>
    <cellStyle name="20% - Accent1 2 4 4" xfId="9221" xr:uid="{11532E3F-E59C-4FF7-9F45-291A17A69435}"/>
    <cellStyle name="20% - Accent1 2 4 4 2" xfId="18535" xr:uid="{DA525F21-288F-4767-8D65-76994D95A951}"/>
    <cellStyle name="20% - Accent1 2 4 5" xfId="10028" xr:uid="{048DD6AD-A3E4-4B7D-9898-14EB0E4D6AF6}"/>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6AD1BACF-7914-4F91-B1F7-34F063D45BC6}"/>
    <cellStyle name="20% - Accent1 2 5 2 3" xfId="12586" xr:uid="{E12FB1F1-2FB1-4465-B28C-649DE663EB35}"/>
    <cellStyle name="20% - Accent1 2 5 3" xfId="5332" xr:uid="{00000000-0005-0000-0000-000046000000}"/>
    <cellStyle name="20% - Accent1 2 5 3 2" xfId="14658" xr:uid="{C726D37A-0349-46FC-A56D-B2750F626BD5}"/>
    <cellStyle name="20% - Accent1 2 5 4" xfId="10441" xr:uid="{821DB9C3-BF59-449F-AF24-2008E7B126AF}"/>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1C5403B0-6BDD-4D29-A0FC-33B790A67E2A}"/>
    <cellStyle name="20% - Accent1 2 6 2 3" xfId="12999" xr:uid="{A5F4EEB3-9E90-44F2-AA3F-4FF259338157}"/>
    <cellStyle name="20% - Accent1 2 6 3" xfId="5745" xr:uid="{00000000-0005-0000-0000-00004A000000}"/>
    <cellStyle name="20% - Accent1 2 6 3 2" xfId="15071" xr:uid="{93928825-8341-4A42-8C0B-79D6467D9692}"/>
    <cellStyle name="20% - Accent1 2 6 4" xfId="10854" xr:uid="{D546525D-1234-4DE3-A90C-0CAB1E5D7DC9}"/>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2CFD60B4-15A5-4627-BDDE-D76A9CC883A4}"/>
    <cellStyle name="20% - Accent1 2 7 2 3" xfId="13412" xr:uid="{CF3BE557-C752-4EC8-8E2A-FA5FA7EED599}"/>
    <cellStyle name="20% - Accent1 2 7 3" xfId="6158" xr:uid="{00000000-0005-0000-0000-00004E000000}"/>
    <cellStyle name="20% - Accent1 2 7 3 2" xfId="15484" xr:uid="{9689D261-914D-4D8E-8BAC-99599D594E8D}"/>
    <cellStyle name="20% - Accent1 2 7 4" xfId="11267" xr:uid="{BEC977F6-A276-409E-8004-3A19F4AD0CBF}"/>
    <cellStyle name="20% - Accent1 2 8" xfId="2265" xr:uid="{00000000-0005-0000-0000-00004F000000}"/>
    <cellStyle name="20% - Accent1 2 8 2" xfId="6571" xr:uid="{00000000-0005-0000-0000-000050000000}"/>
    <cellStyle name="20% - Accent1 2 8 2 2" xfId="15897" xr:uid="{AC630BAB-62A3-4607-9FC9-4A86FF23B292}"/>
    <cellStyle name="20% - Accent1 2 8 3" xfId="11680" xr:uid="{4CA0D1DD-D67A-4B6C-9632-5BCAEA2D60AD}"/>
    <cellStyle name="20% - Accent1 2 9" xfId="4505" xr:uid="{00000000-0005-0000-0000-000051000000}"/>
    <cellStyle name="20% - Accent1 2 9 2" xfId="13831" xr:uid="{4D3C36BB-F90B-46BD-967A-38C1E17D3FEE}"/>
    <cellStyle name="20% - Accent1 3" xfId="6" xr:uid="{00000000-0005-0000-0000-000052000000}"/>
    <cellStyle name="20% - Accent1 3 10" xfId="9618" xr:uid="{F01CFEB6-49FB-4915-A916-D24E39AFE03A}"/>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1E4BAD7B-3266-4740-BD40-DCCC32BC5A2A}"/>
    <cellStyle name="20% - Accent1 3 2 2 2 3" xfId="12178" xr:uid="{8BB236A9-9F9E-4172-B043-A6821BC7021C}"/>
    <cellStyle name="20% - Accent1 3 2 2 3" xfId="4924" xr:uid="{00000000-0005-0000-0000-000057000000}"/>
    <cellStyle name="20% - Accent1 3 2 2 3 2" xfId="14250" xr:uid="{409B5AAB-4E62-4D02-8498-7FE81B087BB0}"/>
    <cellStyle name="20% - Accent1 3 2 2 4" xfId="9493" xr:uid="{FCEFE71D-2A04-4899-B62A-B225DBF7F0BF}"/>
    <cellStyle name="20% - Accent1 3 2 2 4 2" xfId="18806" xr:uid="{4DD3B1C3-B9B2-458C-92C4-6ED2580B3B1A}"/>
    <cellStyle name="20% - Accent1 3 2 2 5" xfId="10033" xr:uid="{DADDC4AB-B1C2-48F4-8FE1-807BCB8FE684}"/>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ACCF5DD2-93BC-4E7A-92B6-94D5671F0075}"/>
    <cellStyle name="20% - Accent1 3 2 3 2 3" xfId="12591" xr:uid="{E59F7D1D-2344-4A9F-B42C-EBDE3FD0C7A4}"/>
    <cellStyle name="20% - Accent1 3 2 3 3" xfId="5337" xr:uid="{00000000-0005-0000-0000-00005B000000}"/>
    <cellStyle name="20% - Accent1 3 2 3 3 2" xfId="14663" xr:uid="{82E6F888-D8E8-4457-8D61-5ABCE04F1729}"/>
    <cellStyle name="20% - Accent1 3 2 3 4" xfId="10446" xr:uid="{B36D24A3-F1C7-446A-90FE-B5050B29F621}"/>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18228185-F349-4085-B55D-8EFC353706DB}"/>
    <cellStyle name="20% - Accent1 3 2 4 2 3" xfId="13004" xr:uid="{FC485316-FD91-4385-82D7-C03C69067915}"/>
    <cellStyle name="20% - Accent1 3 2 4 3" xfId="5750" xr:uid="{00000000-0005-0000-0000-00005F000000}"/>
    <cellStyle name="20% - Accent1 3 2 4 3 2" xfId="15076" xr:uid="{B9233130-EA54-471A-A9DD-04CFE6AA8D11}"/>
    <cellStyle name="20% - Accent1 3 2 4 4" xfId="10859" xr:uid="{EB19C276-C8C1-4ED1-A8F7-F13C4E587520}"/>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C5CDA692-4086-4600-8DB9-DCCA951BF3F8}"/>
    <cellStyle name="20% - Accent1 3 2 5 2 3" xfId="13417" xr:uid="{EB0F4295-A382-4718-A8B9-3BF88C783E05}"/>
    <cellStyle name="20% - Accent1 3 2 5 3" xfId="6163" xr:uid="{00000000-0005-0000-0000-000063000000}"/>
    <cellStyle name="20% - Accent1 3 2 5 3 2" xfId="15489" xr:uid="{BF80123E-683A-4C2D-BB70-6264E1C4A95D}"/>
    <cellStyle name="20% - Accent1 3 2 5 4" xfId="11272" xr:uid="{FD4811F9-7076-430F-B581-7C6AA6B33083}"/>
    <cellStyle name="20% - Accent1 3 2 6" xfId="2270" xr:uid="{00000000-0005-0000-0000-000064000000}"/>
    <cellStyle name="20% - Accent1 3 2 6 2" xfId="6576" xr:uid="{00000000-0005-0000-0000-000065000000}"/>
    <cellStyle name="20% - Accent1 3 2 6 2 2" xfId="15902" xr:uid="{09A018EE-D1DB-4AB3-8C84-ACB32F96D654}"/>
    <cellStyle name="20% - Accent1 3 2 6 3" xfId="11685" xr:uid="{371A192A-2BD0-498D-8340-A5A253B8FDE9}"/>
    <cellStyle name="20% - Accent1 3 2 7" xfId="4510" xr:uid="{00000000-0005-0000-0000-000066000000}"/>
    <cellStyle name="20% - Accent1 3 2 7 2" xfId="13836" xr:uid="{D6CE3346-B482-4A80-83DC-AFABBCE013D2}"/>
    <cellStyle name="20% - Accent1 3 2 8" xfId="9068" xr:uid="{354460C9-AD38-4FCD-882B-4DFB81DE5890}"/>
    <cellStyle name="20% - Accent1 3 2 8 2" xfId="18391" xr:uid="{F596CF29-67C1-48DC-9712-553B789328E3}"/>
    <cellStyle name="20% - Accent1 3 2 9" xfId="9619" xr:uid="{6DB61918-4289-45E5-973D-802DAE99D94D}"/>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736F0C98-47E3-45EA-A895-03A3043795F5}"/>
    <cellStyle name="20% - Accent1 3 3 2 3" xfId="12177" xr:uid="{791F00A3-B58D-483B-B7D0-921CF8A7CDBB}"/>
    <cellStyle name="20% - Accent1 3 3 3" xfId="4923" xr:uid="{00000000-0005-0000-0000-00006A000000}"/>
    <cellStyle name="20% - Accent1 3 3 3 2" xfId="14249" xr:uid="{9E495705-96BD-44BE-BD54-360F3DC3708C}"/>
    <cellStyle name="20% - Accent1 3 3 4" xfId="9286" xr:uid="{B5220C4B-EBE7-4AD0-9A24-7F16FA378184}"/>
    <cellStyle name="20% - Accent1 3 3 4 2" xfId="18599" xr:uid="{EAACB5F7-1424-47C1-AF9B-80BD41022670}"/>
    <cellStyle name="20% - Accent1 3 3 5" xfId="10032" xr:uid="{FF366E6F-3D10-4BE7-BFC9-A3B0ADF8BA37}"/>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53C822C3-05A5-4995-9605-59A97E102745}"/>
    <cellStyle name="20% - Accent1 3 4 2 3" xfId="12590" xr:uid="{45FBF6E8-E22E-4BC3-857F-BC3906163B60}"/>
    <cellStyle name="20% - Accent1 3 4 3" xfId="5336" xr:uid="{00000000-0005-0000-0000-00006E000000}"/>
    <cellStyle name="20% - Accent1 3 4 3 2" xfId="14662" xr:uid="{0D286764-7A27-45C4-A317-9F93C3BC8BAD}"/>
    <cellStyle name="20% - Accent1 3 4 4" xfId="10445" xr:uid="{C11B3609-B6F5-4760-81E4-F62D1C2243D9}"/>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44FA335A-30FE-4A4F-A07C-1C08970B874E}"/>
    <cellStyle name="20% - Accent1 3 5 2 3" xfId="13003" xr:uid="{313CF561-A7B0-480E-9DF2-42A81CE43693}"/>
    <cellStyle name="20% - Accent1 3 5 3" xfId="5749" xr:uid="{00000000-0005-0000-0000-000072000000}"/>
    <cellStyle name="20% - Accent1 3 5 3 2" xfId="15075" xr:uid="{9AC81628-6A9A-4A5A-A5FC-6B22952E2CA9}"/>
    <cellStyle name="20% - Accent1 3 5 4" xfId="10858" xr:uid="{7977873B-B4E2-45CA-9FF6-E933BF0E265E}"/>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B0551E40-AF26-4D24-B84A-B30B477E157E}"/>
    <cellStyle name="20% - Accent1 3 6 2 3" xfId="13416" xr:uid="{A04EDFEA-DCC8-4527-9011-529481B07E8C}"/>
    <cellStyle name="20% - Accent1 3 6 3" xfId="6162" xr:uid="{00000000-0005-0000-0000-000076000000}"/>
    <cellStyle name="20% - Accent1 3 6 3 2" xfId="15488" xr:uid="{3F754B40-A0B6-4705-A7DA-731DE773D115}"/>
    <cellStyle name="20% - Accent1 3 6 4" xfId="11271" xr:uid="{E419AEFF-50D0-415F-9F60-E12EB3BDEE29}"/>
    <cellStyle name="20% - Accent1 3 7" xfId="2269" xr:uid="{00000000-0005-0000-0000-000077000000}"/>
    <cellStyle name="20% - Accent1 3 7 2" xfId="6575" xr:uid="{00000000-0005-0000-0000-000078000000}"/>
    <cellStyle name="20% - Accent1 3 7 2 2" xfId="15901" xr:uid="{3BA0C389-7891-4080-A350-88DC4E46D732}"/>
    <cellStyle name="20% - Accent1 3 7 3" xfId="11684" xr:uid="{1C58F9F9-606F-4BFF-A07D-10B4CAB93178}"/>
    <cellStyle name="20% - Accent1 3 8" xfId="4509" xr:uid="{00000000-0005-0000-0000-000079000000}"/>
    <cellStyle name="20% - Accent1 3 8 2" xfId="13835" xr:uid="{7718535E-8E74-4673-A966-72ADCF36F328}"/>
    <cellStyle name="20% - Accent1 3 9" xfId="8861" xr:uid="{C1B75176-75E3-4E31-86A7-851E7FD67A9E}"/>
    <cellStyle name="20% - Accent1 3 9 2" xfId="18184" xr:uid="{9BFA99D6-BFEE-4BB1-A9CB-233D5103CEB2}"/>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5970A8C7-96A1-4AE3-9AAB-A224710A10B4}"/>
    <cellStyle name="20% - Accent1 4 2 2 3" xfId="12179" xr:uid="{FADF570D-4296-472A-A099-6080DDE6ABB9}"/>
    <cellStyle name="20% - Accent1 4 2 3" xfId="4925" xr:uid="{00000000-0005-0000-0000-00007E000000}"/>
    <cellStyle name="20% - Accent1 4 2 3 2" xfId="14251" xr:uid="{DC85F9B0-0014-4660-800F-F13558C65147}"/>
    <cellStyle name="20% - Accent1 4 2 4" xfId="9372" xr:uid="{E6B08341-6F7D-4580-9BCF-4BFC252FAE31}"/>
    <cellStyle name="20% - Accent1 4 2 4 2" xfId="18685" xr:uid="{73A97481-DFD7-4186-8E0F-FFC9548F5331}"/>
    <cellStyle name="20% - Accent1 4 2 5" xfId="10034" xr:uid="{3F3E8228-A817-4D88-BB17-615961FF1B36}"/>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50983B70-52C7-4063-B220-7AC6F4ECC820}"/>
    <cellStyle name="20% - Accent1 4 3 2 3" xfId="12592" xr:uid="{1ACBC2C2-276B-418B-A704-63C221AEF990}"/>
    <cellStyle name="20% - Accent1 4 3 3" xfId="5338" xr:uid="{00000000-0005-0000-0000-000082000000}"/>
    <cellStyle name="20% - Accent1 4 3 3 2" xfId="14664" xr:uid="{1202BF70-C24D-4EC8-B891-1FAB0EBB289F}"/>
    <cellStyle name="20% - Accent1 4 3 4" xfId="10447" xr:uid="{04BAC9C2-CDF3-48FE-B79B-0B2B6B2A2988}"/>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3E5053E4-7FCC-4379-9489-A45FB94AD582}"/>
    <cellStyle name="20% - Accent1 4 4 2 3" xfId="13005" xr:uid="{C02A03BE-49E5-4E9F-A9B0-75761FF44FA5}"/>
    <cellStyle name="20% - Accent1 4 4 3" xfId="5751" xr:uid="{00000000-0005-0000-0000-000086000000}"/>
    <cellStyle name="20% - Accent1 4 4 3 2" xfId="15077" xr:uid="{02E81AC9-9222-4AEF-9F3D-205E5A1D8457}"/>
    <cellStyle name="20% - Accent1 4 4 4" xfId="10860" xr:uid="{DF601D57-7653-46B8-8143-A7161300C66C}"/>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04764BEC-ADF6-4C17-930F-E0556B429A77}"/>
    <cellStyle name="20% - Accent1 4 5 2 3" xfId="13418" xr:uid="{E4853866-8240-4AF4-BEA7-67EDBF19E1F5}"/>
    <cellStyle name="20% - Accent1 4 5 3" xfId="6164" xr:uid="{00000000-0005-0000-0000-00008A000000}"/>
    <cellStyle name="20% - Accent1 4 5 3 2" xfId="15490" xr:uid="{ED00ED5F-3460-45F4-BAE2-8CB1D36C3BA0}"/>
    <cellStyle name="20% - Accent1 4 5 4" xfId="11273" xr:uid="{A1121B44-5D48-4891-AA23-8318761B6DDE}"/>
    <cellStyle name="20% - Accent1 4 6" xfId="2271" xr:uid="{00000000-0005-0000-0000-00008B000000}"/>
    <cellStyle name="20% - Accent1 4 6 2" xfId="6577" xr:uid="{00000000-0005-0000-0000-00008C000000}"/>
    <cellStyle name="20% - Accent1 4 6 2 2" xfId="15903" xr:uid="{A507B135-4CA7-43EE-AA93-2208A2BFEEA3}"/>
    <cellStyle name="20% - Accent1 4 6 3" xfId="11686" xr:uid="{9BE497AA-EDCF-4C38-B484-6D4BE7ED2BDF}"/>
    <cellStyle name="20% - Accent1 4 7" xfId="4511" xr:uid="{00000000-0005-0000-0000-00008D000000}"/>
    <cellStyle name="20% - Accent1 4 7 2" xfId="13837" xr:uid="{45C9975A-9B83-42E1-A2F0-CA2E1976366F}"/>
    <cellStyle name="20% - Accent1 4 8" xfId="8947" xr:uid="{1FCDBFE2-CC86-42DD-AD9B-D3EAF476002E}"/>
    <cellStyle name="20% - Accent1 4 8 2" xfId="18270" xr:uid="{35835504-608E-45C9-95D2-CD004549FC92}"/>
    <cellStyle name="20% - Accent1 4 9" xfId="9620" xr:uid="{DD88A11A-B854-4FE8-B20B-68FB1566F508}"/>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433A7736-CE5A-49E3-B1E4-8669C9A2741F}"/>
    <cellStyle name="20% - Accent1 5 2 3" xfId="12172" xr:uid="{11E8ECDE-4769-43D3-BCBD-948ADECD5E69}"/>
    <cellStyle name="20% - Accent1 5 3" xfId="4918" xr:uid="{00000000-0005-0000-0000-000091000000}"/>
    <cellStyle name="20% - Accent1 5 3 2" xfId="14244" xr:uid="{EEF57916-6885-4A55-8BE7-1647FD09EB78}"/>
    <cellStyle name="20% - Accent1 5 4" xfId="9180" xr:uid="{D0AEF57E-25E3-47C5-B910-DC1A0019F498}"/>
    <cellStyle name="20% - Accent1 5 4 2" xfId="18496" xr:uid="{34525CF3-640A-4817-86DD-975B92B867C9}"/>
    <cellStyle name="20% - Accent1 5 5" xfId="10027" xr:uid="{CD2BD172-5649-4F52-970D-D2E2572DCDC5}"/>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FD1B9F17-F89B-491F-BE23-41D5EE59B14F}"/>
    <cellStyle name="20% - Accent1 6 2 3" xfId="12585" xr:uid="{9F099A07-94CA-4F70-A99E-83532167CE8D}"/>
    <cellStyle name="20% - Accent1 6 3" xfId="5331" xr:uid="{00000000-0005-0000-0000-000095000000}"/>
    <cellStyle name="20% - Accent1 6 3 2" xfId="14657" xr:uid="{EA0ADE70-FC4F-48E8-BC08-F72C79410FAE}"/>
    <cellStyle name="20% - Accent1 6 4" xfId="10440" xr:uid="{DDE62183-B037-4848-B846-BB837EC2B3BF}"/>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EEAE99CA-E0D2-4C18-9208-FAC0DC3445EE}"/>
    <cellStyle name="20% - Accent1 7 2 3" xfId="12998" xr:uid="{3CD67AD5-00C5-4C83-8D64-1D2AE79CE623}"/>
    <cellStyle name="20% - Accent1 7 3" xfId="5744" xr:uid="{00000000-0005-0000-0000-000099000000}"/>
    <cellStyle name="20% - Accent1 7 3 2" xfId="15070" xr:uid="{5E04B97F-F5B5-4519-9B0B-EDD59AA08534}"/>
    <cellStyle name="20% - Accent1 7 4" xfId="10853" xr:uid="{A536C995-7B37-4569-8DF7-44D3044637C8}"/>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2B32D6F2-2F6C-467D-B234-1FEC2976D532}"/>
    <cellStyle name="20% - Accent1 8 2 3" xfId="13411" xr:uid="{59906963-5FEC-4FEA-BD27-30D7D6392C13}"/>
    <cellStyle name="20% - Accent1 8 3" xfId="6157" xr:uid="{00000000-0005-0000-0000-00009D000000}"/>
    <cellStyle name="20% - Accent1 8 3 2" xfId="15483" xr:uid="{B273A6C2-1EC9-4EA3-BB14-2F8A4688ABA4}"/>
    <cellStyle name="20% - Accent1 8 4" xfId="11266" xr:uid="{73D0A7BA-E2E5-4F4F-9931-872B3FF1DA8F}"/>
    <cellStyle name="20% - Accent1 9" xfId="2264" xr:uid="{00000000-0005-0000-0000-00009E000000}"/>
    <cellStyle name="20% - Accent1 9 2" xfId="6570" xr:uid="{00000000-0005-0000-0000-00009F000000}"/>
    <cellStyle name="20% - Accent1 9 2 2" xfId="15896" xr:uid="{929FFCCF-019D-4F25-9D9A-55BF2BE9B616}"/>
    <cellStyle name="20% - Accent1 9 3" xfId="11679" xr:uid="{6A1DD889-10E3-4A69-8FE6-0D429FF5C82D}"/>
    <cellStyle name="20% - Accent2" xfId="9" builtinId="34" customBuiltin="1"/>
    <cellStyle name="20% - Accent2 10" xfId="4512" xr:uid="{00000000-0005-0000-0000-0000A1000000}"/>
    <cellStyle name="20% - Accent2 10 2" xfId="13838" xr:uid="{2837419B-4C8B-4195-A2A5-F8C25C4F20FD}"/>
    <cellStyle name="20% - Accent2 11" xfId="8760" xr:uid="{2F9D8AF1-C115-467C-ADFB-3BF13039D076}"/>
    <cellStyle name="20% - Accent2 11 2" xfId="18083" xr:uid="{407A5F75-D32B-4F9A-BA13-1723DE110992}"/>
    <cellStyle name="20% - Accent2 12" xfId="9621" xr:uid="{4234622E-B4A0-44A4-A3F5-6326B4F266C3}"/>
    <cellStyle name="20% - Accent2 2" xfId="10" xr:uid="{00000000-0005-0000-0000-0000A2000000}"/>
    <cellStyle name="20% - Accent2 2 10" xfId="8793" xr:uid="{AA7C3473-3A75-4F75-9E25-D7658C57F3A0}"/>
    <cellStyle name="20% - Accent2 2 10 2" xfId="18116" xr:uid="{06663B11-D374-4F72-A38B-0A813D03D9E3}"/>
    <cellStyle name="20% - Accent2 2 11" xfId="9622" xr:uid="{5570BA0B-4902-4D96-A028-39C764D32D80}"/>
    <cellStyle name="20% - Accent2 2 2" xfId="11" xr:uid="{00000000-0005-0000-0000-0000A3000000}"/>
    <cellStyle name="20% - Accent2 2 2 10" xfId="9623" xr:uid="{0E2DD745-B39E-4FE2-864E-4C2DD927F352}"/>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004C2859-8500-44E5-B0D4-CC82B3FD8A0C}"/>
    <cellStyle name="20% - Accent2 2 2 2 2 2 3" xfId="12183" xr:uid="{52E35A2E-D369-4CCB-AFB8-E1D537376F78}"/>
    <cellStyle name="20% - Accent2 2 2 2 2 3" xfId="4929" xr:uid="{00000000-0005-0000-0000-0000A8000000}"/>
    <cellStyle name="20% - Accent2 2 2 2 2 3 2" xfId="14255" xr:uid="{6B6FCB69-E316-41E2-916E-37919BD50BD2}"/>
    <cellStyle name="20% - Accent2 2 2 2 2 4" xfId="9528" xr:uid="{C8BEA541-FD8B-4449-95AA-43E1904F35BB}"/>
    <cellStyle name="20% - Accent2 2 2 2 2 4 2" xfId="18841" xr:uid="{6893F5DA-2D35-4A03-9AAE-D654BA9B65D4}"/>
    <cellStyle name="20% - Accent2 2 2 2 2 5" xfId="10038" xr:uid="{8827DE2D-45B2-4482-B027-480C6E54AD9A}"/>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06161987-588D-4E8A-B872-0B36F2A985A5}"/>
    <cellStyle name="20% - Accent2 2 2 2 3 2 3" xfId="12596" xr:uid="{4590472F-D347-42DE-A10A-D345A35C0E94}"/>
    <cellStyle name="20% - Accent2 2 2 2 3 3" xfId="5342" xr:uid="{00000000-0005-0000-0000-0000AC000000}"/>
    <cellStyle name="20% - Accent2 2 2 2 3 3 2" xfId="14668" xr:uid="{EB01B352-B5B8-46E2-AA9C-CF6C69B693A5}"/>
    <cellStyle name="20% - Accent2 2 2 2 3 4" xfId="10451" xr:uid="{14177A6B-A14F-4611-A4A5-60B6AD4E1DD7}"/>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10F64097-E40C-4C84-85A1-4E36F736B7C6}"/>
    <cellStyle name="20% - Accent2 2 2 2 4 2 3" xfId="13009" xr:uid="{95E49E0A-A312-4F4C-8D16-187EF35796D1}"/>
    <cellStyle name="20% - Accent2 2 2 2 4 3" xfId="5755" xr:uid="{00000000-0005-0000-0000-0000B0000000}"/>
    <cellStyle name="20% - Accent2 2 2 2 4 3 2" xfId="15081" xr:uid="{2B087F77-AA79-48D1-A87E-319622F1B712}"/>
    <cellStyle name="20% - Accent2 2 2 2 4 4" xfId="10864" xr:uid="{0F50CD9C-F017-4402-9A67-17BAF8549598}"/>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D1C660B8-6915-4551-8621-781FCEAED0D4}"/>
    <cellStyle name="20% - Accent2 2 2 2 5 2 3" xfId="13422" xr:uid="{14C99727-8525-4F40-9E34-F5D66276A083}"/>
    <cellStyle name="20% - Accent2 2 2 2 5 3" xfId="6168" xr:uid="{00000000-0005-0000-0000-0000B4000000}"/>
    <cellStyle name="20% - Accent2 2 2 2 5 3 2" xfId="15494" xr:uid="{85034398-C45E-45D7-BDC8-47EC58CEB82B}"/>
    <cellStyle name="20% - Accent2 2 2 2 5 4" xfId="11277" xr:uid="{AF0212B4-793D-4529-AF0E-2DB94C11F9D7}"/>
    <cellStyle name="20% - Accent2 2 2 2 6" xfId="2275" xr:uid="{00000000-0005-0000-0000-0000B5000000}"/>
    <cellStyle name="20% - Accent2 2 2 2 6 2" xfId="6581" xr:uid="{00000000-0005-0000-0000-0000B6000000}"/>
    <cellStyle name="20% - Accent2 2 2 2 6 2 2" xfId="15907" xr:uid="{D41526D4-9EA7-4E4D-8527-DF955656F503}"/>
    <cellStyle name="20% - Accent2 2 2 2 6 3" xfId="11690" xr:uid="{D0931CA8-E2EF-4E36-ACFF-869D709D72B8}"/>
    <cellStyle name="20% - Accent2 2 2 2 7" xfId="4515" xr:uid="{00000000-0005-0000-0000-0000B7000000}"/>
    <cellStyle name="20% - Accent2 2 2 2 7 2" xfId="13841" xr:uid="{A145E99F-6686-427D-A3AB-979DCD322F56}"/>
    <cellStyle name="20% - Accent2 2 2 2 8" xfId="9103" xr:uid="{91DB80A1-3464-4086-B948-71B6A26537C4}"/>
    <cellStyle name="20% - Accent2 2 2 2 8 2" xfId="18426" xr:uid="{76F455C7-DB96-45F4-AC86-62C425B16159}"/>
    <cellStyle name="20% - Accent2 2 2 2 9" xfId="9624" xr:uid="{B796D253-BA18-4EC4-8039-728DBEA009D9}"/>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C0DC0C17-2C4F-4F13-A4FA-B96A1919BD49}"/>
    <cellStyle name="20% - Accent2 2 2 3 2 3" xfId="12182" xr:uid="{11CAD426-7D62-480D-9262-8ECCD8A9C1EF}"/>
    <cellStyle name="20% - Accent2 2 2 3 3" xfId="4928" xr:uid="{00000000-0005-0000-0000-0000BB000000}"/>
    <cellStyle name="20% - Accent2 2 2 3 3 2" xfId="14254" xr:uid="{6118E436-A566-4508-B28C-476558064E2A}"/>
    <cellStyle name="20% - Accent2 2 2 3 4" xfId="9321" xr:uid="{32B21C3A-E360-4F19-B469-1116F045A0F3}"/>
    <cellStyle name="20% - Accent2 2 2 3 4 2" xfId="18634" xr:uid="{59B45651-3420-4041-8143-A9446CB50BF8}"/>
    <cellStyle name="20% - Accent2 2 2 3 5" xfId="10037" xr:uid="{4144D8C6-3E21-40E5-A8CD-3DBE45111DE1}"/>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B8C31A32-A962-4ACD-BB9A-F26031C5D369}"/>
    <cellStyle name="20% - Accent2 2 2 4 2 3" xfId="12595" xr:uid="{477CC3AA-4A0D-479A-978C-5748FF916404}"/>
    <cellStyle name="20% - Accent2 2 2 4 3" xfId="5341" xr:uid="{00000000-0005-0000-0000-0000BF000000}"/>
    <cellStyle name="20% - Accent2 2 2 4 3 2" xfId="14667" xr:uid="{FFFA13B0-2B4C-4F2A-BDAB-8B25A3B95457}"/>
    <cellStyle name="20% - Accent2 2 2 4 4" xfId="10450" xr:uid="{0AFB3B39-983A-4DA7-AC99-20C3996A24E4}"/>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4B6A1598-7284-4098-A71C-F852E710033B}"/>
    <cellStyle name="20% - Accent2 2 2 5 2 3" xfId="13008" xr:uid="{E9422580-675D-4C3A-81A5-70781DEFEA80}"/>
    <cellStyle name="20% - Accent2 2 2 5 3" xfId="5754" xr:uid="{00000000-0005-0000-0000-0000C3000000}"/>
    <cellStyle name="20% - Accent2 2 2 5 3 2" xfId="15080" xr:uid="{F2D87359-5516-46EA-A37E-0A24865640D1}"/>
    <cellStyle name="20% - Accent2 2 2 5 4" xfId="10863" xr:uid="{22C995B8-5955-45AA-AD3A-BCBEF12D4603}"/>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3D1823C4-C1DE-4D59-9CD4-F3AA74E406E4}"/>
    <cellStyle name="20% - Accent2 2 2 6 2 3" xfId="13421" xr:uid="{BE178029-CB2D-405E-8AE0-9D5E61CFBDE4}"/>
    <cellStyle name="20% - Accent2 2 2 6 3" xfId="6167" xr:uid="{00000000-0005-0000-0000-0000C7000000}"/>
    <cellStyle name="20% - Accent2 2 2 6 3 2" xfId="15493" xr:uid="{2A11F49A-7C83-46DF-A066-04DB35130D2B}"/>
    <cellStyle name="20% - Accent2 2 2 6 4" xfId="11276" xr:uid="{4AD01EBB-4593-4D3C-A03E-E65597B4E952}"/>
    <cellStyle name="20% - Accent2 2 2 7" xfId="2274" xr:uid="{00000000-0005-0000-0000-0000C8000000}"/>
    <cellStyle name="20% - Accent2 2 2 7 2" xfId="6580" xr:uid="{00000000-0005-0000-0000-0000C9000000}"/>
    <cellStyle name="20% - Accent2 2 2 7 2 2" xfId="15906" xr:uid="{FF554E36-9CB8-4521-A7B3-95C3C9802E29}"/>
    <cellStyle name="20% - Accent2 2 2 7 3" xfId="11689" xr:uid="{EAE8EEBA-27E3-4703-9ADC-3612CD8FAA40}"/>
    <cellStyle name="20% - Accent2 2 2 8" xfId="4514" xr:uid="{00000000-0005-0000-0000-0000CA000000}"/>
    <cellStyle name="20% - Accent2 2 2 8 2" xfId="13840" xr:uid="{EBC02F31-A34D-4F1E-9770-46F8FB0D24EF}"/>
    <cellStyle name="20% - Accent2 2 2 9" xfId="8896" xr:uid="{7CDAA0F1-5BE6-4749-AD4D-5424E0EA26D8}"/>
    <cellStyle name="20% - Accent2 2 2 9 2" xfId="18219" xr:uid="{CAC72D77-6497-4BDB-AADC-25EBD9EC4831}"/>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BA9CE838-C9E0-4FB8-9BFC-FB243167E998}"/>
    <cellStyle name="20% - Accent2 2 3 2 2 3" xfId="12184" xr:uid="{33026E14-57D1-4CA1-B226-2930E64B3FAC}"/>
    <cellStyle name="20% - Accent2 2 3 2 3" xfId="4930" xr:uid="{00000000-0005-0000-0000-0000CF000000}"/>
    <cellStyle name="20% - Accent2 2 3 2 3 2" xfId="14256" xr:uid="{49CE3579-C6EC-466E-A903-8EE35B5C5FBF}"/>
    <cellStyle name="20% - Accent2 2 3 2 4" xfId="9425" xr:uid="{35BECFF4-0F5A-4F6E-AE6E-354891135B4F}"/>
    <cellStyle name="20% - Accent2 2 3 2 4 2" xfId="18738" xr:uid="{3A6D54BB-4385-4AC2-9A02-65B95502D9E1}"/>
    <cellStyle name="20% - Accent2 2 3 2 5" xfId="10039" xr:uid="{F1AA8F57-B74C-47AC-8B70-7C306E88AD21}"/>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79175C5C-FBFF-4D48-9934-728E56AA253C}"/>
    <cellStyle name="20% - Accent2 2 3 3 2 3" xfId="12597" xr:uid="{879A04EA-FEFE-43E5-AF0D-A26B7DD3D714}"/>
    <cellStyle name="20% - Accent2 2 3 3 3" xfId="5343" xr:uid="{00000000-0005-0000-0000-0000D3000000}"/>
    <cellStyle name="20% - Accent2 2 3 3 3 2" xfId="14669" xr:uid="{BC961F88-8409-402C-90F0-5AA82F751DC2}"/>
    <cellStyle name="20% - Accent2 2 3 3 4" xfId="10452" xr:uid="{6A09C174-0A82-44BA-AE80-4C3A95BECD48}"/>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A295620D-6A40-4536-B060-A63943415BD5}"/>
    <cellStyle name="20% - Accent2 2 3 4 2 3" xfId="13010" xr:uid="{BB43DEAC-0194-49BD-A74F-75F1E96E44B0}"/>
    <cellStyle name="20% - Accent2 2 3 4 3" xfId="5756" xr:uid="{00000000-0005-0000-0000-0000D7000000}"/>
    <cellStyle name="20% - Accent2 2 3 4 3 2" xfId="15082" xr:uid="{34D9293B-5241-419F-B4D7-1EA41216DC91}"/>
    <cellStyle name="20% - Accent2 2 3 4 4" xfId="10865" xr:uid="{A7BF295B-6C37-4D88-835D-D70AFA6911C1}"/>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426A7631-8700-436A-A31A-7F923A8DED82}"/>
    <cellStyle name="20% - Accent2 2 3 5 2 3" xfId="13423" xr:uid="{872284F8-99F1-4CD3-BD21-2D544501032E}"/>
    <cellStyle name="20% - Accent2 2 3 5 3" xfId="6169" xr:uid="{00000000-0005-0000-0000-0000DB000000}"/>
    <cellStyle name="20% - Accent2 2 3 5 3 2" xfId="15495" xr:uid="{BEC7F728-F41F-4EEC-93D7-DE5DD09C90CA}"/>
    <cellStyle name="20% - Accent2 2 3 5 4" xfId="11278" xr:uid="{75AA379D-B3F0-4A0F-988D-964C6CA1064E}"/>
    <cellStyle name="20% - Accent2 2 3 6" xfId="2276" xr:uid="{00000000-0005-0000-0000-0000DC000000}"/>
    <cellStyle name="20% - Accent2 2 3 6 2" xfId="6582" xr:uid="{00000000-0005-0000-0000-0000DD000000}"/>
    <cellStyle name="20% - Accent2 2 3 6 2 2" xfId="15908" xr:uid="{79ED21C5-8C10-49C1-8356-B0F2D301EF26}"/>
    <cellStyle name="20% - Accent2 2 3 6 3" xfId="11691" xr:uid="{0C5624FE-5388-425D-AF8D-F0F9BA719875}"/>
    <cellStyle name="20% - Accent2 2 3 7" xfId="4516" xr:uid="{00000000-0005-0000-0000-0000DE000000}"/>
    <cellStyle name="20% - Accent2 2 3 7 2" xfId="13842" xr:uid="{3FDE7126-8A34-4A96-93F9-A258394F2C90}"/>
    <cellStyle name="20% - Accent2 2 3 8" xfId="9000" xr:uid="{133DFC5C-F2FF-49E9-82EE-ABAA9C815393}"/>
    <cellStyle name="20% - Accent2 2 3 8 2" xfId="18323" xr:uid="{D656F618-1CAA-4FFF-90DC-54B8147FBE2C}"/>
    <cellStyle name="20% - Accent2 2 3 9" xfId="9625" xr:uid="{D118FBB4-A996-4C50-B010-BE524D0E4B41}"/>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CF59980A-E7C4-4DD7-A82E-CE11B13C3382}"/>
    <cellStyle name="20% - Accent2 2 4 2 3" xfId="12181" xr:uid="{940727DB-3C98-49CF-8378-030B34BEB9D1}"/>
    <cellStyle name="20% - Accent2 2 4 3" xfId="4927" xr:uid="{00000000-0005-0000-0000-0000E2000000}"/>
    <cellStyle name="20% - Accent2 2 4 3 2" xfId="14253" xr:uid="{7F07A414-C5C8-415C-97F0-9BB961B37066}"/>
    <cellStyle name="20% - Accent2 2 4 4" xfId="9217" xr:uid="{28DDC3F5-BA57-40F8-8D06-6CFF141CF9A1}"/>
    <cellStyle name="20% - Accent2 2 4 4 2" xfId="18531" xr:uid="{6A039001-059E-4DFF-A563-E7BA578CF12D}"/>
    <cellStyle name="20% - Accent2 2 4 5" xfId="10036" xr:uid="{C57B064C-763A-4560-A953-38FD07D671D6}"/>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1F433C17-3507-4823-8C3D-AF81F94D332B}"/>
    <cellStyle name="20% - Accent2 2 5 2 3" xfId="12594" xr:uid="{33D52A8F-83E3-4FD5-8597-76741B54E989}"/>
    <cellStyle name="20% - Accent2 2 5 3" xfId="5340" xr:uid="{00000000-0005-0000-0000-0000E6000000}"/>
    <cellStyle name="20% - Accent2 2 5 3 2" xfId="14666" xr:uid="{408875F0-2998-4A04-9EE2-5513927A79C5}"/>
    <cellStyle name="20% - Accent2 2 5 4" xfId="10449" xr:uid="{C7CCF810-F441-4C15-9B9A-07A74C2AE8F1}"/>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430C07D6-8987-4A56-AC38-7063835E123F}"/>
    <cellStyle name="20% - Accent2 2 6 2 3" xfId="13007" xr:uid="{711DC57B-8C40-499C-A2D8-C2E471E4B45E}"/>
    <cellStyle name="20% - Accent2 2 6 3" xfId="5753" xr:uid="{00000000-0005-0000-0000-0000EA000000}"/>
    <cellStyle name="20% - Accent2 2 6 3 2" xfId="15079" xr:uid="{6B2BE04B-ECC8-4A28-800B-4FDB08982F2E}"/>
    <cellStyle name="20% - Accent2 2 6 4" xfId="10862" xr:uid="{347A1B66-A8DA-4408-BD1F-77A2C1FF1CD1}"/>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8D91D7C7-B820-4E42-8778-29D09B0F6215}"/>
    <cellStyle name="20% - Accent2 2 7 2 3" xfId="13420" xr:uid="{203BA728-983F-471C-9D44-1467E1CAEA6C}"/>
    <cellStyle name="20% - Accent2 2 7 3" xfId="6166" xr:uid="{00000000-0005-0000-0000-0000EE000000}"/>
    <cellStyle name="20% - Accent2 2 7 3 2" xfId="15492" xr:uid="{53145FD1-70C0-4932-93DB-34DC023C7BEB}"/>
    <cellStyle name="20% - Accent2 2 7 4" xfId="11275" xr:uid="{DA1E0F4B-F48D-4D8C-A507-06BC64B6EF4B}"/>
    <cellStyle name="20% - Accent2 2 8" xfId="2273" xr:uid="{00000000-0005-0000-0000-0000EF000000}"/>
    <cellStyle name="20% - Accent2 2 8 2" xfId="6579" xr:uid="{00000000-0005-0000-0000-0000F0000000}"/>
    <cellStyle name="20% - Accent2 2 8 2 2" xfId="15905" xr:uid="{3AFFBDC1-7854-49E0-9CFB-9AD10EA20F18}"/>
    <cellStyle name="20% - Accent2 2 8 3" xfId="11688" xr:uid="{56C7C79B-FDB5-4705-8E35-A2851F2EEDFA}"/>
    <cellStyle name="20% - Accent2 2 9" xfId="4513" xr:uid="{00000000-0005-0000-0000-0000F1000000}"/>
    <cellStyle name="20% - Accent2 2 9 2" xfId="13839" xr:uid="{0FBB7631-1F50-4915-BB36-AA6B60F7BD5F}"/>
    <cellStyle name="20% - Accent2 3" xfId="14" xr:uid="{00000000-0005-0000-0000-0000F2000000}"/>
    <cellStyle name="20% - Accent2 3 10" xfId="9626" xr:uid="{F5DB7A07-A392-4F02-9BC6-B4F60291DB43}"/>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7077F252-D0FC-4B81-BDAA-2352D2C617CC}"/>
    <cellStyle name="20% - Accent2 3 2 2 2 3" xfId="12186" xr:uid="{5B253BC1-39F1-4BD4-9305-565B820D1B1A}"/>
    <cellStyle name="20% - Accent2 3 2 2 3" xfId="4932" xr:uid="{00000000-0005-0000-0000-0000F7000000}"/>
    <cellStyle name="20% - Accent2 3 2 2 3 2" xfId="14258" xr:uid="{40C61897-63B8-4149-8C55-450076407C83}"/>
    <cellStyle name="20% - Accent2 3 2 2 4" xfId="9495" xr:uid="{9F5A6FE7-BBC9-4787-8EC4-2112F4D5A0EA}"/>
    <cellStyle name="20% - Accent2 3 2 2 4 2" xfId="18808" xr:uid="{C1671B9F-EF98-4ED2-A64B-072BC98B47AB}"/>
    <cellStyle name="20% - Accent2 3 2 2 5" xfId="10041" xr:uid="{137BFAB7-FD11-4BC5-A970-ADF721C0FDE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79FAC2A0-BC4C-457A-9BB5-197306ACE055}"/>
    <cellStyle name="20% - Accent2 3 2 3 2 3" xfId="12599" xr:uid="{6D0080D5-F237-42A9-80E3-C29CB4126D3A}"/>
    <cellStyle name="20% - Accent2 3 2 3 3" xfId="5345" xr:uid="{00000000-0005-0000-0000-0000FB000000}"/>
    <cellStyle name="20% - Accent2 3 2 3 3 2" xfId="14671" xr:uid="{E0B2B14C-8EEF-42F0-ADDE-72FCE8BBD2B1}"/>
    <cellStyle name="20% - Accent2 3 2 3 4" xfId="10454" xr:uid="{C90A0DC0-13C3-49FB-B455-6EE3729BAD2F}"/>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9C6CF40B-63CB-4B01-A13B-A1163E4D5E36}"/>
    <cellStyle name="20% - Accent2 3 2 4 2 3" xfId="13012" xr:uid="{213FDFCC-B1F2-4520-B21F-2E3CA7D0F63D}"/>
    <cellStyle name="20% - Accent2 3 2 4 3" xfId="5758" xr:uid="{00000000-0005-0000-0000-0000FF000000}"/>
    <cellStyle name="20% - Accent2 3 2 4 3 2" xfId="15084" xr:uid="{23527151-7995-409E-88FC-671917D01FFD}"/>
    <cellStyle name="20% - Accent2 3 2 4 4" xfId="10867" xr:uid="{9ECBBDC6-10AA-4776-97C7-CC19B69A0276}"/>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F02A879D-08B5-4417-ABE9-0BDD658B50CB}"/>
    <cellStyle name="20% - Accent2 3 2 5 2 3" xfId="13425" xr:uid="{76D32EB6-9184-4244-AF62-1FA1400A7C72}"/>
    <cellStyle name="20% - Accent2 3 2 5 3" xfId="6171" xr:uid="{00000000-0005-0000-0000-000003010000}"/>
    <cellStyle name="20% - Accent2 3 2 5 3 2" xfId="15497" xr:uid="{8318C2C2-763E-407F-804A-1D9E51549913}"/>
    <cellStyle name="20% - Accent2 3 2 5 4" xfId="11280" xr:uid="{47EF2992-A970-455C-BE18-04533BB2AF2B}"/>
    <cellStyle name="20% - Accent2 3 2 6" xfId="2278" xr:uid="{00000000-0005-0000-0000-000004010000}"/>
    <cellStyle name="20% - Accent2 3 2 6 2" xfId="6584" xr:uid="{00000000-0005-0000-0000-000005010000}"/>
    <cellStyle name="20% - Accent2 3 2 6 2 2" xfId="15910" xr:uid="{B845C465-AD57-4AAE-A46E-D5B560E03EC8}"/>
    <cellStyle name="20% - Accent2 3 2 6 3" xfId="11693" xr:uid="{4B7069D3-8F48-4AB9-8908-95F7EDE48A46}"/>
    <cellStyle name="20% - Accent2 3 2 7" xfId="4518" xr:uid="{00000000-0005-0000-0000-000006010000}"/>
    <cellStyle name="20% - Accent2 3 2 7 2" xfId="13844" xr:uid="{D01B204D-FCD2-4A69-971E-63256E995ECF}"/>
    <cellStyle name="20% - Accent2 3 2 8" xfId="9070" xr:uid="{8A9168BA-490F-4E57-83EA-22187D24153F}"/>
    <cellStyle name="20% - Accent2 3 2 8 2" xfId="18393" xr:uid="{A5259B03-80B9-4C99-98FA-EA8C7D7DBF90}"/>
    <cellStyle name="20% - Accent2 3 2 9" xfId="9627" xr:uid="{6BEA1940-B3F8-4442-87E8-66BCB9036BDA}"/>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37647BDD-4075-46C6-8B3F-EEB44F25E1B4}"/>
    <cellStyle name="20% - Accent2 3 3 2 3" xfId="12185" xr:uid="{2EEFC079-8AEC-45FA-8989-C10B0CD51CB4}"/>
    <cellStyle name="20% - Accent2 3 3 3" xfId="4931" xr:uid="{00000000-0005-0000-0000-00000A010000}"/>
    <cellStyle name="20% - Accent2 3 3 3 2" xfId="14257" xr:uid="{56B8C07B-3BBE-4CFC-BFE6-5733C4642CC0}"/>
    <cellStyle name="20% - Accent2 3 3 4" xfId="9288" xr:uid="{FCD70616-ECAD-4A0B-889F-4698E1AD889E}"/>
    <cellStyle name="20% - Accent2 3 3 4 2" xfId="18601" xr:uid="{DF97B9EE-9B9A-4450-BC58-AD3B4197C8D2}"/>
    <cellStyle name="20% - Accent2 3 3 5" xfId="10040" xr:uid="{9CCA2000-DBA4-47D1-9127-AE20E6CF3B5E}"/>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B7FBA7C7-8101-4019-8858-0A0AAC49D026}"/>
    <cellStyle name="20% - Accent2 3 4 2 3" xfId="12598" xr:uid="{A9ED2058-D71D-45BF-B46D-4F6513E99B4C}"/>
    <cellStyle name="20% - Accent2 3 4 3" xfId="5344" xr:uid="{00000000-0005-0000-0000-00000E010000}"/>
    <cellStyle name="20% - Accent2 3 4 3 2" xfId="14670" xr:uid="{6BA11882-02F6-4BB0-B004-3EB59D6B7775}"/>
    <cellStyle name="20% - Accent2 3 4 4" xfId="10453" xr:uid="{8E35F562-286E-47FB-A70C-3AEC6DC534CC}"/>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2944F101-AFDD-4334-8200-7D13FB17E57E}"/>
    <cellStyle name="20% - Accent2 3 5 2 3" xfId="13011" xr:uid="{2600E64E-A99B-48B5-9791-7CEAD09C015D}"/>
    <cellStyle name="20% - Accent2 3 5 3" xfId="5757" xr:uid="{00000000-0005-0000-0000-000012010000}"/>
    <cellStyle name="20% - Accent2 3 5 3 2" xfId="15083" xr:uid="{77B6E812-6DC9-4F3B-876B-CFCA4D18D426}"/>
    <cellStyle name="20% - Accent2 3 5 4" xfId="10866" xr:uid="{849C55E2-460A-4D13-99FD-31DB7E0E0C3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E8C17590-4C09-4190-939D-D7D156C186D2}"/>
    <cellStyle name="20% - Accent2 3 6 2 3" xfId="13424" xr:uid="{EE8144EC-73EF-4037-A3C7-6032C20111A6}"/>
    <cellStyle name="20% - Accent2 3 6 3" xfId="6170" xr:uid="{00000000-0005-0000-0000-000016010000}"/>
    <cellStyle name="20% - Accent2 3 6 3 2" xfId="15496" xr:uid="{30ABDDEA-D253-4A0C-87DC-EF3359BC8ECF}"/>
    <cellStyle name="20% - Accent2 3 6 4" xfId="11279" xr:uid="{836B2EF4-CAAE-4F2E-B112-0CED9E0CA4FE}"/>
    <cellStyle name="20% - Accent2 3 7" xfId="2277" xr:uid="{00000000-0005-0000-0000-000017010000}"/>
    <cellStyle name="20% - Accent2 3 7 2" xfId="6583" xr:uid="{00000000-0005-0000-0000-000018010000}"/>
    <cellStyle name="20% - Accent2 3 7 2 2" xfId="15909" xr:uid="{7C4BF325-149F-4789-941A-EC5BEAB14CC0}"/>
    <cellStyle name="20% - Accent2 3 7 3" xfId="11692" xr:uid="{29198670-55F6-4D51-8E79-D46EE48E51AB}"/>
    <cellStyle name="20% - Accent2 3 8" xfId="4517" xr:uid="{00000000-0005-0000-0000-000019010000}"/>
    <cellStyle name="20% - Accent2 3 8 2" xfId="13843" xr:uid="{390B94A7-76C5-4B68-A6A3-B4CDFA925331}"/>
    <cellStyle name="20% - Accent2 3 9" xfId="8863" xr:uid="{C6A258FB-33DC-4171-B9DD-C29513CA80FD}"/>
    <cellStyle name="20% - Accent2 3 9 2" xfId="18186" xr:uid="{BF46D38E-D026-4C44-A9B7-542DEA76E59C}"/>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15F5A1DE-2704-41C5-A59F-90B5CADC3EE4}"/>
    <cellStyle name="20% - Accent2 4 2 2 3" xfId="12187" xr:uid="{C3794C00-B789-4F87-81F9-9320A28BD1FA}"/>
    <cellStyle name="20% - Accent2 4 2 3" xfId="4933" xr:uid="{00000000-0005-0000-0000-00001E010000}"/>
    <cellStyle name="20% - Accent2 4 2 3 2" xfId="14259" xr:uid="{CBDA5CAC-04B9-4238-BD43-BA6E03CC2799}"/>
    <cellStyle name="20% - Accent2 4 2 4" xfId="9374" xr:uid="{26FD7A0E-8D04-4AF7-B092-2B22A78F0A97}"/>
    <cellStyle name="20% - Accent2 4 2 4 2" xfId="18687" xr:uid="{B309E397-9B92-43C2-BC9D-37E18622509F}"/>
    <cellStyle name="20% - Accent2 4 2 5" xfId="10042" xr:uid="{703B7DD8-8A2E-496C-8281-46907BDDAF74}"/>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21696C20-1B67-41E3-959E-7A5FE920CF69}"/>
    <cellStyle name="20% - Accent2 4 3 2 3" xfId="12600" xr:uid="{9417580C-F60A-441F-9E77-2CA5CBBCD9A3}"/>
    <cellStyle name="20% - Accent2 4 3 3" xfId="5346" xr:uid="{00000000-0005-0000-0000-000022010000}"/>
    <cellStyle name="20% - Accent2 4 3 3 2" xfId="14672" xr:uid="{8D1D7BD3-BA4C-4D7E-A9A6-0483E0B3B1DC}"/>
    <cellStyle name="20% - Accent2 4 3 4" xfId="10455" xr:uid="{EFA02EE9-0DE6-47B6-A829-3A880E89B23D}"/>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859181F9-37E3-411C-B75F-8DBD39B12D5C}"/>
    <cellStyle name="20% - Accent2 4 4 2 3" xfId="13013" xr:uid="{07E5F24F-88FA-4FF0-8995-4CD66607ACFF}"/>
    <cellStyle name="20% - Accent2 4 4 3" xfId="5759" xr:uid="{00000000-0005-0000-0000-000026010000}"/>
    <cellStyle name="20% - Accent2 4 4 3 2" xfId="15085" xr:uid="{3FF17C52-B490-4193-B165-BFCD36EE7A1F}"/>
    <cellStyle name="20% - Accent2 4 4 4" xfId="10868" xr:uid="{15E5E529-DFF2-43DC-B575-72ADF1DA54B8}"/>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9E6E2EB2-09B2-4AAF-82E7-17155BF31904}"/>
    <cellStyle name="20% - Accent2 4 5 2 3" xfId="13426" xr:uid="{B8EDC6AF-D5B7-4D1D-BC20-DC1C5C315307}"/>
    <cellStyle name="20% - Accent2 4 5 3" xfId="6172" xr:uid="{00000000-0005-0000-0000-00002A010000}"/>
    <cellStyle name="20% - Accent2 4 5 3 2" xfId="15498" xr:uid="{D343BD8D-25CF-4210-A0E5-1CAB4864BCF2}"/>
    <cellStyle name="20% - Accent2 4 5 4" xfId="11281" xr:uid="{BC62D096-FF3D-41DC-BA17-2FF084934024}"/>
    <cellStyle name="20% - Accent2 4 6" xfId="2279" xr:uid="{00000000-0005-0000-0000-00002B010000}"/>
    <cellStyle name="20% - Accent2 4 6 2" xfId="6585" xr:uid="{00000000-0005-0000-0000-00002C010000}"/>
    <cellStyle name="20% - Accent2 4 6 2 2" xfId="15911" xr:uid="{767EFA16-86C0-4944-B9E4-85CE29D987BB}"/>
    <cellStyle name="20% - Accent2 4 6 3" xfId="11694" xr:uid="{A1160948-A963-488E-8EB9-7141CC702186}"/>
    <cellStyle name="20% - Accent2 4 7" xfId="4519" xr:uid="{00000000-0005-0000-0000-00002D010000}"/>
    <cellStyle name="20% - Accent2 4 7 2" xfId="13845" xr:uid="{A21F3711-9E30-4B2A-B56E-5FF10FAF47C2}"/>
    <cellStyle name="20% - Accent2 4 8" xfId="8949" xr:uid="{084C22A9-B904-4AFE-A752-AC1DC2CA76B8}"/>
    <cellStyle name="20% - Accent2 4 8 2" xfId="18272" xr:uid="{3CFF23DE-867D-4C4A-A325-1BAA7FD2AE13}"/>
    <cellStyle name="20% - Accent2 4 9" xfId="9628" xr:uid="{48602F9C-42B9-4BA5-A5CB-BC58F88C656C}"/>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CF35B7B2-FCCB-43F5-A652-6C6FBB5C11D7}"/>
    <cellStyle name="20% - Accent2 5 2 3" xfId="12180" xr:uid="{CC10643A-9E8B-4B18-AF6A-28958318E681}"/>
    <cellStyle name="20% - Accent2 5 3" xfId="4926" xr:uid="{00000000-0005-0000-0000-000031010000}"/>
    <cellStyle name="20% - Accent2 5 3 2" xfId="14252" xr:uid="{B9C8B3D3-5F3B-4DBA-9DC4-27623DECCBA4}"/>
    <cellStyle name="20% - Accent2 5 4" xfId="9182" xr:uid="{F822E263-B2A4-41B5-BBF9-FCE1A7A30601}"/>
    <cellStyle name="20% - Accent2 5 4 2" xfId="18498" xr:uid="{96C3FEAF-C46C-4859-957B-81B481F95905}"/>
    <cellStyle name="20% - Accent2 5 5" xfId="10035" xr:uid="{C175C00A-74CC-4ADB-9112-77AB14E2987E}"/>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CC984532-B672-4960-B3F0-FB0F76A8216A}"/>
    <cellStyle name="20% - Accent2 6 2 3" xfId="12593" xr:uid="{F7DD680B-F2A8-47AA-AEEE-37A0F55FE187}"/>
    <cellStyle name="20% - Accent2 6 3" xfId="5339" xr:uid="{00000000-0005-0000-0000-000035010000}"/>
    <cellStyle name="20% - Accent2 6 3 2" xfId="14665" xr:uid="{320256C8-0065-412F-A3C6-B94ADC329AA6}"/>
    <cellStyle name="20% - Accent2 6 4" xfId="10448" xr:uid="{2D61190B-3CB8-4198-9D48-EF76DE4A10F5}"/>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52BF67DE-BEA6-416F-B867-B5B241BA7CA1}"/>
    <cellStyle name="20% - Accent2 7 2 3" xfId="13006" xr:uid="{CAB4EF94-5F50-4AB9-A966-B8311E5B0AEB}"/>
    <cellStyle name="20% - Accent2 7 3" xfId="5752" xr:uid="{00000000-0005-0000-0000-000039010000}"/>
    <cellStyle name="20% - Accent2 7 3 2" xfId="15078" xr:uid="{E45FFD8B-CB9E-415C-B562-6183ED1C0B0F}"/>
    <cellStyle name="20% - Accent2 7 4" xfId="10861" xr:uid="{124E6928-8AD0-468B-923B-144AA315F9CA}"/>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995F9FDD-EB8A-456E-8A6B-26E566C65157}"/>
    <cellStyle name="20% - Accent2 8 2 3" xfId="13419" xr:uid="{5BC7BABC-4187-4D6F-9272-C179835FCAF6}"/>
    <cellStyle name="20% - Accent2 8 3" xfId="6165" xr:uid="{00000000-0005-0000-0000-00003D010000}"/>
    <cellStyle name="20% - Accent2 8 3 2" xfId="15491" xr:uid="{19ED1881-2383-4AF4-86B9-04981AB2F532}"/>
    <cellStyle name="20% - Accent2 8 4" xfId="11274" xr:uid="{B75A8AE4-A53B-401E-B679-5327813DF816}"/>
    <cellStyle name="20% - Accent2 9" xfId="2272" xr:uid="{00000000-0005-0000-0000-00003E010000}"/>
    <cellStyle name="20% - Accent2 9 2" xfId="6578" xr:uid="{00000000-0005-0000-0000-00003F010000}"/>
    <cellStyle name="20% - Accent2 9 2 2" xfId="15904" xr:uid="{329E0AAD-1BED-47E9-B796-C93A751B7F49}"/>
    <cellStyle name="20% - Accent2 9 3" xfId="11687" xr:uid="{1E22D36B-A9D8-4BAF-B442-ED3E6B894689}"/>
    <cellStyle name="20% - Accent3" xfId="17" builtinId="38" customBuiltin="1"/>
    <cellStyle name="20% - Accent3 10" xfId="4520" xr:uid="{00000000-0005-0000-0000-000041010000}"/>
    <cellStyle name="20% - Accent3 10 2" xfId="13846" xr:uid="{1C2B0EFC-D466-45E7-AB32-9F65A74D9EAA}"/>
    <cellStyle name="20% - Accent3 11" xfId="8762" xr:uid="{49ACF776-43E7-4BB5-82F5-A8A4FEBC45F8}"/>
    <cellStyle name="20% - Accent3 11 2" xfId="18085" xr:uid="{AA0C8558-EEE0-40A8-8B35-CBC1D20E9C7F}"/>
    <cellStyle name="20% - Accent3 12" xfId="9629" xr:uid="{14729126-474E-4704-A3BB-62D3D5FE0FCA}"/>
    <cellStyle name="20% - Accent3 2" xfId="18" xr:uid="{00000000-0005-0000-0000-000042010000}"/>
    <cellStyle name="20% - Accent3 2 10" xfId="8792" xr:uid="{65E5762F-047C-4860-B47E-71363924E2A5}"/>
    <cellStyle name="20% - Accent3 2 10 2" xfId="18115" xr:uid="{A56601E6-EAAD-4053-A696-097E72695C79}"/>
    <cellStyle name="20% - Accent3 2 11" xfId="9630" xr:uid="{4B05BFC8-CF55-4AA7-96E3-198A3FC492ED}"/>
    <cellStyle name="20% - Accent3 2 2" xfId="19" xr:uid="{00000000-0005-0000-0000-000043010000}"/>
    <cellStyle name="20% - Accent3 2 2 10" xfId="9631" xr:uid="{2AA6F716-4706-426D-9300-43D69683D137}"/>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76E9DDA2-DDB8-4D50-A39B-9F2A2C04C67F}"/>
    <cellStyle name="20% - Accent3 2 2 2 2 2 3" xfId="12191" xr:uid="{FF4FE1AF-2C42-498E-8787-460604633793}"/>
    <cellStyle name="20% - Accent3 2 2 2 2 3" xfId="4937" xr:uid="{00000000-0005-0000-0000-000048010000}"/>
    <cellStyle name="20% - Accent3 2 2 2 2 3 2" xfId="14263" xr:uid="{DEF81059-0C6F-4845-A482-1D7979207855}"/>
    <cellStyle name="20% - Accent3 2 2 2 2 4" xfId="9527" xr:uid="{B82F9F3C-4714-4F10-BEB2-F90FC0563F53}"/>
    <cellStyle name="20% - Accent3 2 2 2 2 4 2" xfId="18840" xr:uid="{A60D0507-886C-4D3C-A236-D8ACE776A359}"/>
    <cellStyle name="20% - Accent3 2 2 2 2 5" xfId="10046" xr:uid="{5EC9BF6E-C902-47E9-98C4-457C85DF390D}"/>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8F79C14F-6B03-4A5F-BE58-707207AFA4AC}"/>
    <cellStyle name="20% - Accent3 2 2 2 3 2 3" xfId="12604" xr:uid="{2918327C-5BD6-4178-945D-94718469AC1D}"/>
    <cellStyle name="20% - Accent3 2 2 2 3 3" xfId="5350" xr:uid="{00000000-0005-0000-0000-00004C010000}"/>
    <cellStyle name="20% - Accent3 2 2 2 3 3 2" xfId="14676" xr:uid="{A485D32A-4A47-4863-8BB3-DC7AD599AA8A}"/>
    <cellStyle name="20% - Accent3 2 2 2 3 4" xfId="10459" xr:uid="{9117AED9-D183-4439-B5D7-BB668815D027}"/>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2D0BD952-6710-4BED-8E4C-2560671F8929}"/>
    <cellStyle name="20% - Accent3 2 2 2 4 2 3" xfId="13017" xr:uid="{C9AFAAB5-7814-40EA-B0D8-1E0915D3E5A4}"/>
    <cellStyle name="20% - Accent3 2 2 2 4 3" xfId="5763" xr:uid="{00000000-0005-0000-0000-000050010000}"/>
    <cellStyle name="20% - Accent3 2 2 2 4 3 2" xfId="15089" xr:uid="{75CEF825-2E29-46FC-B981-7049876F8547}"/>
    <cellStyle name="20% - Accent3 2 2 2 4 4" xfId="10872" xr:uid="{94342856-CFDA-47DC-A9DF-A0F9F5942D3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2E8EA9F4-98A0-429F-981C-685E8D2D8250}"/>
    <cellStyle name="20% - Accent3 2 2 2 5 2 3" xfId="13430" xr:uid="{1524B133-0038-4EF6-B033-4B23E24B70E2}"/>
    <cellStyle name="20% - Accent3 2 2 2 5 3" xfId="6176" xr:uid="{00000000-0005-0000-0000-000054010000}"/>
    <cellStyle name="20% - Accent3 2 2 2 5 3 2" xfId="15502" xr:uid="{AF6849F6-133E-4879-AF5F-34CF93BFDD79}"/>
    <cellStyle name="20% - Accent3 2 2 2 5 4" xfId="11285" xr:uid="{886E1606-A393-40DA-A886-D1C2573F1240}"/>
    <cellStyle name="20% - Accent3 2 2 2 6" xfId="2283" xr:uid="{00000000-0005-0000-0000-000055010000}"/>
    <cellStyle name="20% - Accent3 2 2 2 6 2" xfId="6589" xr:uid="{00000000-0005-0000-0000-000056010000}"/>
    <cellStyle name="20% - Accent3 2 2 2 6 2 2" xfId="15915" xr:uid="{61D758A0-ECA4-4B2A-906F-15F333A2A0E9}"/>
    <cellStyle name="20% - Accent3 2 2 2 6 3" xfId="11698" xr:uid="{6F88C8CB-4293-4E03-9A24-B493DD2AF183}"/>
    <cellStyle name="20% - Accent3 2 2 2 7" xfId="4523" xr:uid="{00000000-0005-0000-0000-000057010000}"/>
    <cellStyle name="20% - Accent3 2 2 2 7 2" xfId="13849" xr:uid="{C75FC510-AE0F-480E-8B78-AF2D3B2FD81E}"/>
    <cellStyle name="20% - Accent3 2 2 2 8" xfId="9102" xr:uid="{77698EAD-FDE4-4105-BE80-980B5219F464}"/>
    <cellStyle name="20% - Accent3 2 2 2 8 2" xfId="18425" xr:uid="{4BF2A20C-1600-49BC-946C-FCB0C3C70DF5}"/>
    <cellStyle name="20% - Accent3 2 2 2 9" xfId="9632" xr:uid="{1DD1EC85-4D63-420B-A298-E35F7D9790F3}"/>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87DFBF7F-5634-46FB-9A06-E2BC9EB9D0E5}"/>
    <cellStyle name="20% - Accent3 2 2 3 2 3" xfId="12190" xr:uid="{3B4DA9CC-0A0B-4BC0-8203-0EA879B0AF08}"/>
    <cellStyle name="20% - Accent3 2 2 3 3" xfId="4936" xr:uid="{00000000-0005-0000-0000-00005B010000}"/>
    <cellStyle name="20% - Accent3 2 2 3 3 2" xfId="14262" xr:uid="{EB1F0394-F5F8-4211-98BB-A749A5153A5F}"/>
    <cellStyle name="20% - Accent3 2 2 3 4" xfId="9320" xr:uid="{BF070B19-D289-4211-B080-DBB621CAE7BA}"/>
    <cellStyle name="20% - Accent3 2 2 3 4 2" xfId="18633" xr:uid="{43CFB9BC-E837-4B82-A7E0-635B9F268188}"/>
    <cellStyle name="20% - Accent3 2 2 3 5" xfId="10045" xr:uid="{1D055EE1-B252-4B43-A3C3-325E369B342D}"/>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5E0293E6-5DD4-4E51-A3B4-1E3CFAD7C3BC}"/>
    <cellStyle name="20% - Accent3 2 2 4 2 3" xfId="12603" xr:uid="{38DB6B4A-9B99-4D80-90CB-F789C3CC5990}"/>
    <cellStyle name="20% - Accent3 2 2 4 3" xfId="5349" xr:uid="{00000000-0005-0000-0000-00005F010000}"/>
    <cellStyle name="20% - Accent3 2 2 4 3 2" xfId="14675" xr:uid="{BDD8CDCE-6AFF-4E79-AAF9-8AA8A786B499}"/>
    <cellStyle name="20% - Accent3 2 2 4 4" xfId="10458" xr:uid="{15A1FBDD-C8D2-4448-AD20-1F25CC8646A1}"/>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8171E6C1-6F6F-4FAE-8946-E99664AA3DAC}"/>
    <cellStyle name="20% - Accent3 2 2 5 2 3" xfId="13016" xr:uid="{8E0609CD-3EEF-4017-AFEE-8F01C1BC96D9}"/>
    <cellStyle name="20% - Accent3 2 2 5 3" xfId="5762" xr:uid="{00000000-0005-0000-0000-000063010000}"/>
    <cellStyle name="20% - Accent3 2 2 5 3 2" xfId="15088" xr:uid="{56FF86D1-F6C4-4067-A412-7596BC0377A1}"/>
    <cellStyle name="20% - Accent3 2 2 5 4" xfId="10871" xr:uid="{37019728-0897-4384-AE1A-53C8FFD12172}"/>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D3B4C54D-025F-425E-9584-3C0A8F1A49FF}"/>
    <cellStyle name="20% - Accent3 2 2 6 2 3" xfId="13429" xr:uid="{FAB9DFBA-8DBB-491A-BA9C-3A4D6CABBFBF}"/>
    <cellStyle name="20% - Accent3 2 2 6 3" xfId="6175" xr:uid="{00000000-0005-0000-0000-000067010000}"/>
    <cellStyle name="20% - Accent3 2 2 6 3 2" xfId="15501" xr:uid="{577C812B-416F-432B-98C7-C07E3B62B704}"/>
    <cellStyle name="20% - Accent3 2 2 6 4" xfId="11284" xr:uid="{3D902A7E-326D-42D6-B6E8-9D27F2E6F38D}"/>
    <cellStyle name="20% - Accent3 2 2 7" xfId="2282" xr:uid="{00000000-0005-0000-0000-000068010000}"/>
    <cellStyle name="20% - Accent3 2 2 7 2" xfId="6588" xr:uid="{00000000-0005-0000-0000-000069010000}"/>
    <cellStyle name="20% - Accent3 2 2 7 2 2" xfId="15914" xr:uid="{7E89A56F-A94B-4042-BEFB-6138ED588E2F}"/>
    <cellStyle name="20% - Accent3 2 2 7 3" xfId="11697" xr:uid="{454092B5-C678-47C5-A2FF-F799E1FFFFA3}"/>
    <cellStyle name="20% - Accent3 2 2 8" xfId="4522" xr:uid="{00000000-0005-0000-0000-00006A010000}"/>
    <cellStyle name="20% - Accent3 2 2 8 2" xfId="13848" xr:uid="{2EDD55DE-EFA5-4C42-902E-D7B72E7953F6}"/>
    <cellStyle name="20% - Accent3 2 2 9" xfId="8895" xr:uid="{0ADDC6BA-FD9D-420D-8F5A-13E0A04BBC7C}"/>
    <cellStyle name="20% - Accent3 2 2 9 2" xfId="18218" xr:uid="{06F0EFCD-450A-470E-AAB6-5B229CB5446A}"/>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7C6848ED-CB11-4067-AC88-CBC479669629}"/>
    <cellStyle name="20% - Accent3 2 3 2 2 3" xfId="12192" xr:uid="{8A5A753A-A826-441B-A604-18D0A1CAD030}"/>
    <cellStyle name="20% - Accent3 2 3 2 3" xfId="4938" xr:uid="{00000000-0005-0000-0000-00006F010000}"/>
    <cellStyle name="20% - Accent3 2 3 2 3 2" xfId="14264" xr:uid="{306C6228-BE08-4770-8CBD-92EFC47DBB85}"/>
    <cellStyle name="20% - Accent3 2 3 2 4" xfId="9424" xr:uid="{C3588D98-6F24-4F2C-9F96-F34501405613}"/>
    <cellStyle name="20% - Accent3 2 3 2 4 2" xfId="18737" xr:uid="{A2DB30F9-0DDF-4781-81A1-128AC3703C5D}"/>
    <cellStyle name="20% - Accent3 2 3 2 5" xfId="10047" xr:uid="{7CAF0A99-DEDD-45C5-8AAF-5610E39D8944}"/>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4632DD69-98B2-4F45-B98C-B2E29414E40B}"/>
    <cellStyle name="20% - Accent3 2 3 3 2 3" xfId="12605" xr:uid="{98BDF225-281A-4A61-9B91-E8749096EE36}"/>
    <cellStyle name="20% - Accent3 2 3 3 3" xfId="5351" xr:uid="{00000000-0005-0000-0000-000073010000}"/>
    <cellStyle name="20% - Accent3 2 3 3 3 2" xfId="14677" xr:uid="{AD5AA631-7D18-4BE6-9991-E36C73EE6DB7}"/>
    <cellStyle name="20% - Accent3 2 3 3 4" xfId="10460" xr:uid="{415D7B17-4D07-4CA6-8519-8D9BBCF00A6F}"/>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57F2EBA6-44EA-4A34-BCBA-D706FE63C46E}"/>
    <cellStyle name="20% - Accent3 2 3 4 2 3" xfId="13018" xr:uid="{97CF1CD8-9195-46F8-B75E-F30EB3278200}"/>
    <cellStyle name="20% - Accent3 2 3 4 3" xfId="5764" xr:uid="{00000000-0005-0000-0000-000077010000}"/>
    <cellStyle name="20% - Accent3 2 3 4 3 2" xfId="15090" xr:uid="{EF8117FC-7276-44B6-BBC5-7D87147CFB78}"/>
    <cellStyle name="20% - Accent3 2 3 4 4" xfId="10873" xr:uid="{C03F5644-95ED-4D07-B1E5-67D91B57E62F}"/>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72E33295-F81A-4D4E-9FD2-3DB8DE45DB0E}"/>
    <cellStyle name="20% - Accent3 2 3 5 2 3" xfId="13431" xr:uid="{898F163D-85DA-40A6-8482-DAD7617147C1}"/>
    <cellStyle name="20% - Accent3 2 3 5 3" xfId="6177" xr:uid="{00000000-0005-0000-0000-00007B010000}"/>
    <cellStyle name="20% - Accent3 2 3 5 3 2" xfId="15503" xr:uid="{2ED416FA-F0A3-40A4-8EF5-7D89054A832E}"/>
    <cellStyle name="20% - Accent3 2 3 5 4" xfId="11286" xr:uid="{5EAB110C-5B68-4864-8DC8-1B56668DE840}"/>
    <cellStyle name="20% - Accent3 2 3 6" xfId="2284" xr:uid="{00000000-0005-0000-0000-00007C010000}"/>
    <cellStyle name="20% - Accent3 2 3 6 2" xfId="6590" xr:uid="{00000000-0005-0000-0000-00007D010000}"/>
    <cellStyle name="20% - Accent3 2 3 6 2 2" xfId="15916" xr:uid="{A8632534-A7E7-4CD9-AED3-D3513E94C37A}"/>
    <cellStyle name="20% - Accent3 2 3 6 3" xfId="11699" xr:uid="{FC99F99F-7B85-46E7-A420-D5AF497D42DE}"/>
    <cellStyle name="20% - Accent3 2 3 7" xfId="4524" xr:uid="{00000000-0005-0000-0000-00007E010000}"/>
    <cellStyle name="20% - Accent3 2 3 7 2" xfId="13850" xr:uid="{32A52996-D41A-41F6-83E9-AF13A9C08D1A}"/>
    <cellStyle name="20% - Accent3 2 3 8" xfId="8999" xr:uid="{2B5D0148-B6EA-4DEA-92B1-644886C27051}"/>
    <cellStyle name="20% - Accent3 2 3 8 2" xfId="18322" xr:uid="{B718D364-BF7E-4AD9-BE6B-C636BA2DBD6C}"/>
    <cellStyle name="20% - Accent3 2 3 9" xfId="9633" xr:uid="{E2D89CF4-BF3F-403B-97BF-1072E755E46C}"/>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807A2C9E-81EE-4A05-9723-38DDC2BC2047}"/>
    <cellStyle name="20% - Accent3 2 4 2 3" xfId="12189" xr:uid="{F0BAC1F0-3EB1-4261-9924-7CFEB81BB8CC}"/>
    <cellStyle name="20% - Accent3 2 4 3" xfId="4935" xr:uid="{00000000-0005-0000-0000-000082010000}"/>
    <cellStyle name="20% - Accent3 2 4 3 2" xfId="14261" xr:uid="{5C196050-5A57-4121-BC0F-BCDB3C9D2B13}"/>
    <cellStyle name="20% - Accent3 2 4 4" xfId="9216" xr:uid="{A12C3877-5492-4CD3-AD22-81B3F0AB1EDD}"/>
    <cellStyle name="20% - Accent3 2 4 4 2" xfId="18530" xr:uid="{140C8522-3D0E-46CF-821A-994DAA801695}"/>
    <cellStyle name="20% - Accent3 2 4 5" xfId="10044" xr:uid="{EE70963F-FA79-4768-91B5-88555A259A88}"/>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3D9713D9-ADE5-4D35-A4CF-66C99A88BCE9}"/>
    <cellStyle name="20% - Accent3 2 5 2 3" xfId="12602" xr:uid="{90E524EC-3266-4C5D-A420-C095B4BBEA2B}"/>
    <cellStyle name="20% - Accent3 2 5 3" xfId="5348" xr:uid="{00000000-0005-0000-0000-000086010000}"/>
    <cellStyle name="20% - Accent3 2 5 3 2" xfId="14674" xr:uid="{D48C7E4A-DB80-4E2C-B899-809B766D787B}"/>
    <cellStyle name="20% - Accent3 2 5 4" xfId="10457" xr:uid="{92BF5727-8E80-4CBF-8BC2-D4A1B44FC3CD}"/>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CE33DF8A-2574-4783-B452-53D587E11343}"/>
    <cellStyle name="20% - Accent3 2 6 2 3" xfId="13015" xr:uid="{E57E0739-F40E-4A82-B957-A36D6A0CCC56}"/>
    <cellStyle name="20% - Accent3 2 6 3" xfId="5761" xr:uid="{00000000-0005-0000-0000-00008A010000}"/>
    <cellStyle name="20% - Accent3 2 6 3 2" xfId="15087" xr:uid="{DC2EF4BB-8BDD-4313-9417-8E76EB484C0F}"/>
    <cellStyle name="20% - Accent3 2 6 4" xfId="10870" xr:uid="{0ECF7475-1F7A-41F8-81C8-DAD09E62D6B9}"/>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FD29A105-C041-4B48-ABBF-00609E66C7A6}"/>
    <cellStyle name="20% - Accent3 2 7 2 3" xfId="13428" xr:uid="{BD186902-1381-45B1-824B-333BA39A5C67}"/>
    <cellStyle name="20% - Accent3 2 7 3" xfId="6174" xr:uid="{00000000-0005-0000-0000-00008E010000}"/>
    <cellStyle name="20% - Accent3 2 7 3 2" xfId="15500" xr:uid="{C0587740-DE0F-4570-B2B0-0BFE1670487F}"/>
    <cellStyle name="20% - Accent3 2 7 4" xfId="11283" xr:uid="{98667830-31D2-4C1C-865F-1D346257BDEA}"/>
    <cellStyle name="20% - Accent3 2 8" xfId="2281" xr:uid="{00000000-0005-0000-0000-00008F010000}"/>
    <cellStyle name="20% - Accent3 2 8 2" xfId="6587" xr:uid="{00000000-0005-0000-0000-000090010000}"/>
    <cellStyle name="20% - Accent3 2 8 2 2" xfId="15913" xr:uid="{392CF728-0844-4B71-97BC-8E45D425C78F}"/>
    <cellStyle name="20% - Accent3 2 8 3" xfId="11696" xr:uid="{1EDEC63E-3257-40FA-A4E8-7454426200EF}"/>
    <cellStyle name="20% - Accent3 2 9" xfId="4521" xr:uid="{00000000-0005-0000-0000-000091010000}"/>
    <cellStyle name="20% - Accent3 2 9 2" xfId="13847" xr:uid="{D82D9488-B3DD-4A0F-AA64-CC77BA7361D9}"/>
    <cellStyle name="20% - Accent3 3" xfId="22" xr:uid="{00000000-0005-0000-0000-000092010000}"/>
    <cellStyle name="20% - Accent3 3 10" xfId="9634" xr:uid="{ED4FC736-AF84-441B-8B7D-5125061BC889}"/>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52E8444D-5B57-40D0-94C5-1051B43BC350}"/>
    <cellStyle name="20% - Accent3 3 2 2 2 3" xfId="12194" xr:uid="{DA08C119-3CED-4CA6-AADB-B96001B39F41}"/>
    <cellStyle name="20% - Accent3 3 2 2 3" xfId="4940" xr:uid="{00000000-0005-0000-0000-000097010000}"/>
    <cellStyle name="20% - Accent3 3 2 2 3 2" xfId="14266" xr:uid="{CAE97314-55A2-404E-A7D2-776554E52D35}"/>
    <cellStyle name="20% - Accent3 3 2 2 4" xfId="9497" xr:uid="{43A0E151-F418-49A1-AF18-121DEB02B6D4}"/>
    <cellStyle name="20% - Accent3 3 2 2 4 2" xfId="18810" xr:uid="{9C409BA4-C0CD-4C4D-A15E-A23B1D13610C}"/>
    <cellStyle name="20% - Accent3 3 2 2 5" xfId="10049" xr:uid="{F95B1115-3DC5-4A91-AAE9-6DA3530AB6D3}"/>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32E76E2B-213B-4EF6-AB63-513B4EDC7906}"/>
    <cellStyle name="20% - Accent3 3 2 3 2 3" xfId="12607" xr:uid="{532B97BC-033B-49BE-8A90-D1BB1BF84715}"/>
    <cellStyle name="20% - Accent3 3 2 3 3" xfId="5353" xr:uid="{00000000-0005-0000-0000-00009B010000}"/>
    <cellStyle name="20% - Accent3 3 2 3 3 2" xfId="14679" xr:uid="{8A633506-AC41-427A-AFA2-54335D0CAB2A}"/>
    <cellStyle name="20% - Accent3 3 2 3 4" xfId="10462" xr:uid="{89A1F1B5-9224-4320-9F8C-87845BBE76C7}"/>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F353BAE5-95CE-42E7-B124-AB13C4BA7EC2}"/>
    <cellStyle name="20% - Accent3 3 2 4 2 3" xfId="13020" xr:uid="{ABEC7055-2FDD-46F1-9488-CDA9B24472D7}"/>
    <cellStyle name="20% - Accent3 3 2 4 3" xfId="5766" xr:uid="{00000000-0005-0000-0000-00009F010000}"/>
    <cellStyle name="20% - Accent3 3 2 4 3 2" xfId="15092" xr:uid="{A4661523-D4CC-47CD-A5F1-4FD88F0B5021}"/>
    <cellStyle name="20% - Accent3 3 2 4 4" xfId="10875" xr:uid="{4E5C2E3A-3D71-45DF-883D-57EFED43797A}"/>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D63FA26E-742C-48D5-BF7F-151AC8AA6033}"/>
    <cellStyle name="20% - Accent3 3 2 5 2 3" xfId="13433" xr:uid="{529F9A3F-7353-42D3-BA22-5A01E2468FCD}"/>
    <cellStyle name="20% - Accent3 3 2 5 3" xfId="6179" xr:uid="{00000000-0005-0000-0000-0000A3010000}"/>
    <cellStyle name="20% - Accent3 3 2 5 3 2" xfId="15505" xr:uid="{8C86DE5C-1903-47E2-99D9-30663F8493F8}"/>
    <cellStyle name="20% - Accent3 3 2 5 4" xfId="11288" xr:uid="{82777BD2-76C3-4821-81D0-7B6D5D1F47B9}"/>
    <cellStyle name="20% - Accent3 3 2 6" xfId="2286" xr:uid="{00000000-0005-0000-0000-0000A4010000}"/>
    <cellStyle name="20% - Accent3 3 2 6 2" xfId="6592" xr:uid="{00000000-0005-0000-0000-0000A5010000}"/>
    <cellStyle name="20% - Accent3 3 2 6 2 2" xfId="15918" xr:uid="{665F5211-C53C-4AFD-BF02-825690414FD7}"/>
    <cellStyle name="20% - Accent3 3 2 6 3" xfId="11701" xr:uid="{0B2DE2C6-9D2D-45B8-AD02-CBE71B7BE7AB}"/>
    <cellStyle name="20% - Accent3 3 2 7" xfId="4526" xr:uid="{00000000-0005-0000-0000-0000A6010000}"/>
    <cellStyle name="20% - Accent3 3 2 7 2" xfId="13852" xr:uid="{15BEC45A-2FA7-4FD2-92FE-B38F1BD13F59}"/>
    <cellStyle name="20% - Accent3 3 2 8" xfId="9072" xr:uid="{422EC144-F6F8-460E-8B93-316BBF9707FB}"/>
    <cellStyle name="20% - Accent3 3 2 8 2" xfId="18395" xr:uid="{7D07EAD7-7F44-47E4-A124-D9DD0AA7A38D}"/>
    <cellStyle name="20% - Accent3 3 2 9" xfId="9635" xr:uid="{3B854F9D-CD49-4824-BE5E-25F943D62D27}"/>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6A8625CD-853E-4FC4-B6F8-E25D7D177E57}"/>
    <cellStyle name="20% - Accent3 3 3 2 3" xfId="12193" xr:uid="{50F93E98-F5D6-42E7-9183-7516BF97D2CF}"/>
    <cellStyle name="20% - Accent3 3 3 3" xfId="4939" xr:uid="{00000000-0005-0000-0000-0000AA010000}"/>
    <cellStyle name="20% - Accent3 3 3 3 2" xfId="14265" xr:uid="{B7C2D9F1-6AAC-40B8-B38B-0E987875AD42}"/>
    <cellStyle name="20% - Accent3 3 3 4" xfId="9290" xr:uid="{8511D0A3-BAF4-4D49-BFEA-2ED828678819}"/>
    <cellStyle name="20% - Accent3 3 3 4 2" xfId="18603" xr:uid="{BE83318A-27A3-4936-B888-E5E5FA4760AE}"/>
    <cellStyle name="20% - Accent3 3 3 5" xfId="10048" xr:uid="{C99B7091-40AF-42B6-B55F-941CCC164F2D}"/>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484B52AA-A975-4C3B-AE21-5223FB37A56A}"/>
    <cellStyle name="20% - Accent3 3 4 2 3" xfId="12606" xr:uid="{1F61643E-FE66-4821-BBA2-7FA95D0839D2}"/>
    <cellStyle name="20% - Accent3 3 4 3" xfId="5352" xr:uid="{00000000-0005-0000-0000-0000AE010000}"/>
    <cellStyle name="20% - Accent3 3 4 3 2" xfId="14678" xr:uid="{842865C0-F55B-4789-9D98-49ED008BF667}"/>
    <cellStyle name="20% - Accent3 3 4 4" xfId="10461" xr:uid="{7673A361-7B4B-4BDB-8DFD-2528F321F4CF}"/>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3F26B73C-018F-47DE-A5B9-560F7D25F602}"/>
    <cellStyle name="20% - Accent3 3 5 2 3" xfId="13019" xr:uid="{D4471EB4-ADE1-4DCB-B380-88EEE21CE590}"/>
    <cellStyle name="20% - Accent3 3 5 3" xfId="5765" xr:uid="{00000000-0005-0000-0000-0000B2010000}"/>
    <cellStyle name="20% - Accent3 3 5 3 2" xfId="15091" xr:uid="{09802B68-465B-40D9-B627-6800C2A374ED}"/>
    <cellStyle name="20% - Accent3 3 5 4" xfId="10874" xr:uid="{2863C919-E1A6-40A4-886E-6E8DE9E408E8}"/>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FE498BC2-414F-49B4-BB1C-C3C0460C62D1}"/>
    <cellStyle name="20% - Accent3 3 6 2 3" xfId="13432" xr:uid="{26B491F4-EEB4-43D8-B6BF-3D44E41E88F2}"/>
    <cellStyle name="20% - Accent3 3 6 3" xfId="6178" xr:uid="{00000000-0005-0000-0000-0000B6010000}"/>
    <cellStyle name="20% - Accent3 3 6 3 2" xfId="15504" xr:uid="{2F94FB44-E750-4C06-A1E7-16DB470165C1}"/>
    <cellStyle name="20% - Accent3 3 6 4" xfId="11287" xr:uid="{14B79013-52B6-43D7-A02C-056B96540825}"/>
    <cellStyle name="20% - Accent3 3 7" xfId="2285" xr:uid="{00000000-0005-0000-0000-0000B7010000}"/>
    <cellStyle name="20% - Accent3 3 7 2" xfId="6591" xr:uid="{00000000-0005-0000-0000-0000B8010000}"/>
    <cellStyle name="20% - Accent3 3 7 2 2" xfId="15917" xr:uid="{41594233-2316-439D-A574-10AB491246E2}"/>
    <cellStyle name="20% - Accent3 3 7 3" xfId="11700" xr:uid="{4135B5D2-9E5B-4C07-958B-0E3951A290D8}"/>
    <cellStyle name="20% - Accent3 3 8" xfId="4525" xr:uid="{00000000-0005-0000-0000-0000B9010000}"/>
    <cellStyle name="20% - Accent3 3 8 2" xfId="13851" xr:uid="{8BDC91DF-2FCA-45E5-BDCE-197C332E96F7}"/>
    <cellStyle name="20% - Accent3 3 9" xfId="8865" xr:uid="{FFA3EBA3-F40D-47A2-8AA1-A3A9E7BB9A8E}"/>
    <cellStyle name="20% - Accent3 3 9 2" xfId="18188" xr:uid="{CACEAF69-8BB9-449D-B437-28F466D61D9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F28B87DA-9763-4436-BFE8-20668E15DFAB}"/>
    <cellStyle name="20% - Accent3 4 2 2 3" xfId="12195" xr:uid="{6BA093A7-0F1B-4795-89D2-90E1EC6DB9C8}"/>
    <cellStyle name="20% - Accent3 4 2 3" xfId="4941" xr:uid="{00000000-0005-0000-0000-0000BE010000}"/>
    <cellStyle name="20% - Accent3 4 2 3 2" xfId="14267" xr:uid="{ED62D45D-9CAB-4F36-B7FF-30EB91DFE5B6}"/>
    <cellStyle name="20% - Accent3 4 2 4" xfId="9376" xr:uid="{92AC27CA-0B0B-4AFE-8457-D3F19BE2837F}"/>
    <cellStyle name="20% - Accent3 4 2 4 2" xfId="18689" xr:uid="{ED5893DC-490A-4464-9ADB-66CA0D142E2A}"/>
    <cellStyle name="20% - Accent3 4 2 5" xfId="10050" xr:uid="{3C4086D9-3DB6-4A12-923B-EE39055CA8E4}"/>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55D10FB3-25C9-43E5-A01E-2D841675F98B}"/>
    <cellStyle name="20% - Accent3 4 3 2 3" xfId="12608" xr:uid="{1AD369DD-CD66-4D16-8F9E-304EE211EE89}"/>
    <cellStyle name="20% - Accent3 4 3 3" xfId="5354" xr:uid="{00000000-0005-0000-0000-0000C2010000}"/>
    <cellStyle name="20% - Accent3 4 3 3 2" xfId="14680" xr:uid="{0C330A19-7BB5-4298-8AC6-89B687391888}"/>
    <cellStyle name="20% - Accent3 4 3 4" xfId="10463" xr:uid="{A26CBF94-FEF4-4365-9C98-25AF33A614C9}"/>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D88F6135-8F20-4FD6-95A7-0BBE60C0E676}"/>
    <cellStyle name="20% - Accent3 4 4 2 3" xfId="13021" xr:uid="{C83B76C4-21F0-4703-BBE5-DE04F5E8B336}"/>
    <cellStyle name="20% - Accent3 4 4 3" xfId="5767" xr:uid="{00000000-0005-0000-0000-0000C6010000}"/>
    <cellStyle name="20% - Accent3 4 4 3 2" xfId="15093" xr:uid="{DAA21D38-9741-44DE-9818-309745718D02}"/>
    <cellStyle name="20% - Accent3 4 4 4" xfId="10876" xr:uid="{C4CC4C43-681F-4772-A78E-E896ECC50EE1}"/>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4B6CDFE4-30B4-43DB-8549-0D24E1A59937}"/>
    <cellStyle name="20% - Accent3 4 5 2 3" xfId="13434" xr:uid="{36EED580-0D21-4A80-83F5-F44BD7040516}"/>
    <cellStyle name="20% - Accent3 4 5 3" xfId="6180" xr:uid="{00000000-0005-0000-0000-0000CA010000}"/>
    <cellStyle name="20% - Accent3 4 5 3 2" xfId="15506" xr:uid="{CF91387F-B8B4-42DE-B498-208C0523F37C}"/>
    <cellStyle name="20% - Accent3 4 5 4" xfId="11289" xr:uid="{8B4352A0-A256-4B1C-B9AD-2EC201209478}"/>
    <cellStyle name="20% - Accent3 4 6" xfId="2287" xr:uid="{00000000-0005-0000-0000-0000CB010000}"/>
    <cellStyle name="20% - Accent3 4 6 2" xfId="6593" xr:uid="{00000000-0005-0000-0000-0000CC010000}"/>
    <cellStyle name="20% - Accent3 4 6 2 2" xfId="15919" xr:uid="{D59E54A9-BAD0-4F8E-805A-B0381FC38BBB}"/>
    <cellStyle name="20% - Accent3 4 6 3" xfId="11702" xr:uid="{D5753D7D-8A18-491E-837E-0FD193265FE1}"/>
    <cellStyle name="20% - Accent3 4 7" xfId="4527" xr:uid="{00000000-0005-0000-0000-0000CD010000}"/>
    <cellStyle name="20% - Accent3 4 7 2" xfId="13853" xr:uid="{5BC401FE-18A5-4A4D-8DB8-2461D54D59A5}"/>
    <cellStyle name="20% - Accent3 4 8" xfId="8951" xr:uid="{3CB7770B-4F12-4C44-B65D-06C641FEE851}"/>
    <cellStyle name="20% - Accent3 4 8 2" xfId="18274" xr:uid="{A39AF5B9-FB26-443D-97B8-6D73E5D8B903}"/>
    <cellStyle name="20% - Accent3 4 9" xfId="9636" xr:uid="{25AA8C05-B633-42EE-9419-FA1C26486801}"/>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3CF19E63-4636-49F4-9264-83FE5AA7DCD1}"/>
    <cellStyle name="20% - Accent3 5 2 3" xfId="12188" xr:uid="{46797BAA-00C2-4D96-845E-6909CF9C5FA2}"/>
    <cellStyle name="20% - Accent3 5 3" xfId="4934" xr:uid="{00000000-0005-0000-0000-0000D1010000}"/>
    <cellStyle name="20% - Accent3 5 3 2" xfId="14260" xr:uid="{70344E88-3CFE-4293-943B-0234B0247091}"/>
    <cellStyle name="20% - Accent3 5 4" xfId="9184" xr:uid="{F51B2D95-9593-4370-A6D2-AFEF087D7920}"/>
    <cellStyle name="20% - Accent3 5 4 2" xfId="18500" xr:uid="{95026789-C26E-4A64-B355-E3AF629D5CDE}"/>
    <cellStyle name="20% - Accent3 5 5" xfId="10043" xr:uid="{9794D538-D925-4793-8F29-0B5D14C53B3E}"/>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4A451F53-50F5-4EDD-BAE7-BAA439A1FD47}"/>
    <cellStyle name="20% - Accent3 6 2 3" xfId="12601" xr:uid="{0A668CFA-6799-458F-85F4-6207F816C860}"/>
    <cellStyle name="20% - Accent3 6 3" xfId="5347" xr:uid="{00000000-0005-0000-0000-0000D5010000}"/>
    <cellStyle name="20% - Accent3 6 3 2" xfId="14673" xr:uid="{5ED9A496-643B-42E5-B3FE-5A95B7BF7A87}"/>
    <cellStyle name="20% - Accent3 6 4" xfId="10456" xr:uid="{C625D2D5-69DA-44FC-A521-8E73AB14226C}"/>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09113665-D518-497D-969E-F72DFC5202F6}"/>
    <cellStyle name="20% - Accent3 7 2 3" xfId="13014" xr:uid="{0C32A552-C088-48ED-8DB5-7609AC797996}"/>
    <cellStyle name="20% - Accent3 7 3" xfId="5760" xr:uid="{00000000-0005-0000-0000-0000D9010000}"/>
    <cellStyle name="20% - Accent3 7 3 2" xfId="15086" xr:uid="{5FCA464E-466B-49E0-858C-64E14B788E9F}"/>
    <cellStyle name="20% - Accent3 7 4" xfId="10869" xr:uid="{7E2B40CE-B85A-4C21-89D8-3AB32C892EE5}"/>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6319C18C-BAD1-4AA9-9661-9C48F60791E3}"/>
    <cellStyle name="20% - Accent3 8 2 3" xfId="13427" xr:uid="{ED3BF51C-EE50-4868-8D87-CBD4198EA64E}"/>
    <cellStyle name="20% - Accent3 8 3" xfId="6173" xr:uid="{00000000-0005-0000-0000-0000DD010000}"/>
    <cellStyle name="20% - Accent3 8 3 2" xfId="15499" xr:uid="{434545F9-0637-484C-9800-6A4FA94D8E4C}"/>
    <cellStyle name="20% - Accent3 8 4" xfId="11282" xr:uid="{E9B340AE-5AC1-4C6C-BE55-9B9915CCE7A1}"/>
    <cellStyle name="20% - Accent3 9" xfId="2280" xr:uid="{00000000-0005-0000-0000-0000DE010000}"/>
    <cellStyle name="20% - Accent3 9 2" xfId="6586" xr:uid="{00000000-0005-0000-0000-0000DF010000}"/>
    <cellStyle name="20% - Accent3 9 2 2" xfId="15912" xr:uid="{FFEC9DC6-3498-431B-99C3-9F33DFB3BB97}"/>
    <cellStyle name="20% - Accent3 9 3" xfId="11695" xr:uid="{FEBC678E-1AE1-4A13-B737-159228314AA4}"/>
    <cellStyle name="20% - Accent4" xfId="25" builtinId="42" customBuiltin="1"/>
    <cellStyle name="20% - Accent4 10" xfId="4528" xr:uid="{00000000-0005-0000-0000-0000E1010000}"/>
    <cellStyle name="20% - Accent4 10 2" xfId="13854" xr:uid="{2DA8435E-E22A-4C6D-AEAE-E86F27B170B7}"/>
    <cellStyle name="20% - Accent4 11" xfId="8764" xr:uid="{4A9BF508-806C-496D-AEC5-5842E4A62892}"/>
    <cellStyle name="20% - Accent4 11 2" xfId="18087" xr:uid="{1BE4B3FB-BFC2-4260-A674-5BB9B03EDF03}"/>
    <cellStyle name="20% - Accent4 12" xfId="9637" xr:uid="{7D94875E-DE5D-4183-8F00-2D5FABD9C488}"/>
    <cellStyle name="20% - Accent4 2" xfId="26" xr:uid="{00000000-0005-0000-0000-0000E2010000}"/>
    <cellStyle name="20% - Accent4 2 10" xfId="8794" xr:uid="{31A2F477-5237-45C2-B43F-25AC049A95FF}"/>
    <cellStyle name="20% - Accent4 2 10 2" xfId="18117" xr:uid="{C78FFE20-B83F-42F6-98B9-5590ABBD9976}"/>
    <cellStyle name="20% - Accent4 2 11" xfId="9638" xr:uid="{19395050-8110-4179-AE3B-F9FDDA76EA71}"/>
    <cellStyle name="20% - Accent4 2 2" xfId="27" xr:uid="{00000000-0005-0000-0000-0000E3010000}"/>
    <cellStyle name="20% - Accent4 2 2 10" xfId="9639" xr:uid="{3982D97A-96E1-4040-8AE2-318A46518033}"/>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0A423195-2153-4B2C-9EA3-7842246B4909}"/>
    <cellStyle name="20% - Accent4 2 2 2 2 2 3" xfId="12199" xr:uid="{B56D3356-2E93-49C7-B7B8-E87F4ECDEC86}"/>
    <cellStyle name="20% - Accent4 2 2 2 2 3" xfId="4945" xr:uid="{00000000-0005-0000-0000-0000E8010000}"/>
    <cellStyle name="20% - Accent4 2 2 2 2 3 2" xfId="14271" xr:uid="{51B3641F-FCA8-4D86-A7F4-F6FADD77EBA3}"/>
    <cellStyle name="20% - Accent4 2 2 2 2 4" xfId="9529" xr:uid="{0C40CE19-1873-4316-818D-CC943AAFBB7B}"/>
    <cellStyle name="20% - Accent4 2 2 2 2 4 2" xfId="18842" xr:uid="{AA6DABF0-5501-4F31-A0E0-F80543141851}"/>
    <cellStyle name="20% - Accent4 2 2 2 2 5" xfId="10054" xr:uid="{41B90F9F-43D7-4BEC-BBC0-EDD2D782BDD6}"/>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6F0635D9-9B73-4CD7-81FD-074182A6B8C6}"/>
    <cellStyle name="20% - Accent4 2 2 2 3 2 3" xfId="12612" xr:uid="{87C899D9-B521-43A5-AA1F-2352BFEDFA75}"/>
    <cellStyle name="20% - Accent4 2 2 2 3 3" xfId="5358" xr:uid="{00000000-0005-0000-0000-0000EC010000}"/>
    <cellStyle name="20% - Accent4 2 2 2 3 3 2" xfId="14684" xr:uid="{939C8FFC-E08A-49FB-AB2A-D2E4817A0ADD}"/>
    <cellStyle name="20% - Accent4 2 2 2 3 4" xfId="10467" xr:uid="{469CCB8C-43A5-4471-9180-3E7D322AF9A7}"/>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382E30E7-44DD-4D41-BC93-017DD59BB518}"/>
    <cellStyle name="20% - Accent4 2 2 2 4 2 3" xfId="13025" xr:uid="{B0AF1620-9FE5-4742-94C9-B6A554B75F81}"/>
    <cellStyle name="20% - Accent4 2 2 2 4 3" xfId="5771" xr:uid="{00000000-0005-0000-0000-0000F0010000}"/>
    <cellStyle name="20% - Accent4 2 2 2 4 3 2" xfId="15097" xr:uid="{3D1C36F6-34D2-400C-B0A2-AD15F27A9E6B}"/>
    <cellStyle name="20% - Accent4 2 2 2 4 4" xfId="10880" xr:uid="{161297A7-9162-4667-A27A-26B63FBCFF8B}"/>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98DEDA0F-7C13-43D8-BB1E-7677BB76B39A}"/>
    <cellStyle name="20% - Accent4 2 2 2 5 2 3" xfId="13438" xr:uid="{9BD92441-BD21-4481-90E8-B7A63E7D8319}"/>
    <cellStyle name="20% - Accent4 2 2 2 5 3" xfId="6184" xr:uid="{00000000-0005-0000-0000-0000F4010000}"/>
    <cellStyle name="20% - Accent4 2 2 2 5 3 2" xfId="15510" xr:uid="{D5453EBA-5986-490F-8DC1-1D7F072F63C7}"/>
    <cellStyle name="20% - Accent4 2 2 2 5 4" xfId="11293" xr:uid="{7623DE5A-9213-42C3-AD41-AD17DC7BF61D}"/>
    <cellStyle name="20% - Accent4 2 2 2 6" xfId="2291" xr:uid="{00000000-0005-0000-0000-0000F5010000}"/>
    <cellStyle name="20% - Accent4 2 2 2 6 2" xfId="6597" xr:uid="{00000000-0005-0000-0000-0000F6010000}"/>
    <cellStyle name="20% - Accent4 2 2 2 6 2 2" xfId="15923" xr:uid="{98966368-0EE0-4D09-A68B-EEFE5CAF4730}"/>
    <cellStyle name="20% - Accent4 2 2 2 6 3" xfId="11706" xr:uid="{4A65760E-878A-48F4-B01E-CE55CABBC00F}"/>
    <cellStyle name="20% - Accent4 2 2 2 7" xfId="4531" xr:uid="{00000000-0005-0000-0000-0000F7010000}"/>
    <cellStyle name="20% - Accent4 2 2 2 7 2" xfId="13857" xr:uid="{1E3E0554-FCD2-4449-86C7-3937DFCB95F8}"/>
    <cellStyle name="20% - Accent4 2 2 2 8" xfId="9104" xr:uid="{526BE306-22BA-4A85-81B2-34AEB56F0D90}"/>
    <cellStyle name="20% - Accent4 2 2 2 8 2" xfId="18427" xr:uid="{8B0D4BEA-5BEA-458D-85C4-0FCB89F2D806}"/>
    <cellStyle name="20% - Accent4 2 2 2 9" xfId="9640" xr:uid="{10E720E7-A03F-4348-92A0-DDA849EE838D}"/>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91C3DFFA-BF79-49B6-B47D-2094B9751C92}"/>
    <cellStyle name="20% - Accent4 2 2 3 2 3" xfId="12198" xr:uid="{83E147D1-6B4B-4DB7-9B29-3613E1207DF4}"/>
    <cellStyle name="20% - Accent4 2 2 3 3" xfId="4944" xr:uid="{00000000-0005-0000-0000-0000FB010000}"/>
    <cellStyle name="20% - Accent4 2 2 3 3 2" xfId="14270" xr:uid="{AC2132E0-054E-475B-80E9-1E186470E1A3}"/>
    <cellStyle name="20% - Accent4 2 2 3 4" xfId="9322" xr:uid="{003BBE99-27AA-4036-A373-4475953A88F4}"/>
    <cellStyle name="20% - Accent4 2 2 3 4 2" xfId="18635" xr:uid="{7A8C5F0E-C48F-4487-B4EE-19B9A46A408B}"/>
    <cellStyle name="20% - Accent4 2 2 3 5" xfId="10053" xr:uid="{2B2BAB25-2AF3-489F-BBAB-A0FE7850EA26}"/>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6A73BDCB-0801-44A6-ACA2-0043001B3DB3}"/>
    <cellStyle name="20% - Accent4 2 2 4 2 3" xfId="12611" xr:uid="{71078884-DF63-4209-9445-9BE866FA40F0}"/>
    <cellStyle name="20% - Accent4 2 2 4 3" xfId="5357" xr:uid="{00000000-0005-0000-0000-0000FF010000}"/>
    <cellStyle name="20% - Accent4 2 2 4 3 2" xfId="14683" xr:uid="{4A981B87-5975-443B-9A4E-B0016E00D798}"/>
    <cellStyle name="20% - Accent4 2 2 4 4" xfId="10466" xr:uid="{77734C9A-6AAF-43F9-A9E8-E9389026DCF8}"/>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52FBDFCB-22FA-4F5B-8C91-1890BE61AB75}"/>
    <cellStyle name="20% - Accent4 2 2 5 2 3" xfId="13024" xr:uid="{D98EF798-1464-4B24-98BA-73FBF10E3D95}"/>
    <cellStyle name="20% - Accent4 2 2 5 3" xfId="5770" xr:uid="{00000000-0005-0000-0000-000003020000}"/>
    <cellStyle name="20% - Accent4 2 2 5 3 2" xfId="15096" xr:uid="{C6E3204E-9500-4F45-B5A8-96F9EA942DFB}"/>
    <cellStyle name="20% - Accent4 2 2 5 4" xfId="10879" xr:uid="{9CFE5CE4-4C14-45F4-A517-4C030D4B9FA0}"/>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A4C48A7E-5748-4E7E-8526-F0344FAB3794}"/>
    <cellStyle name="20% - Accent4 2 2 6 2 3" xfId="13437" xr:uid="{2EC46843-F7BD-467B-ADC3-E9B1F8D35C73}"/>
    <cellStyle name="20% - Accent4 2 2 6 3" xfId="6183" xr:uid="{00000000-0005-0000-0000-000007020000}"/>
    <cellStyle name="20% - Accent4 2 2 6 3 2" xfId="15509" xr:uid="{D441B809-08AA-4B40-9711-92892F701030}"/>
    <cellStyle name="20% - Accent4 2 2 6 4" xfId="11292" xr:uid="{672202C0-F002-49C3-8DDD-1632F61294B3}"/>
    <cellStyle name="20% - Accent4 2 2 7" xfId="2290" xr:uid="{00000000-0005-0000-0000-000008020000}"/>
    <cellStyle name="20% - Accent4 2 2 7 2" xfId="6596" xr:uid="{00000000-0005-0000-0000-000009020000}"/>
    <cellStyle name="20% - Accent4 2 2 7 2 2" xfId="15922" xr:uid="{811BF358-F879-4D26-82E3-730A75D9C3FC}"/>
    <cellStyle name="20% - Accent4 2 2 7 3" xfId="11705" xr:uid="{ADDAFB5A-70F0-4070-973A-E0F1BB35F08C}"/>
    <cellStyle name="20% - Accent4 2 2 8" xfId="4530" xr:uid="{00000000-0005-0000-0000-00000A020000}"/>
    <cellStyle name="20% - Accent4 2 2 8 2" xfId="13856" xr:uid="{6673BF67-666A-49A8-B3C1-968FD0F40FA9}"/>
    <cellStyle name="20% - Accent4 2 2 9" xfId="8897" xr:uid="{3A58A73C-0193-4EAC-8E12-5BF8743CE9BA}"/>
    <cellStyle name="20% - Accent4 2 2 9 2" xfId="18220" xr:uid="{DE808E9F-A263-4E64-B7DA-D84AD42DF97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9B88950D-D106-491C-B41C-A89364F6E0C0}"/>
    <cellStyle name="20% - Accent4 2 3 2 2 3" xfId="12200" xr:uid="{5A4EF37C-73AA-45BD-8AD2-68819493555F}"/>
    <cellStyle name="20% - Accent4 2 3 2 3" xfId="4946" xr:uid="{00000000-0005-0000-0000-00000F020000}"/>
    <cellStyle name="20% - Accent4 2 3 2 3 2" xfId="14272" xr:uid="{8DE91131-6537-4E36-99E4-C3E2FCFC0BD4}"/>
    <cellStyle name="20% - Accent4 2 3 2 4" xfId="9426" xr:uid="{5B247D51-FBFD-4799-8395-E3F1C04297B8}"/>
    <cellStyle name="20% - Accent4 2 3 2 4 2" xfId="18739" xr:uid="{6E9F2C46-222D-45B5-8DEA-80AC91130A19}"/>
    <cellStyle name="20% - Accent4 2 3 2 5" xfId="10055" xr:uid="{1F78119B-D797-4103-BFE9-0B9404309757}"/>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03A5BE4B-E90C-46AA-87DD-B1E03C3ABD7A}"/>
    <cellStyle name="20% - Accent4 2 3 3 2 3" xfId="12613" xr:uid="{8AEEA59D-1135-409D-92E3-EB353EC47A0F}"/>
    <cellStyle name="20% - Accent4 2 3 3 3" xfId="5359" xr:uid="{00000000-0005-0000-0000-000013020000}"/>
    <cellStyle name="20% - Accent4 2 3 3 3 2" xfId="14685" xr:uid="{2659CA1C-80E0-476B-B558-2103E23C9476}"/>
    <cellStyle name="20% - Accent4 2 3 3 4" xfId="10468" xr:uid="{B7178872-412B-493E-BA8D-AF64EFB18F93}"/>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F0AAB45A-6A0C-45EF-85BE-83AF9FE3E614}"/>
    <cellStyle name="20% - Accent4 2 3 4 2 3" xfId="13026" xr:uid="{544B3910-BAC7-4C37-AC3A-85FE3A7BFFDB}"/>
    <cellStyle name="20% - Accent4 2 3 4 3" xfId="5772" xr:uid="{00000000-0005-0000-0000-000017020000}"/>
    <cellStyle name="20% - Accent4 2 3 4 3 2" xfId="15098" xr:uid="{E0A74587-AE7E-4F64-996C-996A5693D060}"/>
    <cellStyle name="20% - Accent4 2 3 4 4" xfId="10881" xr:uid="{A308E5CF-9FAD-4DDC-B5F3-C506F604B4BC}"/>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49F93509-3B7F-421D-BBA9-88DEE35D3025}"/>
    <cellStyle name="20% - Accent4 2 3 5 2 3" xfId="13439" xr:uid="{1628360F-C27C-4AD7-BB91-4C0B23EBEA63}"/>
    <cellStyle name="20% - Accent4 2 3 5 3" xfId="6185" xr:uid="{00000000-0005-0000-0000-00001B020000}"/>
    <cellStyle name="20% - Accent4 2 3 5 3 2" xfId="15511" xr:uid="{D0F3F98A-8A35-46DD-99B7-28F659AAD600}"/>
    <cellStyle name="20% - Accent4 2 3 5 4" xfId="11294" xr:uid="{EBF18C38-8D52-4FFF-BB33-50B781E6F36E}"/>
    <cellStyle name="20% - Accent4 2 3 6" xfId="2292" xr:uid="{00000000-0005-0000-0000-00001C020000}"/>
    <cellStyle name="20% - Accent4 2 3 6 2" xfId="6598" xr:uid="{00000000-0005-0000-0000-00001D020000}"/>
    <cellStyle name="20% - Accent4 2 3 6 2 2" xfId="15924" xr:uid="{114E775D-D4F0-4630-B186-64CBCA2A9F18}"/>
    <cellStyle name="20% - Accent4 2 3 6 3" xfId="11707" xr:uid="{03261840-D211-4139-B418-03C86324090E}"/>
    <cellStyle name="20% - Accent4 2 3 7" xfId="4532" xr:uid="{00000000-0005-0000-0000-00001E020000}"/>
    <cellStyle name="20% - Accent4 2 3 7 2" xfId="13858" xr:uid="{F2264F09-F418-4ABC-A06C-4928F395421D}"/>
    <cellStyle name="20% - Accent4 2 3 8" xfId="9001" xr:uid="{B9DE6BBA-06E2-4FC8-B645-F20E60244072}"/>
    <cellStyle name="20% - Accent4 2 3 8 2" xfId="18324" xr:uid="{5EB688C5-2507-4B67-BB67-5D5E2008E87D}"/>
    <cellStyle name="20% - Accent4 2 3 9" xfId="9641" xr:uid="{FDC977EF-8185-4F6D-8AC1-44D308D2924F}"/>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97695F7D-A136-4B24-BC63-3A0FABCF2E55}"/>
    <cellStyle name="20% - Accent4 2 4 2 3" xfId="12197" xr:uid="{95F2CEDD-C63E-44EF-B32E-275F4175CB39}"/>
    <cellStyle name="20% - Accent4 2 4 3" xfId="4943" xr:uid="{00000000-0005-0000-0000-000022020000}"/>
    <cellStyle name="20% - Accent4 2 4 3 2" xfId="14269" xr:uid="{B1B936C6-4129-4138-8A0E-31C6A6470E49}"/>
    <cellStyle name="20% - Accent4 2 4 4" xfId="9218" xr:uid="{EEA9CEE5-7B27-41EB-B571-13D0ADC44445}"/>
    <cellStyle name="20% - Accent4 2 4 4 2" xfId="18532" xr:uid="{FEB71B3C-DB5B-4AF0-AA88-D5EC80EFDA4D}"/>
    <cellStyle name="20% - Accent4 2 4 5" xfId="10052" xr:uid="{FC54211A-7F40-4F16-ABFE-DAADEF149A50}"/>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483936FA-EB2F-4CAC-8FA6-AFF303BDF6DD}"/>
    <cellStyle name="20% - Accent4 2 5 2 3" xfId="12610" xr:uid="{EF2D6E33-D033-4BFB-8983-F25F171E35C4}"/>
    <cellStyle name="20% - Accent4 2 5 3" xfId="5356" xr:uid="{00000000-0005-0000-0000-000026020000}"/>
    <cellStyle name="20% - Accent4 2 5 3 2" xfId="14682" xr:uid="{E7775B04-D3C0-457D-9200-E8D4BD299B74}"/>
    <cellStyle name="20% - Accent4 2 5 4" xfId="10465" xr:uid="{D61AF17A-DCF2-4B57-9631-F9E8D958F21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C786BF36-DC98-4F1F-BEAD-B7D88D351E8D}"/>
    <cellStyle name="20% - Accent4 2 6 2 3" xfId="13023" xr:uid="{D82CC4D9-B730-4B68-88E6-549BC0AA7802}"/>
    <cellStyle name="20% - Accent4 2 6 3" xfId="5769" xr:uid="{00000000-0005-0000-0000-00002A020000}"/>
    <cellStyle name="20% - Accent4 2 6 3 2" xfId="15095" xr:uid="{F16E3817-9057-465B-9A9B-1435FBC50E94}"/>
    <cellStyle name="20% - Accent4 2 6 4" xfId="10878" xr:uid="{2EBAC070-F265-453C-8976-45F0D2FF5D9B}"/>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5F2CB51A-9CDE-4F44-83ED-38FABC5D29DB}"/>
    <cellStyle name="20% - Accent4 2 7 2 3" xfId="13436" xr:uid="{550BDD8D-B606-41FE-B285-8AA3F5B301C2}"/>
    <cellStyle name="20% - Accent4 2 7 3" xfId="6182" xr:uid="{00000000-0005-0000-0000-00002E020000}"/>
    <cellStyle name="20% - Accent4 2 7 3 2" xfId="15508" xr:uid="{B384BE60-C7DF-41D3-9229-70B6BFC7ED86}"/>
    <cellStyle name="20% - Accent4 2 7 4" xfId="11291" xr:uid="{F6634525-561A-44F1-8EBB-DDAE6D095AF3}"/>
    <cellStyle name="20% - Accent4 2 8" xfId="2289" xr:uid="{00000000-0005-0000-0000-00002F020000}"/>
    <cellStyle name="20% - Accent4 2 8 2" xfId="6595" xr:uid="{00000000-0005-0000-0000-000030020000}"/>
    <cellStyle name="20% - Accent4 2 8 2 2" xfId="15921" xr:uid="{E6F7FF4F-A64C-482E-910E-DE47F3AF7A30}"/>
    <cellStyle name="20% - Accent4 2 8 3" xfId="11704" xr:uid="{1D0D19CF-D18E-46A5-B685-EC4AD0EE142E}"/>
    <cellStyle name="20% - Accent4 2 9" xfId="4529" xr:uid="{00000000-0005-0000-0000-000031020000}"/>
    <cellStyle name="20% - Accent4 2 9 2" xfId="13855" xr:uid="{A7EA6CCB-AB95-4CE4-A3E9-30987E4ED319}"/>
    <cellStyle name="20% - Accent4 3" xfId="30" xr:uid="{00000000-0005-0000-0000-000032020000}"/>
    <cellStyle name="20% - Accent4 3 10" xfId="9642" xr:uid="{C8C1B572-93D7-44FD-A4C4-68A6019AB1DB}"/>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3F3AF05C-34C1-488A-B115-D16D9F70984F}"/>
    <cellStyle name="20% - Accent4 3 2 2 2 3" xfId="12202" xr:uid="{31BA0D93-5EEA-4BB2-BFF0-F72474DDE276}"/>
    <cellStyle name="20% - Accent4 3 2 2 3" xfId="4948" xr:uid="{00000000-0005-0000-0000-000037020000}"/>
    <cellStyle name="20% - Accent4 3 2 2 3 2" xfId="14274" xr:uid="{BBAF7665-CE96-4DB2-8FEF-CEA1CA29E192}"/>
    <cellStyle name="20% - Accent4 3 2 2 4" xfId="9499" xr:uid="{019308F4-938B-408B-A627-483AF94276A0}"/>
    <cellStyle name="20% - Accent4 3 2 2 4 2" xfId="18812" xr:uid="{CB4951AA-A20A-4D20-ABEF-88755439E1C8}"/>
    <cellStyle name="20% - Accent4 3 2 2 5" xfId="10057" xr:uid="{25A77CF5-CE09-49A8-B11D-27FFDF0ABD4D}"/>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3817F3D2-9B81-4A90-81F5-59B60B6751E3}"/>
    <cellStyle name="20% - Accent4 3 2 3 2 3" xfId="12615" xr:uid="{603E48D6-7F90-4272-B534-69A5BE57CE75}"/>
    <cellStyle name="20% - Accent4 3 2 3 3" xfId="5361" xr:uid="{00000000-0005-0000-0000-00003B020000}"/>
    <cellStyle name="20% - Accent4 3 2 3 3 2" xfId="14687" xr:uid="{DF90165A-F5E5-4F11-ACBB-03DF00CDA7BE}"/>
    <cellStyle name="20% - Accent4 3 2 3 4" xfId="10470" xr:uid="{8DAF46E9-642D-4E45-9FAE-0C70B4603E96}"/>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78A3DD26-37BF-405D-AD68-404F3EB9A8E7}"/>
    <cellStyle name="20% - Accent4 3 2 4 2 3" xfId="13028" xr:uid="{2635DD14-2ECF-482E-A9D2-FB7B40DBD9FE}"/>
    <cellStyle name="20% - Accent4 3 2 4 3" xfId="5774" xr:uid="{00000000-0005-0000-0000-00003F020000}"/>
    <cellStyle name="20% - Accent4 3 2 4 3 2" xfId="15100" xr:uid="{B0F938C1-2B72-40F5-BE0D-58ED112F0622}"/>
    <cellStyle name="20% - Accent4 3 2 4 4" xfId="10883" xr:uid="{52ED1C00-B5FE-4BC2-87FA-029E6BAA0ECF}"/>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70224ACB-97E7-467D-9E62-7758055C073B}"/>
    <cellStyle name="20% - Accent4 3 2 5 2 3" xfId="13441" xr:uid="{B5B7660D-B08F-4E6A-B58F-B785C6C75F3B}"/>
    <cellStyle name="20% - Accent4 3 2 5 3" xfId="6187" xr:uid="{00000000-0005-0000-0000-000043020000}"/>
    <cellStyle name="20% - Accent4 3 2 5 3 2" xfId="15513" xr:uid="{1FE74043-83C2-4258-9E25-A666B220F7DA}"/>
    <cellStyle name="20% - Accent4 3 2 5 4" xfId="11296" xr:uid="{7801CF7A-BDD4-4C5C-A2D2-600229B6CE54}"/>
    <cellStyle name="20% - Accent4 3 2 6" xfId="2294" xr:uid="{00000000-0005-0000-0000-000044020000}"/>
    <cellStyle name="20% - Accent4 3 2 6 2" xfId="6600" xr:uid="{00000000-0005-0000-0000-000045020000}"/>
    <cellStyle name="20% - Accent4 3 2 6 2 2" xfId="15926" xr:uid="{BE71F3C1-569B-4F2B-B8FB-883109EDD773}"/>
    <cellStyle name="20% - Accent4 3 2 6 3" xfId="11709" xr:uid="{31BBBEEF-F092-4738-8E86-186678B65D3F}"/>
    <cellStyle name="20% - Accent4 3 2 7" xfId="4534" xr:uid="{00000000-0005-0000-0000-000046020000}"/>
    <cellStyle name="20% - Accent4 3 2 7 2" xfId="13860" xr:uid="{3321AA85-22E3-4FBB-9A9A-542D56E98436}"/>
    <cellStyle name="20% - Accent4 3 2 8" xfId="9074" xr:uid="{BA25EAA8-2B5F-4309-91A3-FC61FCEF209C}"/>
    <cellStyle name="20% - Accent4 3 2 8 2" xfId="18397" xr:uid="{43030245-B4F1-4915-9280-B728DCCB829D}"/>
    <cellStyle name="20% - Accent4 3 2 9" xfId="9643" xr:uid="{36396097-00E6-40B7-9995-0EBDC8A6EBA4}"/>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CBB5006E-D319-4A28-8567-E24436A7C0F7}"/>
    <cellStyle name="20% - Accent4 3 3 2 3" xfId="12201" xr:uid="{5CF8C559-478D-4C54-B4DA-9AF9077586B1}"/>
    <cellStyle name="20% - Accent4 3 3 3" xfId="4947" xr:uid="{00000000-0005-0000-0000-00004A020000}"/>
    <cellStyle name="20% - Accent4 3 3 3 2" xfId="14273" xr:uid="{A6AFB7CB-F7C7-4D1F-8012-16C431C41674}"/>
    <cellStyle name="20% - Accent4 3 3 4" xfId="9292" xr:uid="{E33AB5E9-A8F9-45CB-AD95-0E461E901C30}"/>
    <cellStyle name="20% - Accent4 3 3 4 2" xfId="18605" xr:uid="{75B7CFD3-3C9E-4EC2-87B6-A84DE5385E5B}"/>
    <cellStyle name="20% - Accent4 3 3 5" xfId="10056" xr:uid="{122F5548-1C56-4FEB-9BFA-CFBD2F8DED48}"/>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13282839-90EC-4120-B640-503C5D3B3E5F}"/>
    <cellStyle name="20% - Accent4 3 4 2 3" xfId="12614" xr:uid="{2E6812FC-A109-41AC-8909-FAE935BD0E7E}"/>
    <cellStyle name="20% - Accent4 3 4 3" xfId="5360" xr:uid="{00000000-0005-0000-0000-00004E020000}"/>
    <cellStyle name="20% - Accent4 3 4 3 2" xfId="14686" xr:uid="{2D57CE4C-4E53-46B6-92AF-FBAEC0C437AC}"/>
    <cellStyle name="20% - Accent4 3 4 4" xfId="10469" xr:uid="{C54CE94E-986B-4482-91BB-9140167E9657}"/>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9E5677E2-CAC6-44D0-A1E1-D16914027F22}"/>
    <cellStyle name="20% - Accent4 3 5 2 3" xfId="13027" xr:uid="{8EBBE338-E60B-458B-A8B4-575F1215079C}"/>
    <cellStyle name="20% - Accent4 3 5 3" xfId="5773" xr:uid="{00000000-0005-0000-0000-000052020000}"/>
    <cellStyle name="20% - Accent4 3 5 3 2" xfId="15099" xr:uid="{13FE0838-E62C-45F6-B52C-E1D138A93F52}"/>
    <cellStyle name="20% - Accent4 3 5 4" xfId="10882" xr:uid="{3E7AC1DC-781D-4A14-B822-56590B16B7D5}"/>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07516700-0B72-4EF8-92E9-464FE1FED8FF}"/>
    <cellStyle name="20% - Accent4 3 6 2 3" xfId="13440" xr:uid="{94B16688-E38B-4585-91F0-6C9901741A1D}"/>
    <cellStyle name="20% - Accent4 3 6 3" xfId="6186" xr:uid="{00000000-0005-0000-0000-000056020000}"/>
    <cellStyle name="20% - Accent4 3 6 3 2" xfId="15512" xr:uid="{91704EDF-3486-4812-A5AE-640A3651A24B}"/>
    <cellStyle name="20% - Accent4 3 6 4" xfId="11295" xr:uid="{CECEC575-C98E-4584-86B6-B6344C27E261}"/>
    <cellStyle name="20% - Accent4 3 7" xfId="2293" xr:uid="{00000000-0005-0000-0000-000057020000}"/>
    <cellStyle name="20% - Accent4 3 7 2" xfId="6599" xr:uid="{00000000-0005-0000-0000-000058020000}"/>
    <cellStyle name="20% - Accent4 3 7 2 2" xfId="15925" xr:uid="{4E6DDC33-A503-4800-84DD-5373D6347B66}"/>
    <cellStyle name="20% - Accent4 3 7 3" xfId="11708" xr:uid="{0AED82BF-119F-4F5F-9EB2-19D1D684992E}"/>
    <cellStyle name="20% - Accent4 3 8" xfId="4533" xr:uid="{00000000-0005-0000-0000-000059020000}"/>
    <cellStyle name="20% - Accent4 3 8 2" xfId="13859" xr:uid="{18925BAF-5FB8-4A20-8DE3-6256F6795EB7}"/>
    <cellStyle name="20% - Accent4 3 9" xfId="8867" xr:uid="{27FB4CEF-7F56-4AEC-B5AC-6B6A1477FBD8}"/>
    <cellStyle name="20% - Accent4 3 9 2" xfId="18190" xr:uid="{B2AC9767-701B-465E-B241-39F4E4769761}"/>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FE80ADA9-0D70-4931-8421-52639D430D80}"/>
    <cellStyle name="20% - Accent4 4 2 2 3" xfId="12203" xr:uid="{BFC5CF51-DB12-4227-B5AC-476BB4ECB197}"/>
    <cellStyle name="20% - Accent4 4 2 3" xfId="4949" xr:uid="{00000000-0005-0000-0000-00005E020000}"/>
    <cellStyle name="20% - Accent4 4 2 3 2" xfId="14275" xr:uid="{9A3DA560-D319-4892-B727-2662D8357A46}"/>
    <cellStyle name="20% - Accent4 4 2 4" xfId="9378" xr:uid="{761B3D4A-2751-4646-8A50-05A0DD408525}"/>
    <cellStyle name="20% - Accent4 4 2 4 2" xfId="18691" xr:uid="{F20DCB49-514A-4540-B43B-E4B321A31655}"/>
    <cellStyle name="20% - Accent4 4 2 5" xfId="10058" xr:uid="{FC0CEBFC-0DE8-4ABE-A4D4-60EE41BDFC2C}"/>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4537B424-6206-4AD9-9989-9D982B63DD6C}"/>
    <cellStyle name="20% - Accent4 4 3 2 3" xfId="12616" xr:uid="{569A56F5-3D59-437A-B5CB-E56E08F0FB7F}"/>
    <cellStyle name="20% - Accent4 4 3 3" xfId="5362" xr:uid="{00000000-0005-0000-0000-000062020000}"/>
    <cellStyle name="20% - Accent4 4 3 3 2" xfId="14688" xr:uid="{1877E887-C163-487E-84CD-42EABB83DBB2}"/>
    <cellStyle name="20% - Accent4 4 3 4" xfId="10471" xr:uid="{34ED9A1D-619D-467E-BBB9-60B3843E6638}"/>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92F03EFB-577B-487C-BC10-096363F56D96}"/>
    <cellStyle name="20% - Accent4 4 4 2 3" xfId="13029" xr:uid="{C9FB50FC-CBFF-4760-83F4-865272CF1101}"/>
    <cellStyle name="20% - Accent4 4 4 3" xfId="5775" xr:uid="{00000000-0005-0000-0000-000066020000}"/>
    <cellStyle name="20% - Accent4 4 4 3 2" xfId="15101" xr:uid="{D5968999-DF3A-4755-A5B0-2EF08CA6DBDB}"/>
    <cellStyle name="20% - Accent4 4 4 4" xfId="10884" xr:uid="{645769C0-39FD-4C42-B1B0-87E2529257B9}"/>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57775CCA-DB48-4ADC-8979-847A6C1594D6}"/>
    <cellStyle name="20% - Accent4 4 5 2 3" xfId="13442" xr:uid="{F9F78E63-CAA5-4381-8C3A-02ED569E2EA1}"/>
    <cellStyle name="20% - Accent4 4 5 3" xfId="6188" xr:uid="{00000000-0005-0000-0000-00006A020000}"/>
    <cellStyle name="20% - Accent4 4 5 3 2" xfId="15514" xr:uid="{83701640-9BA2-4829-B316-C72F6216A5F7}"/>
    <cellStyle name="20% - Accent4 4 5 4" xfId="11297" xr:uid="{C95C7663-8622-4CAD-AFC4-E68DCB2D8228}"/>
    <cellStyle name="20% - Accent4 4 6" xfId="2295" xr:uid="{00000000-0005-0000-0000-00006B020000}"/>
    <cellStyle name="20% - Accent4 4 6 2" xfId="6601" xr:uid="{00000000-0005-0000-0000-00006C020000}"/>
    <cellStyle name="20% - Accent4 4 6 2 2" xfId="15927" xr:uid="{34CED9CD-FD9A-4FDF-B4D5-E0444B9174D2}"/>
    <cellStyle name="20% - Accent4 4 6 3" xfId="11710" xr:uid="{1A039857-0758-4E7A-B86D-727272405E18}"/>
    <cellStyle name="20% - Accent4 4 7" xfId="4535" xr:uid="{00000000-0005-0000-0000-00006D020000}"/>
    <cellStyle name="20% - Accent4 4 7 2" xfId="13861" xr:uid="{822DCEC6-B577-4F4A-AC01-A0E59DAB8852}"/>
    <cellStyle name="20% - Accent4 4 8" xfId="8953" xr:uid="{66D1590A-BB3A-4B79-BA94-169F97E79370}"/>
    <cellStyle name="20% - Accent4 4 8 2" xfId="18276" xr:uid="{3DD63B7C-2353-4E45-B0A2-89B643334F89}"/>
    <cellStyle name="20% - Accent4 4 9" xfId="9644" xr:uid="{924C2551-32DD-441E-B560-8231752DD904}"/>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408DE572-E015-41A8-AAF6-7DE1F003DE6D}"/>
    <cellStyle name="20% - Accent4 5 2 3" xfId="12196" xr:uid="{63171E51-DAA9-4F47-A690-2BD96CDEE6CA}"/>
    <cellStyle name="20% - Accent4 5 3" xfId="4942" xr:uid="{00000000-0005-0000-0000-000071020000}"/>
    <cellStyle name="20% - Accent4 5 3 2" xfId="14268" xr:uid="{BB700127-2980-4365-A2A4-7289D5BC1325}"/>
    <cellStyle name="20% - Accent4 5 4" xfId="9186" xr:uid="{E62ED282-F767-404B-ADA1-4F8E5B4D01EB}"/>
    <cellStyle name="20% - Accent4 5 4 2" xfId="18502" xr:uid="{6A188A5D-4B3B-4894-88AD-EB27E1CD61A6}"/>
    <cellStyle name="20% - Accent4 5 5" xfId="10051" xr:uid="{12B71C7E-1383-456F-82B2-AB0B1D090D8F}"/>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66E9901A-A027-4755-B610-17B8373BF58F}"/>
    <cellStyle name="20% - Accent4 6 2 3" xfId="12609" xr:uid="{74156294-9F22-44D0-8497-1608DDAA1864}"/>
    <cellStyle name="20% - Accent4 6 3" xfId="5355" xr:uid="{00000000-0005-0000-0000-000075020000}"/>
    <cellStyle name="20% - Accent4 6 3 2" xfId="14681" xr:uid="{BF2B7057-41F9-4881-9343-A54630C00D5B}"/>
    <cellStyle name="20% - Accent4 6 4" xfId="10464" xr:uid="{48AED99E-1E5C-433E-A7C3-2008D9F61BE8}"/>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349DFFAA-B244-4109-8D88-BD632FCD3CBD}"/>
    <cellStyle name="20% - Accent4 7 2 3" xfId="13022" xr:uid="{A7085D59-6E50-461A-AF4A-74143680E0C3}"/>
    <cellStyle name="20% - Accent4 7 3" xfId="5768" xr:uid="{00000000-0005-0000-0000-000079020000}"/>
    <cellStyle name="20% - Accent4 7 3 2" xfId="15094" xr:uid="{83ADC50B-70C4-4749-8C0B-B8BB1993295D}"/>
    <cellStyle name="20% - Accent4 7 4" xfId="10877" xr:uid="{AA32D177-0036-47CB-AB57-21D34A12F3D4}"/>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4C5561FC-2B40-474A-8994-B8E9DF7FAA7C}"/>
    <cellStyle name="20% - Accent4 8 2 3" xfId="13435" xr:uid="{0EF27F42-20BA-4400-BE0E-9824355828F7}"/>
    <cellStyle name="20% - Accent4 8 3" xfId="6181" xr:uid="{00000000-0005-0000-0000-00007D020000}"/>
    <cellStyle name="20% - Accent4 8 3 2" xfId="15507" xr:uid="{BB6EF12D-9462-48A7-8631-E63D9491F9F5}"/>
    <cellStyle name="20% - Accent4 8 4" xfId="11290" xr:uid="{2C84258E-D271-4B37-8A42-997F5CAB83D8}"/>
    <cellStyle name="20% - Accent4 9" xfId="2288" xr:uid="{00000000-0005-0000-0000-00007E020000}"/>
    <cellStyle name="20% - Accent4 9 2" xfId="6594" xr:uid="{00000000-0005-0000-0000-00007F020000}"/>
    <cellStyle name="20% - Accent4 9 2 2" xfId="15920" xr:uid="{47AA31A6-5739-4A82-ACF6-1C5280F4A02F}"/>
    <cellStyle name="20% - Accent4 9 3" xfId="11703" xr:uid="{74EC6005-6F6D-42B8-B3F3-F37F3D8E4C5F}"/>
    <cellStyle name="20% - Accent5" xfId="33" builtinId="46" customBuiltin="1"/>
    <cellStyle name="20% - Accent5 10" xfId="4536" xr:uid="{00000000-0005-0000-0000-000081020000}"/>
    <cellStyle name="20% - Accent5 10 2" xfId="13862" xr:uid="{8D14A9E1-1013-4125-99B1-FD30AD2F80FE}"/>
    <cellStyle name="20% - Accent5 11" xfId="8766" xr:uid="{A87C980D-48BC-4AA3-98F7-53B2F02F228C}"/>
    <cellStyle name="20% - Accent5 11 2" xfId="18089" xr:uid="{21889D4C-34D4-4135-8B48-F79A2CFF93BE}"/>
    <cellStyle name="20% - Accent5 12" xfId="9645" xr:uid="{988BE9DA-2B0C-4FDD-853E-E1D43395F83C}"/>
    <cellStyle name="20% - Accent5 2" xfId="34" xr:uid="{00000000-0005-0000-0000-000082020000}"/>
    <cellStyle name="20% - Accent5 2 10" xfId="8796" xr:uid="{5BBF4372-A7B1-47A0-AC3D-4A60EDC1A5F8}"/>
    <cellStyle name="20% - Accent5 2 10 2" xfId="18119" xr:uid="{75ECBFEA-F76C-406F-9D52-D2571CBA1C67}"/>
    <cellStyle name="20% - Accent5 2 11" xfId="9646" xr:uid="{F98D39FC-18E6-4D5A-A3D7-847A320CC886}"/>
    <cellStyle name="20% - Accent5 2 2" xfId="35" xr:uid="{00000000-0005-0000-0000-000083020000}"/>
    <cellStyle name="20% - Accent5 2 2 10" xfId="9647" xr:uid="{B98EEC72-2817-460A-AFD5-8149999BB306}"/>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6FDFA61C-9DCF-4A87-BC5F-C9CF700EE977}"/>
    <cellStyle name="20% - Accent5 2 2 2 2 2 3" xfId="12207" xr:uid="{B3C6CFEB-F8A6-41E9-9C44-9C56CFA5845B}"/>
    <cellStyle name="20% - Accent5 2 2 2 2 3" xfId="4953" xr:uid="{00000000-0005-0000-0000-000088020000}"/>
    <cellStyle name="20% - Accent5 2 2 2 2 3 2" xfId="14279" xr:uid="{735FC964-2B39-44F7-9163-0B3DAA95B5F1}"/>
    <cellStyle name="20% - Accent5 2 2 2 2 4" xfId="9531" xr:uid="{5DC5F027-F767-49FB-B9DE-2ACABCF8AC5A}"/>
    <cellStyle name="20% - Accent5 2 2 2 2 4 2" xfId="18844" xr:uid="{4B36F256-268E-4465-AE60-9C6D0C0BEB20}"/>
    <cellStyle name="20% - Accent5 2 2 2 2 5" xfId="10062" xr:uid="{CF8DFC59-8E8F-467F-88FA-197DBB422621}"/>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322BA85C-803B-439D-8C9E-93B5ABC3A6C1}"/>
    <cellStyle name="20% - Accent5 2 2 2 3 2 3" xfId="12620" xr:uid="{29AC3B7E-F2A5-4BD1-B751-8A4EB876A06E}"/>
    <cellStyle name="20% - Accent5 2 2 2 3 3" xfId="5366" xr:uid="{00000000-0005-0000-0000-00008C020000}"/>
    <cellStyle name="20% - Accent5 2 2 2 3 3 2" xfId="14692" xr:uid="{C30D8EB5-B3CF-49EC-8963-48D5E4A3C630}"/>
    <cellStyle name="20% - Accent5 2 2 2 3 4" xfId="10475" xr:uid="{4F25FE55-23CC-4F91-90EE-322EF14CE823}"/>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0C5BD013-E27D-4F3B-9051-C339EFBB394F}"/>
    <cellStyle name="20% - Accent5 2 2 2 4 2 3" xfId="13033" xr:uid="{D0452975-1475-4984-BC25-3CE16FB69970}"/>
    <cellStyle name="20% - Accent5 2 2 2 4 3" xfId="5779" xr:uid="{00000000-0005-0000-0000-000090020000}"/>
    <cellStyle name="20% - Accent5 2 2 2 4 3 2" xfId="15105" xr:uid="{583CE7B6-F0C0-42DA-9083-61BCF013EE65}"/>
    <cellStyle name="20% - Accent5 2 2 2 4 4" xfId="10888" xr:uid="{189A1EB9-3488-4F4C-B282-33587B10A8BE}"/>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046D3754-CE83-4E20-834D-DAB1BD171451}"/>
    <cellStyle name="20% - Accent5 2 2 2 5 2 3" xfId="13446" xr:uid="{6D59F562-E66D-4205-93F4-A2741B3DD52C}"/>
    <cellStyle name="20% - Accent5 2 2 2 5 3" xfId="6192" xr:uid="{00000000-0005-0000-0000-000094020000}"/>
    <cellStyle name="20% - Accent5 2 2 2 5 3 2" xfId="15518" xr:uid="{57BAC63E-0718-4B79-8A8B-AAB9C7156731}"/>
    <cellStyle name="20% - Accent5 2 2 2 5 4" xfId="11301" xr:uid="{9A61DC82-DD5D-44F8-9B35-39B15187F2B3}"/>
    <cellStyle name="20% - Accent5 2 2 2 6" xfId="2299" xr:uid="{00000000-0005-0000-0000-000095020000}"/>
    <cellStyle name="20% - Accent5 2 2 2 6 2" xfId="6605" xr:uid="{00000000-0005-0000-0000-000096020000}"/>
    <cellStyle name="20% - Accent5 2 2 2 6 2 2" xfId="15931" xr:uid="{4645B823-4768-4C46-A3C1-67A1D725C08E}"/>
    <cellStyle name="20% - Accent5 2 2 2 6 3" xfId="11714" xr:uid="{A43C1A50-71E2-4FF2-8D78-32A5402DA82B}"/>
    <cellStyle name="20% - Accent5 2 2 2 7" xfId="4539" xr:uid="{00000000-0005-0000-0000-000097020000}"/>
    <cellStyle name="20% - Accent5 2 2 2 7 2" xfId="13865" xr:uid="{5077C7A6-6AF0-4510-B75E-607F68A296ED}"/>
    <cellStyle name="20% - Accent5 2 2 2 8" xfId="9106" xr:uid="{E7B219CB-83A9-494A-83ED-783719A0F1D9}"/>
    <cellStyle name="20% - Accent5 2 2 2 8 2" xfId="18429" xr:uid="{635CC6C6-5390-41D1-82CF-BB6366093CB9}"/>
    <cellStyle name="20% - Accent5 2 2 2 9" xfId="9648" xr:uid="{6FDD7D39-3F1D-40FB-B74D-D6B2E7B92634}"/>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0EC74C7F-8A68-4C31-818F-56250E7AC870}"/>
    <cellStyle name="20% - Accent5 2 2 3 2 3" xfId="12206" xr:uid="{571C8D79-E9A3-4749-A89E-C0937294F8BD}"/>
    <cellStyle name="20% - Accent5 2 2 3 3" xfId="4952" xr:uid="{00000000-0005-0000-0000-00009B020000}"/>
    <cellStyle name="20% - Accent5 2 2 3 3 2" xfId="14278" xr:uid="{D00367BA-9210-4328-A464-308CB2AB710F}"/>
    <cellStyle name="20% - Accent5 2 2 3 4" xfId="9324" xr:uid="{6094FEE1-8E2A-466F-9CDF-43EB9EE581FF}"/>
    <cellStyle name="20% - Accent5 2 2 3 4 2" xfId="18637" xr:uid="{5EA4FB85-6B38-48A2-B04A-A903681BABEC}"/>
    <cellStyle name="20% - Accent5 2 2 3 5" xfId="10061" xr:uid="{20C6F339-6C79-4F5E-B47E-A74889D6080A}"/>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335475A5-2F2A-40AB-BDA1-45D2702FBDA8}"/>
    <cellStyle name="20% - Accent5 2 2 4 2 3" xfId="12619" xr:uid="{4436DC01-54E2-49A4-B303-30ADA7CE1D44}"/>
    <cellStyle name="20% - Accent5 2 2 4 3" xfId="5365" xr:uid="{00000000-0005-0000-0000-00009F020000}"/>
    <cellStyle name="20% - Accent5 2 2 4 3 2" xfId="14691" xr:uid="{04F14012-5805-4E3F-82B2-6522703D65A8}"/>
    <cellStyle name="20% - Accent5 2 2 4 4" xfId="10474" xr:uid="{20B86EAF-5A84-4169-9E7E-F5137975294F}"/>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421C9C60-20F6-494A-93A8-08AD07C69B7A}"/>
    <cellStyle name="20% - Accent5 2 2 5 2 3" xfId="13032" xr:uid="{33E04832-E26E-42F9-8B1D-FB5FA48B6252}"/>
    <cellStyle name="20% - Accent5 2 2 5 3" xfId="5778" xr:uid="{00000000-0005-0000-0000-0000A3020000}"/>
    <cellStyle name="20% - Accent5 2 2 5 3 2" xfId="15104" xr:uid="{BBD48B43-033D-4A82-96F3-3D3937FEA195}"/>
    <cellStyle name="20% - Accent5 2 2 5 4" xfId="10887" xr:uid="{98A6BABF-5CCC-4AB9-96D2-D3C3FDFB9C5F}"/>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3520BD9F-FDAE-4EF8-8D25-82A2E4F15680}"/>
    <cellStyle name="20% - Accent5 2 2 6 2 3" xfId="13445" xr:uid="{453427F1-7102-4C00-AA47-95B56160155B}"/>
    <cellStyle name="20% - Accent5 2 2 6 3" xfId="6191" xr:uid="{00000000-0005-0000-0000-0000A7020000}"/>
    <cellStyle name="20% - Accent5 2 2 6 3 2" xfId="15517" xr:uid="{A9673DC8-AE16-48F0-8523-EF961137AA9F}"/>
    <cellStyle name="20% - Accent5 2 2 6 4" xfId="11300" xr:uid="{A94469C2-FD49-4845-939D-F11F93A0A971}"/>
    <cellStyle name="20% - Accent5 2 2 7" xfId="2298" xr:uid="{00000000-0005-0000-0000-0000A8020000}"/>
    <cellStyle name="20% - Accent5 2 2 7 2" xfId="6604" xr:uid="{00000000-0005-0000-0000-0000A9020000}"/>
    <cellStyle name="20% - Accent5 2 2 7 2 2" xfId="15930" xr:uid="{1C9052C6-381B-413B-93BE-C595F269F3C7}"/>
    <cellStyle name="20% - Accent5 2 2 7 3" xfId="11713" xr:uid="{75A298A2-08B1-4BC3-BCF6-EEC95AB8D788}"/>
    <cellStyle name="20% - Accent5 2 2 8" xfId="4538" xr:uid="{00000000-0005-0000-0000-0000AA020000}"/>
    <cellStyle name="20% - Accent5 2 2 8 2" xfId="13864" xr:uid="{964BD6D3-D015-4E8B-AE10-ACE9B338300D}"/>
    <cellStyle name="20% - Accent5 2 2 9" xfId="8899" xr:uid="{0E8F9EC8-D565-41C9-B716-FF597FFF35B9}"/>
    <cellStyle name="20% - Accent5 2 2 9 2" xfId="18222" xr:uid="{CBB20C6C-C0C3-4CEB-B95D-5DAABC16C81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D93A21FC-1597-4F03-93C7-CB4BFA4EBEF7}"/>
    <cellStyle name="20% - Accent5 2 3 2 2 3" xfId="12208" xr:uid="{7AA81B95-2BE2-4D5B-ADFD-EADDB4C7E844}"/>
    <cellStyle name="20% - Accent5 2 3 2 3" xfId="4954" xr:uid="{00000000-0005-0000-0000-0000AF020000}"/>
    <cellStyle name="20% - Accent5 2 3 2 3 2" xfId="14280" xr:uid="{09992FD4-5B42-4B88-A53C-FD7EF976DA88}"/>
    <cellStyle name="20% - Accent5 2 3 2 4" xfId="9428" xr:uid="{B7820ACF-E1F3-4653-B5DD-FD829B169E84}"/>
    <cellStyle name="20% - Accent5 2 3 2 4 2" xfId="18741" xr:uid="{C70AE766-57E2-4E8F-BCA2-AC453019435B}"/>
    <cellStyle name="20% - Accent5 2 3 2 5" xfId="10063" xr:uid="{CC0CEDA9-150A-419A-A395-776A9EFB72CF}"/>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9F752189-DEA3-4C13-806F-0D7E23B16630}"/>
    <cellStyle name="20% - Accent5 2 3 3 2 3" xfId="12621" xr:uid="{0B28C9BF-1CF3-421E-B0ED-FD58122C2AE8}"/>
    <cellStyle name="20% - Accent5 2 3 3 3" xfId="5367" xr:uid="{00000000-0005-0000-0000-0000B3020000}"/>
    <cellStyle name="20% - Accent5 2 3 3 3 2" xfId="14693" xr:uid="{12BF6B3A-F77F-474B-A757-D4240E8800C5}"/>
    <cellStyle name="20% - Accent5 2 3 3 4" xfId="10476" xr:uid="{D32FF519-2B72-4560-A3D0-571B5BE8F0F2}"/>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42C88452-4398-4102-A5D7-CF43DB4D9A17}"/>
    <cellStyle name="20% - Accent5 2 3 4 2 3" xfId="13034" xr:uid="{1F1D82E7-0BC3-44C7-A09B-17389ADA46CD}"/>
    <cellStyle name="20% - Accent5 2 3 4 3" xfId="5780" xr:uid="{00000000-0005-0000-0000-0000B7020000}"/>
    <cellStyle name="20% - Accent5 2 3 4 3 2" xfId="15106" xr:uid="{5CE229CD-44EB-4F41-8074-89B640A449CF}"/>
    <cellStyle name="20% - Accent5 2 3 4 4" xfId="10889" xr:uid="{FFA0F789-3F9F-4F34-9D8D-628A4E323FF5}"/>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36D612F6-4138-4AD8-BF06-412A59809786}"/>
    <cellStyle name="20% - Accent5 2 3 5 2 3" xfId="13447" xr:uid="{44BFCBD1-7181-44C7-8422-BF544F7B6CC9}"/>
    <cellStyle name="20% - Accent5 2 3 5 3" xfId="6193" xr:uid="{00000000-0005-0000-0000-0000BB020000}"/>
    <cellStyle name="20% - Accent5 2 3 5 3 2" xfId="15519" xr:uid="{6D1E55F4-F30C-4D25-AE9F-2E9D3861F5D3}"/>
    <cellStyle name="20% - Accent5 2 3 5 4" xfId="11302" xr:uid="{E11B17BB-B869-4F01-A920-C2EAF2121D19}"/>
    <cellStyle name="20% - Accent5 2 3 6" xfId="2300" xr:uid="{00000000-0005-0000-0000-0000BC020000}"/>
    <cellStyle name="20% - Accent5 2 3 6 2" xfId="6606" xr:uid="{00000000-0005-0000-0000-0000BD020000}"/>
    <cellStyle name="20% - Accent5 2 3 6 2 2" xfId="15932" xr:uid="{115ED654-A91C-4B2A-9719-B7C7211BF975}"/>
    <cellStyle name="20% - Accent5 2 3 6 3" xfId="11715" xr:uid="{0F05F5BE-36F6-4CD9-8D7E-9A138145542B}"/>
    <cellStyle name="20% - Accent5 2 3 7" xfId="4540" xr:uid="{00000000-0005-0000-0000-0000BE020000}"/>
    <cellStyle name="20% - Accent5 2 3 7 2" xfId="13866" xr:uid="{7326F86D-F27D-47B0-AD1C-A4C5E383420F}"/>
    <cellStyle name="20% - Accent5 2 3 8" xfId="9003" xr:uid="{9830E7D1-E361-4BA3-A986-3DCE647EEF8E}"/>
    <cellStyle name="20% - Accent5 2 3 8 2" xfId="18326" xr:uid="{1837B343-3C3B-431A-BAE4-66974F2FDF37}"/>
    <cellStyle name="20% - Accent5 2 3 9" xfId="9649" xr:uid="{8583859E-234C-4F22-A79C-CFA6CB03E409}"/>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745320E0-63EF-4C3D-B16E-EAA6541679EB}"/>
    <cellStyle name="20% - Accent5 2 4 2 3" xfId="12205" xr:uid="{F679DFE4-4F9F-44A1-92D3-F1898A1BBFD3}"/>
    <cellStyle name="20% - Accent5 2 4 3" xfId="4951" xr:uid="{00000000-0005-0000-0000-0000C2020000}"/>
    <cellStyle name="20% - Accent5 2 4 3 2" xfId="14277" xr:uid="{46BB1583-2623-4EE2-87D6-DA66B803A538}"/>
    <cellStyle name="20% - Accent5 2 4 4" xfId="9220" xr:uid="{A7B88928-FE72-4C1B-B74E-3CA76DBA84CC}"/>
    <cellStyle name="20% - Accent5 2 4 4 2" xfId="18534" xr:uid="{7FC5B593-D262-4607-8871-B6354CC8FD5C}"/>
    <cellStyle name="20% - Accent5 2 4 5" xfId="10060" xr:uid="{39B594DE-F544-4573-95BB-0B8CDF645BA8}"/>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EF26015B-5B80-466C-91C1-93306F1E500E}"/>
    <cellStyle name="20% - Accent5 2 5 2 3" xfId="12618" xr:uid="{9EC556FD-1BC3-4FC5-8A79-8E1A4ACB4479}"/>
    <cellStyle name="20% - Accent5 2 5 3" xfId="5364" xr:uid="{00000000-0005-0000-0000-0000C6020000}"/>
    <cellStyle name="20% - Accent5 2 5 3 2" xfId="14690" xr:uid="{A88A40D4-EEB9-4779-B343-DCC287530D88}"/>
    <cellStyle name="20% - Accent5 2 5 4" xfId="10473" xr:uid="{1F11D37C-6501-41BF-BAD0-254342B7CC04}"/>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F6E3A1DF-3AEA-42E7-BB09-6162703699E8}"/>
    <cellStyle name="20% - Accent5 2 6 2 3" xfId="13031" xr:uid="{4CB86541-818F-4D9B-88A5-B4662C2996CE}"/>
    <cellStyle name="20% - Accent5 2 6 3" xfId="5777" xr:uid="{00000000-0005-0000-0000-0000CA020000}"/>
    <cellStyle name="20% - Accent5 2 6 3 2" xfId="15103" xr:uid="{2A0E9065-DCA4-4867-B7AC-2138A199C64E}"/>
    <cellStyle name="20% - Accent5 2 6 4" xfId="10886" xr:uid="{5E2B6D02-E5EE-4884-9B82-13E9CA35BCAC}"/>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A215F308-3693-46DB-A67B-C6B9D7440115}"/>
    <cellStyle name="20% - Accent5 2 7 2 3" xfId="13444" xr:uid="{5834C431-D18E-4278-A591-D7A7C9094623}"/>
    <cellStyle name="20% - Accent5 2 7 3" xfId="6190" xr:uid="{00000000-0005-0000-0000-0000CE020000}"/>
    <cellStyle name="20% - Accent5 2 7 3 2" xfId="15516" xr:uid="{85DC97E2-6420-4400-A80D-9C86876A14E7}"/>
    <cellStyle name="20% - Accent5 2 7 4" xfId="11299" xr:uid="{6072930B-1985-452E-B0DF-E80711B34130}"/>
    <cellStyle name="20% - Accent5 2 8" xfId="2297" xr:uid="{00000000-0005-0000-0000-0000CF020000}"/>
    <cellStyle name="20% - Accent5 2 8 2" xfId="6603" xr:uid="{00000000-0005-0000-0000-0000D0020000}"/>
    <cellStyle name="20% - Accent5 2 8 2 2" xfId="15929" xr:uid="{782AA4B9-0B7E-4690-8805-B77F835E2E92}"/>
    <cellStyle name="20% - Accent5 2 8 3" xfId="11712" xr:uid="{CA933990-9FF1-4E7D-82B7-35CD01B23763}"/>
    <cellStyle name="20% - Accent5 2 9" xfId="4537" xr:uid="{00000000-0005-0000-0000-0000D1020000}"/>
    <cellStyle name="20% - Accent5 2 9 2" xfId="13863" xr:uid="{18C86E9B-CCCB-48DF-B593-4690894D6BE0}"/>
    <cellStyle name="20% - Accent5 3" xfId="38" xr:uid="{00000000-0005-0000-0000-0000D2020000}"/>
    <cellStyle name="20% - Accent5 3 10" xfId="9650" xr:uid="{E5DB93CF-2DC7-45AA-8CAA-C1F56DD425EA}"/>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EA930D70-A772-456A-AC14-4DC711F68A0F}"/>
    <cellStyle name="20% - Accent5 3 2 2 2 3" xfId="12210" xr:uid="{103FF86B-D133-4237-9A2B-F14F178546E4}"/>
    <cellStyle name="20% - Accent5 3 2 2 3" xfId="4956" xr:uid="{00000000-0005-0000-0000-0000D7020000}"/>
    <cellStyle name="20% - Accent5 3 2 2 3 2" xfId="14282" xr:uid="{297A6DA8-1F3A-4276-9E3F-418423BAF723}"/>
    <cellStyle name="20% - Accent5 3 2 2 4" xfId="9501" xr:uid="{82A590A5-96D4-476E-8E6F-D81EEE08C409}"/>
    <cellStyle name="20% - Accent5 3 2 2 4 2" xfId="18814" xr:uid="{122B63F7-C1AE-4343-996F-4CCC0FBB3C88}"/>
    <cellStyle name="20% - Accent5 3 2 2 5" xfId="10065" xr:uid="{8477510E-40F1-426E-BA88-809A031F725D}"/>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02733B3D-9BBB-4826-92B7-914B61E953AC}"/>
    <cellStyle name="20% - Accent5 3 2 3 2 3" xfId="12623" xr:uid="{74DAB1FC-FA2B-4AE4-90DB-15257AE26FFF}"/>
    <cellStyle name="20% - Accent5 3 2 3 3" xfId="5369" xr:uid="{00000000-0005-0000-0000-0000DB020000}"/>
    <cellStyle name="20% - Accent5 3 2 3 3 2" xfId="14695" xr:uid="{AA30DD0B-5748-4704-ACFE-3970D26C3596}"/>
    <cellStyle name="20% - Accent5 3 2 3 4" xfId="10478" xr:uid="{49CAC1A5-6BA7-4FE6-BDD8-36BB3BEAD36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1BB60B0D-F969-4A87-9B7F-0487CD964BE8}"/>
    <cellStyle name="20% - Accent5 3 2 4 2 3" xfId="13036" xr:uid="{6A9D1D7F-6BFF-49FD-869A-3B69E401857D}"/>
    <cellStyle name="20% - Accent5 3 2 4 3" xfId="5782" xr:uid="{00000000-0005-0000-0000-0000DF020000}"/>
    <cellStyle name="20% - Accent5 3 2 4 3 2" xfId="15108" xr:uid="{78F15EB0-1805-4ACD-BB5F-A96BACA89631}"/>
    <cellStyle name="20% - Accent5 3 2 4 4" xfId="10891" xr:uid="{2600E0AB-AAF9-4304-B709-9138370E8690}"/>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BF6D787F-C8BF-4BCC-A6C1-F2FC7D753941}"/>
    <cellStyle name="20% - Accent5 3 2 5 2 3" xfId="13449" xr:uid="{3AF481A8-AAD5-404C-A336-5B2B00794BA2}"/>
    <cellStyle name="20% - Accent5 3 2 5 3" xfId="6195" xr:uid="{00000000-0005-0000-0000-0000E3020000}"/>
    <cellStyle name="20% - Accent5 3 2 5 3 2" xfId="15521" xr:uid="{5D138C7E-45BC-4252-944E-05BEECAFEF11}"/>
    <cellStyle name="20% - Accent5 3 2 5 4" xfId="11304" xr:uid="{880DB69B-9258-47FF-8E32-50EE9D3CFC33}"/>
    <cellStyle name="20% - Accent5 3 2 6" xfId="2302" xr:uid="{00000000-0005-0000-0000-0000E4020000}"/>
    <cellStyle name="20% - Accent5 3 2 6 2" xfId="6608" xr:uid="{00000000-0005-0000-0000-0000E5020000}"/>
    <cellStyle name="20% - Accent5 3 2 6 2 2" xfId="15934" xr:uid="{D3913CAB-795B-42E1-ABE0-B6B027888FEE}"/>
    <cellStyle name="20% - Accent5 3 2 6 3" xfId="11717" xr:uid="{561B2AC8-DA91-4E65-B584-5A552F3E535D}"/>
    <cellStyle name="20% - Accent5 3 2 7" xfId="4542" xr:uid="{00000000-0005-0000-0000-0000E6020000}"/>
    <cellStyle name="20% - Accent5 3 2 7 2" xfId="13868" xr:uid="{0F68A7D1-8339-417F-BF63-2CB3B1FCADD1}"/>
    <cellStyle name="20% - Accent5 3 2 8" xfId="9076" xr:uid="{BEDF1D01-35A3-4513-9363-9C1AFC748168}"/>
    <cellStyle name="20% - Accent5 3 2 8 2" xfId="18399" xr:uid="{565A3BE9-F103-4D7F-B5EF-385302EE10E2}"/>
    <cellStyle name="20% - Accent5 3 2 9" xfId="9651" xr:uid="{77ECABA4-ADCF-47A4-B54A-D105831B238D}"/>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6FF1C71A-9F9D-4E64-AC9F-D1E4320BA479}"/>
    <cellStyle name="20% - Accent5 3 3 2 3" xfId="12209" xr:uid="{F0B557AB-3F93-4310-8BEB-4CFD623A44D9}"/>
    <cellStyle name="20% - Accent5 3 3 3" xfId="4955" xr:uid="{00000000-0005-0000-0000-0000EA020000}"/>
    <cellStyle name="20% - Accent5 3 3 3 2" xfId="14281" xr:uid="{E4B51434-11D5-41FF-B004-8ADDB05DD4B4}"/>
    <cellStyle name="20% - Accent5 3 3 4" xfId="9294" xr:uid="{124960EA-C7A4-4686-BF67-47D6C57F7EEB}"/>
    <cellStyle name="20% - Accent5 3 3 4 2" xfId="18607" xr:uid="{FF37924D-D79A-4649-B4E1-749B2BE1D851}"/>
    <cellStyle name="20% - Accent5 3 3 5" xfId="10064" xr:uid="{DE41AE59-0423-4E1D-894A-941ECBA8257E}"/>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08947A24-39AC-46B0-B5E9-12467B1E6801}"/>
    <cellStyle name="20% - Accent5 3 4 2 3" xfId="12622" xr:uid="{0F3EB75D-FCA3-407A-8B25-C12A8ABD0E80}"/>
    <cellStyle name="20% - Accent5 3 4 3" xfId="5368" xr:uid="{00000000-0005-0000-0000-0000EE020000}"/>
    <cellStyle name="20% - Accent5 3 4 3 2" xfId="14694" xr:uid="{433CD91E-FE5E-4657-985E-6FF5AB8CAB51}"/>
    <cellStyle name="20% - Accent5 3 4 4" xfId="10477" xr:uid="{F4BD8020-C012-4F78-B425-37378A7F196C}"/>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317EB871-1D00-41FE-A7BD-6D64BEA328A0}"/>
    <cellStyle name="20% - Accent5 3 5 2 3" xfId="13035" xr:uid="{A006476B-442D-4E70-B52E-AA02DEF17E36}"/>
    <cellStyle name="20% - Accent5 3 5 3" xfId="5781" xr:uid="{00000000-0005-0000-0000-0000F2020000}"/>
    <cellStyle name="20% - Accent5 3 5 3 2" xfId="15107" xr:uid="{20C959F6-F7F0-42B5-8B1A-B30D8D0746F2}"/>
    <cellStyle name="20% - Accent5 3 5 4" xfId="10890" xr:uid="{99117655-4681-4B33-BB36-333DB5B605E4}"/>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D64DB5B2-8039-4A97-887E-ECEE451E4084}"/>
    <cellStyle name="20% - Accent5 3 6 2 3" xfId="13448" xr:uid="{73775B86-39FA-4A42-81B1-66C451FDF3E5}"/>
    <cellStyle name="20% - Accent5 3 6 3" xfId="6194" xr:uid="{00000000-0005-0000-0000-0000F6020000}"/>
    <cellStyle name="20% - Accent5 3 6 3 2" xfId="15520" xr:uid="{27BC0C9F-FC8D-49A8-802A-296BBB714F8B}"/>
    <cellStyle name="20% - Accent5 3 6 4" xfId="11303" xr:uid="{1CFD431B-A8AD-42DA-ADF1-6E99A5CCFAD5}"/>
    <cellStyle name="20% - Accent5 3 7" xfId="2301" xr:uid="{00000000-0005-0000-0000-0000F7020000}"/>
    <cellStyle name="20% - Accent5 3 7 2" xfId="6607" xr:uid="{00000000-0005-0000-0000-0000F8020000}"/>
    <cellStyle name="20% - Accent5 3 7 2 2" xfId="15933" xr:uid="{C921FB8E-B3B9-47BD-8B40-137C788D6230}"/>
    <cellStyle name="20% - Accent5 3 7 3" xfId="11716" xr:uid="{27989A6F-BB69-4676-A82A-412323775AF0}"/>
    <cellStyle name="20% - Accent5 3 8" xfId="4541" xr:uid="{00000000-0005-0000-0000-0000F9020000}"/>
    <cellStyle name="20% - Accent5 3 8 2" xfId="13867" xr:uid="{9C0782C6-B171-4407-942F-18CFFBECB9B1}"/>
    <cellStyle name="20% - Accent5 3 9" xfId="8869" xr:uid="{43CC8A87-AEEB-4E51-98E7-F8AE8D86AD2B}"/>
    <cellStyle name="20% - Accent5 3 9 2" xfId="18192" xr:uid="{97F12DC6-10AE-4969-9DE4-DED35EC8DCBA}"/>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2905CEB8-4612-4804-99DA-13AC0FEC435B}"/>
    <cellStyle name="20% - Accent5 4 2 2 3" xfId="12211" xr:uid="{7C0601F3-CC88-41F5-AE51-0A1ACB7A6C8C}"/>
    <cellStyle name="20% - Accent5 4 2 3" xfId="4957" xr:uid="{00000000-0005-0000-0000-0000FE020000}"/>
    <cellStyle name="20% - Accent5 4 2 3 2" xfId="14283" xr:uid="{2E890D72-0065-46D7-963C-04EC1D771AE5}"/>
    <cellStyle name="20% - Accent5 4 2 4" xfId="9380" xr:uid="{1C764D65-D71C-4646-AD86-15F83BDBF498}"/>
    <cellStyle name="20% - Accent5 4 2 4 2" xfId="18693" xr:uid="{BC19C2DB-AB4C-4955-8A88-1E9C30767220}"/>
    <cellStyle name="20% - Accent5 4 2 5" xfId="10066" xr:uid="{918D34FF-78B4-4921-AC1B-C087669CF8AC}"/>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3E394A21-00F5-4D0A-BD1B-84177674996F}"/>
    <cellStyle name="20% - Accent5 4 3 2 3" xfId="12624" xr:uid="{29F79359-7792-4F20-A6B1-7506CCB89225}"/>
    <cellStyle name="20% - Accent5 4 3 3" xfId="5370" xr:uid="{00000000-0005-0000-0000-000002030000}"/>
    <cellStyle name="20% - Accent5 4 3 3 2" xfId="14696" xr:uid="{C7EA024E-1808-45CC-884B-8C774632C5FF}"/>
    <cellStyle name="20% - Accent5 4 3 4" xfId="10479" xr:uid="{5F09FA95-92BD-4379-8E0C-5DD283B9BC2D}"/>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0CFDF6A9-7099-41AB-881D-64A1196F8592}"/>
    <cellStyle name="20% - Accent5 4 4 2 3" xfId="13037" xr:uid="{1E749AE0-DCCE-4F01-84D5-90CF85AA0355}"/>
    <cellStyle name="20% - Accent5 4 4 3" xfId="5783" xr:uid="{00000000-0005-0000-0000-000006030000}"/>
    <cellStyle name="20% - Accent5 4 4 3 2" xfId="15109" xr:uid="{B8A48C38-6D0F-4B5A-BA6F-57810385E7E9}"/>
    <cellStyle name="20% - Accent5 4 4 4" xfId="10892" xr:uid="{1817A99A-7277-49DA-9070-70EBEBE701D8}"/>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7AF67F2C-8749-42E0-A7E1-B8D12BD38A87}"/>
    <cellStyle name="20% - Accent5 4 5 2 3" xfId="13450" xr:uid="{66E2196F-D89C-4E2E-A9F3-B1257CC03BB3}"/>
    <cellStyle name="20% - Accent5 4 5 3" xfId="6196" xr:uid="{00000000-0005-0000-0000-00000A030000}"/>
    <cellStyle name="20% - Accent5 4 5 3 2" xfId="15522" xr:uid="{4608DF04-66BA-4F47-81E1-3FD822EE90F4}"/>
    <cellStyle name="20% - Accent5 4 5 4" xfId="11305" xr:uid="{FA7C5BE4-FDBD-4CA1-B308-5E1AB4676C70}"/>
    <cellStyle name="20% - Accent5 4 6" xfId="2303" xr:uid="{00000000-0005-0000-0000-00000B030000}"/>
    <cellStyle name="20% - Accent5 4 6 2" xfId="6609" xr:uid="{00000000-0005-0000-0000-00000C030000}"/>
    <cellStyle name="20% - Accent5 4 6 2 2" xfId="15935" xr:uid="{F882B0DE-5508-469E-84FB-579879B14862}"/>
    <cellStyle name="20% - Accent5 4 6 3" xfId="11718" xr:uid="{ABF4A352-D5E0-4C90-9A8C-11871E665189}"/>
    <cellStyle name="20% - Accent5 4 7" xfId="4543" xr:uid="{00000000-0005-0000-0000-00000D030000}"/>
    <cellStyle name="20% - Accent5 4 7 2" xfId="13869" xr:uid="{28C2FF9F-EF55-4D96-95BF-79C9269D8E4E}"/>
    <cellStyle name="20% - Accent5 4 8" xfId="8955" xr:uid="{8AD43D76-8747-44EC-8D3B-2720ADF9D1B1}"/>
    <cellStyle name="20% - Accent5 4 8 2" xfId="18278" xr:uid="{0C2AFC3F-9EEE-44ED-B94A-B4CF617E3765}"/>
    <cellStyle name="20% - Accent5 4 9" xfId="9652" xr:uid="{4D5DE840-F500-4D59-A5BA-B80E808B966A}"/>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10937B96-B133-4053-B673-CBA7F17D1513}"/>
    <cellStyle name="20% - Accent5 5 2 3" xfId="12204" xr:uid="{0E03B109-8D6E-4604-9884-3FC413A47463}"/>
    <cellStyle name="20% - Accent5 5 3" xfId="4950" xr:uid="{00000000-0005-0000-0000-000011030000}"/>
    <cellStyle name="20% - Accent5 5 3 2" xfId="14276" xr:uid="{79A632A6-62F7-4469-B7C1-8FC5D9FF46D4}"/>
    <cellStyle name="20% - Accent5 5 4" xfId="9188" xr:uid="{164CF7CE-7706-426C-90AA-4867A06E28BD}"/>
    <cellStyle name="20% - Accent5 5 4 2" xfId="18504" xr:uid="{B6532D07-6AA1-4691-BF53-605B04785E20}"/>
    <cellStyle name="20% - Accent5 5 5" xfId="10059" xr:uid="{A198C91B-ACF3-4C16-A8D0-638A963B53FA}"/>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9B4A82D0-270F-4E1B-BD2B-E9E106E47EBD}"/>
    <cellStyle name="20% - Accent5 6 2 3" xfId="12617" xr:uid="{E69F41B7-3CEA-460A-A305-E04285ED2405}"/>
    <cellStyle name="20% - Accent5 6 3" xfId="5363" xr:uid="{00000000-0005-0000-0000-000015030000}"/>
    <cellStyle name="20% - Accent5 6 3 2" xfId="14689" xr:uid="{8A9B9CEC-32D1-464A-AED7-7B9A75E86B14}"/>
    <cellStyle name="20% - Accent5 6 4" xfId="10472" xr:uid="{B72CA6F7-C736-4DAC-B09F-C99472BA9866}"/>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B79941AE-074F-4C42-B214-9019FCA32C33}"/>
    <cellStyle name="20% - Accent5 7 2 3" xfId="13030" xr:uid="{42BC8C8F-FB84-4E78-BC13-D80B26309ECB}"/>
    <cellStyle name="20% - Accent5 7 3" xfId="5776" xr:uid="{00000000-0005-0000-0000-000019030000}"/>
    <cellStyle name="20% - Accent5 7 3 2" xfId="15102" xr:uid="{FC795F50-FA5E-4DDD-9538-E715A78FC477}"/>
    <cellStyle name="20% - Accent5 7 4" xfId="10885" xr:uid="{FF221EDA-A93A-4099-95AA-6C6B2E663FDC}"/>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E1115DEC-D473-4744-8637-F125F45DBA22}"/>
    <cellStyle name="20% - Accent5 8 2 3" xfId="13443" xr:uid="{671F663F-A7F9-4430-B93C-35865408CF38}"/>
    <cellStyle name="20% - Accent5 8 3" xfId="6189" xr:uid="{00000000-0005-0000-0000-00001D030000}"/>
    <cellStyle name="20% - Accent5 8 3 2" xfId="15515" xr:uid="{1122241D-4103-4EFC-BE5C-1A91A69E8C12}"/>
    <cellStyle name="20% - Accent5 8 4" xfId="11298" xr:uid="{0EF42E7C-C1BE-4BE7-B94B-9141232D7B57}"/>
    <cellStyle name="20% - Accent5 9" xfId="2296" xr:uid="{00000000-0005-0000-0000-00001E030000}"/>
    <cellStyle name="20% - Accent5 9 2" xfId="6602" xr:uid="{00000000-0005-0000-0000-00001F030000}"/>
    <cellStyle name="20% - Accent5 9 2 2" xfId="15928" xr:uid="{BB760DCB-7A77-4D95-9708-F1624CA232C1}"/>
    <cellStyle name="20% - Accent5 9 3" xfId="11711" xr:uid="{F4BB58AA-A63B-491B-B5EF-375E207CD7F0}"/>
    <cellStyle name="20% - Accent6" xfId="41" builtinId="50" customBuiltin="1"/>
    <cellStyle name="20% - Accent6 10" xfId="4544" xr:uid="{00000000-0005-0000-0000-000021030000}"/>
    <cellStyle name="20% - Accent6 10 2" xfId="13870" xr:uid="{B4694A45-1F03-4C64-8D10-2FC5F12C5D0E}"/>
    <cellStyle name="20% - Accent6 11" xfId="8768" xr:uid="{5A1F1293-A19F-445F-908A-D9DBB6265CA0}"/>
    <cellStyle name="20% - Accent6 11 2" xfId="18091" xr:uid="{1BFA6ECB-3EC7-4820-A520-DE896346B4CF}"/>
    <cellStyle name="20% - Accent6 12" xfId="9653" xr:uid="{01C1F5FF-D49F-4A3A-AFCF-53118EBF1471}"/>
    <cellStyle name="20% - Accent6 2" xfId="42" xr:uid="{00000000-0005-0000-0000-000022030000}"/>
    <cellStyle name="20% - Accent6 2 10" xfId="8795" xr:uid="{9A35B19E-8802-437A-ABDC-7B06A4E07F58}"/>
    <cellStyle name="20% - Accent6 2 10 2" xfId="18118" xr:uid="{12B41663-352D-49C5-B293-C5FD44D3875A}"/>
    <cellStyle name="20% - Accent6 2 11" xfId="9654" xr:uid="{3EE1E2A9-8419-4BDA-A490-1757012ED6E4}"/>
    <cellStyle name="20% - Accent6 2 2" xfId="43" xr:uid="{00000000-0005-0000-0000-000023030000}"/>
    <cellStyle name="20% - Accent6 2 2 10" xfId="9655" xr:uid="{6FF343FF-8527-436E-986E-8C929BFB7371}"/>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352936E7-4D1E-4558-B170-0DEAAD0963FB}"/>
    <cellStyle name="20% - Accent6 2 2 2 2 2 3" xfId="12215" xr:uid="{0DAA56AE-4D07-473D-AEEC-DBE9DF27398A}"/>
    <cellStyle name="20% - Accent6 2 2 2 2 3" xfId="4961" xr:uid="{00000000-0005-0000-0000-000028030000}"/>
    <cellStyle name="20% - Accent6 2 2 2 2 3 2" xfId="14287" xr:uid="{854512D4-103B-4537-ACA9-06D5D9D7CE05}"/>
    <cellStyle name="20% - Accent6 2 2 2 2 4" xfId="9530" xr:uid="{AFD3EE0E-70EF-4C1B-B994-7B8E7E8187BC}"/>
    <cellStyle name="20% - Accent6 2 2 2 2 4 2" xfId="18843" xr:uid="{F818F78D-2B92-42C4-A6DC-CCF85EE71D54}"/>
    <cellStyle name="20% - Accent6 2 2 2 2 5" xfId="10070" xr:uid="{B12266BD-AFEE-4AAC-9FCD-5FB13FE5A134}"/>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2C56D401-F8A2-4494-A4EC-89B8250804C8}"/>
    <cellStyle name="20% - Accent6 2 2 2 3 2 3" xfId="12628" xr:uid="{3ABF2589-1283-4A6C-9EAF-85E4DFC0356E}"/>
    <cellStyle name="20% - Accent6 2 2 2 3 3" xfId="5374" xr:uid="{00000000-0005-0000-0000-00002C030000}"/>
    <cellStyle name="20% - Accent6 2 2 2 3 3 2" xfId="14700" xr:uid="{6C1A3021-EF4F-4CA2-989B-14657848679C}"/>
    <cellStyle name="20% - Accent6 2 2 2 3 4" xfId="10483" xr:uid="{23A4B20F-B387-462B-8247-C65B3851D35E}"/>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15F2CB05-184C-4A57-B2EF-2D30940B40DC}"/>
    <cellStyle name="20% - Accent6 2 2 2 4 2 3" xfId="13041" xr:uid="{7680D987-5DDC-4E50-856B-75173308D7D2}"/>
    <cellStyle name="20% - Accent6 2 2 2 4 3" xfId="5787" xr:uid="{00000000-0005-0000-0000-000030030000}"/>
    <cellStyle name="20% - Accent6 2 2 2 4 3 2" xfId="15113" xr:uid="{ED91CC00-8678-4618-A3EE-4AF65BAF75C9}"/>
    <cellStyle name="20% - Accent6 2 2 2 4 4" xfId="10896" xr:uid="{FC8F6B93-E419-45DC-A51C-CEF0C417F26C}"/>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13EDDD7D-2AA8-4D5D-8FA4-38D5F4856452}"/>
    <cellStyle name="20% - Accent6 2 2 2 5 2 3" xfId="13454" xr:uid="{C08E2DFB-45D1-4463-9B94-39FA0DEB74DD}"/>
    <cellStyle name="20% - Accent6 2 2 2 5 3" xfId="6200" xr:uid="{00000000-0005-0000-0000-000034030000}"/>
    <cellStyle name="20% - Accent6 2 2 2 5 3 2" xfId="15526" xr:uid="{250BC99E-ADC5-489A-9094-BA177C571545}"/>
    <cellStyle name="20% - Accent6 2 2 2 5 4" xfId="11309" xr:uid="{CEB18729-2B09-4058-9593-FE5129AE661C}"/>
    <cellStyle name="20% - Accent6 2 2 2 6" xfId="2307" xr:uid="{00000000-0005-0000-0000-000035030000}"/>
    <cellStyle name="20% - Accent6 2 2 2 6 2" xfId="6613" xr:uid="{00000000-0005-0000-0000-000036030000}"/>
    <cellStyle name="20% - Accent6 2 2 2 6 2 2" xfId="15939" xr:uid="{87EAA1BE-CEAC-48FC-84AD-D98AF4741EF4}"/>
    <cellStyle name="20% - Accent6 2 2 2 6 3" xfId="11722" xr:uid="{D734C05B-CBB7-41E9-905E-A9762C9E3F7B}"/>
    <cellStyle name="20% - Accent6 2 2 2 7" xfId="4547" xr:uid="{00000000-0005-0000-0000-000037030000}"/>
    <cellStyle name="20% - Accent6 2 2 2 7 2" xfId="13873" xr:uid="{4B430D29-C90F-4580-8F12-4914C05C837A}"/>
    <cellStyle name="20% - Accent6 2 2 2 8" xfId="9105" xr:uid="{2D3B6B01-F2FB-4D08-A7F9-9902961EFB46}"/>
    <cellStyle name="20% - Accent6 2 2 2 8 2" xfId="18428" xr:uid="{836EB0DA-5527-4468-98FC-CC29209CD0FE}"/>
    <cellStyle name="20% - Accent6 2 2 2 9" xfId="9656" xr:uid="{9831E223-BF0B-4991-AD83-6DCE0AB592D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A869B49E-A1A7-486A-8A4B-A2032A7DCB0F}"/>
    <cellStyle name="20% - Accent6 2 2 3 2 3" xfId="12214" xr:uid="{D474BB9F-6136-4420-82CC-578C367420FF}"/>
    <cellStyle name="20% - Accent6 2 2 3 3" xfId="4960" xr:uid="{00000000-0005-0000-0000-00003B030000}"/>
    <cellStyle name="20% - Accent6 2 2 3 3 2" xfId="14286" xr:uid="{C610CA24-405E-42B8-B6A9-48A4D082B1B8}"/>
    <cellStyle name="20% - Accent6 2 2 3 4" xfId="9323" xr:uid="{93CC3C58-EC1C-4AC6-8D02-E00EFD80A494}"/>
    <cellStyle name="20% - Accent6 2 2 3 4 2" xfId="18636" xr:uid="{86CE4F6A-3E8B-40C6-A535-EA7A231C6945}"/>
    <cellStyle name="20% - Accent6 2 2 3 5" xfId="10069" xr:uid="{DF2233E5-D4B6-4718-9E91-D03B5E71A7DA}"/>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7BE1E569-FF9F-4E24-A483-21127DB148D3}"/>
    <cellStyle name="20% - Accent6 2 2 4 2 3" xfId="12627" xr:uid="{567D16A6-9F1D-4EE3-8EFD-573991297F5C}"/>
    <cellStyle name="20% - Accent6 2 2 4 3" xfId="5373" xr:uid="{00000000-0005-0000-0000-00003F030000}"/>
    <cellStyle name="20% - Accent6 2 2 4 3 2" xfId="14699" xr:uid="{AF1D2A10-667F-4890-AEDA-2ADA0955999B}"/>
    <cellStyle name="20% - Accent6 2 2 4 4" xfId="10482" xr:uid="{8990997B-1710-412F-B07D-A58FC7B97D63}"/>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CA4071F8-20CC-4887-A4DD-33F3AEFCD2C6}"/>
    <cellStyle name="20% - Accent6 2 2 5 2 3" xfId="13040" xr:uid="{8225A9AB-BA5C-4F01-9D31-A2B9EB0BD728}"/>
    <cellStyle name="20% - Accent6 2 2 5 3" xfId="5786" xr:uid="{00000000-0005-0000-0000-000043030000}"/>
    <cellStyle name="20% - Accent6 2 2 5 3 2" xfId="15112" xr:uid="{591E3271-0375-451A-9C6D-BC506ED59765}"/>
    <cellStyle name="20% - Accent6 2 2 5 4" xfId="10895" xr:uid="{09AC1CBF-96BB-4D1A-8712-6F9A8BD8A344}"/>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E6F58E68-36F6-4479-A0A4-84460CC11BBD}"/>
    <cellStyle name="20% - Accent6 2 2 6 2 3" xfId="13453" xr:uid="{19219374-1A3D-4C15-9D1B-CDC0C0278549}"/>
    <cellStyle name="20% - Accent6 2 2 6 3" xfId="6199" xr:uid="{00000000-0005-0000-0000-000047030000}"/>
    <cellStyle name="20% - Accent6 2 2 6 3 2" xfId="15525" xr:uid="{C4C9E357-3F53-4EA3-A731-555502AA308E}"/>
    <cellStyle name="20% - Accent6 2 2 6 4" xfId="11308" xr:uid="{C96FF9B9-4D11-47F8-AE3D-907BFDC64076}"/>
    <cellStyle name="20% - Accent6 2 2 7" xfId="2306" xr:uid="{00000000-0005-0000-0000-000048030000}"/>
    <cellStyle name="20% - Accent6 2 2 7 2" xfId="6612" xr:uid="{00000000-0005-0000-0000-000049030000}"/>
    <cellStyle name="20% - Accent6 2 2 7 2 2" xfId="15938" xr:uid="{98CC57A3-DEDE-4D2B-8D7C-8148EC5A50BC}"/>
    <cellStyle name="20% - Accent6 2 2 7 3" xfId="11721" xr:uid="{40EE410B-6A4E-473A-8347-C4A77096000D}"/>
    <cellStyle name="20% - Accent6 2 2 8" xfId="4546" xr:uid="{00000000-0005-0000-0000-00004A030000}"/>
    <cellStyle name="20% - Accent6 2 2 8 2" xfId="13872" xr:uid="{D5820065-E016-49B6-A5F3-2D893CE5AAB0}"/>
    <cellStyle name="20% - Accent6 2 2 9" xfId="8898" xr:uid="{88686F75-037F-4072-9BDC-942546C51E8F}"/>
    <cellStyle name="20% - Accent6 2 2 9 2" xfId="18221" xr:uid="{E5F09DD3-951F-4380-AA56-A84C0C692C1B}"/>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24C0462E-2373-428D-BB53-22F582683FFB}"/>
    <cellStyle name="20% - Accent6 2 3 2 2 3" xfId="12216" xr:uid="{79DBB00E-E18D-4A1B-8D83-33711CC0B7FF}"/>
    <cellStyle name="20% - Accent6 2 3 2 3" xfId="4962" xr:uid="{00000000-0005-0000-0000-00004F030000}"/>
    <cellStyle name="20% - Accent6 2 3 2 3 2" xfId="14288" xr:uid="{67E84948-D1BC-4ADB-9002-D7CAF6A73CEE}"/>
    <cellStyle name="20% - Accent6 2 3 2 4" xfId="9427" xr:uid="{009378B6-C0A8-4C7C-A9A2-F91104842D93}"/>
    <cellStyle name="20% - Accent6 2 3 2 4 2" xfId="18740" xr:uid="{AFBABF95-9292-49C2-B67E-4A04F295B259}"/>
    <cellStyle name="20% - Accent6 2 3 2 5" xfId="10071" xr:uid="{D953F16B-0B6E-4869-AD88-65F89CE2BE72}"/>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4ACE44AA-F639-4855-95F1-9C874D715982}"/>
    <cellStyle name="20% - Accent6 2 3 3 2 3" xfId="12629" xr:uid="{939AEED7-76A3-4331-BEFC-9201F87611C0}"/>
    <cellStyle name="20% - Accent6 2 3 3 3" xfId="5375" xr:uid="{00000000-0005-0000-0000-000053030000}"/>
    <cellStyle name="20% - Accent6 2 3 3 3 2" xfId="14701" xr:uid="{81F3699F-030B-490C-A194-1C3F8AC93B25}"/>
    <cellStyle name="20% - Accent6 2 3 3 4" xfId="10484" xr:uid="{2C46398A-0BF0-4BDE-826C-1D9E90C46AB8}"/>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26AA5C56-F265-4DA2-8B1C-830AAB897163}"/>
    <cellStyle name="20% - Accent6 2 3 4 2 3" xfId="13042" xr:uid="{DFFE3EFC-13B5-40FC-9FE6-5D162BF5832C}"/>
    <cellStyle name="20% - Accent6 2 3 4 3" xfId="5788" xr:uid="{00000000-0005-0000-0000-000057030000}"/>
    <cellStyle name="20% - Accent6 2 3 4 3 2" xfId="15114" xr:uid="{7E3D10E9-9283-4C43-A317-B1C842349632}"/>
    <cellStyle name="20% - Accent6 2 3 4 4" xfId="10897" xr:uid="{8CC96C50-13E7-4BE5-85EF-9A4343B68401}"/>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505D975D-2108-4E1B-B740-1FFCD969590B}"/>
    <cellStyle name="20% - Accent6 2 3 5 2 3" xfId="13455" xr:uid="{F3027298-4579-4EC7-9B37-AF38EFEAA713}"/>
    <cellStyle name="20% - Accent6 2 3 5 3" xfId="6201" xr:uid="{00000000-0005-0000-0000-00005B030000}"/>
    <cellStyle name="20% - Accent6 2 3 5 3 2" xfId="15527" xr:uid="{C7EEDB03-0E0F-4079-8707-A01A7B3100CD}"/>
    <cellStyle name="20% - Accent6 2 3 5 4" xfId="11310" xr:uid="{47DA2774-3822-4975-B263-5226FC9926D3}"/>
    <cellStyle name="20% - Accent6 2 3 6" xfId="2308" xr:uid="{00000000-0005-0000-0000-00005C030000}"/>
    <cellStyle name="20% - Accent6 2 3 6 2" xfId="6614" xr:uid="{00000000-0005-0000-0000-00005D030000}"/>
    <cellStyle name="20% - Accent6 2 3 6 2 2" xfId="15940" xr:uid="{61FB8189-114E-47E7-B8D8-5459790AF956}"/>
    <cellStyle name="20% - Accent6 2 3 6 3" xfId="11723" xr:uid="{08166F52-9B00-4213-BC83-0FB6D3A4B2AD}"/>
    <cellStyle name="20% - Accent6 2 3 7" xfId="4548" xr:uid="{00000000-0005-0000-0000-00005E030000}"/>
    <cellStyle name="20% - Accent6 2 3 7 2" xfId="13874" xr:uid="{DCF91762-F612-450D-ACC7-F256DF70E4C5}"/>
    <cellStyle name="20% - Accent6 2 3 8" xfId="9002" xr:uid="{F69877AB-868C-474F-8F88-C5F2F1F2C041}"/>
    <cellStyle name="20% - Accent6 2 3 8 2" xfId="18325" xr:uid="{3227631F-B07E-4519-8FEB-02568E29BF69}"/>
    <cellStyle name="20% - Accent6 2 3 9" xfId="9657" xr:uid="{F6A905B8-086D-4819-ABA5-41B01198AF00}"/>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A630240D-4F8F-41E1-82CD-EAAE11040E32}"/>
    <cellStyle name="20% - Accent6 2 4 2 3" xfId="12213" xr:uid="{0144DE3F-AFD1-4C5F-88BC-AE2C0603E16F}"/>
    <cellStyle name="20% - Accent6 2 4 3" xfId="4959" xr:uid="{00000000-0005-0000-0000-000062030000}"/>
    <cellStyle name="20% - Accent6 2 4 3 2" xfId="14285" xr:uid="{BD07492E-CA0C-459B-9F74-FC85607D44CB}"/>
    <cellStyle name="20% - Accent6 2 4 4" xfId="9219" xr:uid="{C8AD75F8-261B-45C4-93F0-0E0A49EEEF79}"/>
    <cellStyle name="20% - Accent6 2 4 4 2" xfId="18533" xr:uid="{182DCF46-221A-4A8A-B584-5536491B2C92}"/>
    <cellStyle name="20% - Accent6 2 4 5" xfId="10068" xr:uid="{74F972CB-36BE-473F-8322-0EC604EB0018}"/>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083790D4-237B-4A94-B3FF-F7BCE8BB2C54}"/>
    <cellStyle name="20% - Accent6 2 5 2 3" xfId="12626" xr:uid="{F5FE44BB-680E-4420-8771-DF3030DD5294}"/>
    <cellStyle name="20% - Accent6 2 5 3" xfId="5372" xr:uid="{00000000-0005-0000-0000-000066030000}"/>
    <cellStyle name="20% - Accent6 2 5 3 2" xfId="14698" xr:uid="{659965A8-C856-4A98-926F-4A10F25BB83B}"/>
    <cellStyle name="20% - Accent6 2 5 4" xfId="10481" xr:uid="{098335D3-4230-4358-8EA3-DD8C100B3848}"/>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904BE8DD-3027-4AB5-A95A-62FDCCD9CCFB}"/>
    <cellStyle name="20% - Accent6 2 6 2 3" xfId="13039" xr:uid="{7D1522D2-EF79-436D-95A7-C107F52DCB2D}"/>
    <cellStyle name="20% - Accent6 2 6 3" xfId="5785" xr:uid="{00000000-0005-0000-0000-00006A030000}"/>
    <cellStyle name="20% - Accent6 2 6 3 2" xfId="15111" xr:uid="{BB33A4EA-E1A8-475D-8BAA-058C53325A3E}"/>
    <cellStyle name="20% - Accent6 2 6 4" xfId="10894" xr:uid="{2FD72B5B-17AE-4237-B9FB-FF717BC6D95A}"/>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572A38A5-7CAA-47C3-BC4E-94E180151288}"/>
    <cellStyle name="20% - Accent6 2 7 2 3" xfId="13452" xr:uid="{C1038C79-A7DB-4B80-B023-FCB60816A3E5}"/>
    <cellStyle name="20% - Accent6 2 7 3" xfId="6198" xr:uid="{00000000-0005-0000-0000-00006E030000}"/>
    <cellStyle name="20% - Accent6 2 7 3 2" xfId="15524" xr:uid="{A9E20AC3-FBDB-486E-B469-253EB35A9586}"/>
    <cellStyle name="20% - Accent6 2 7 4" xfId="11307" xr:uid="{80EEB4FD-2E68-4602-AA15-D9EF3C254957}"/>
    <cellStyle name="20% - Accent6 2 8" xfId="2305" xr:uid="{00000000-0005-0000-0000-00006F030000}"/>
    <cellStyle name="20% - Accent6 2 8 2" xfId="6611" xr:uid="{00000000-0005-0000-0000-000070030000}"/>
    <cellStyle name="20% - Accent6 2 8 2 2" xfId="15937" xr:uid="{401ADC52-CAE2-44C2-8F3E-94606AEA0ABB}"/>
    <cellStyle name="20% - Accent6 2 8 3" xfId="11720" xr:uid="{292CDDE8-FC43-40B7-8004-F5AD1F3CCA05}"/>
    <cellStyle name="20% - Accent6 2 9" xfId="4545" xr:uid="{00000000-0005-0000-0000-000071030000}"/>
    <cellStyle name="20% - Accent6 2 9 2" xfId="13871" xr:uid="{B4BCADD8-945E-4987-9BFE-9FEC3AC400BB}"/>
    <cellStyle name="20% - Accent6 3" xfId="46" xr:uid="{00000000-0005-0000-0000-000072030000}"/>
    <cellStyle name="20% - Accent6 3 10" xfId="9658" xr:uid="{D3550971-396E-4524-828A-62AB435FAF02}"/>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9C60616B-D5DF-4C20-A0A1-F38C3AAB270D}"/>
    <cellStyle name="20% - Accent6 3 2 2 2 3" xfId="12218" xr:uid="{8CFAA7AB-69A3-4107-A501-1B5D423F2C47}"/>
    <cellStyle name="20% - Accent6 3 2 2 3" xfId="4964" xr:uid="{00000000-0005-0000-0000-000077030000}"/>
    <cellStyle name="20% - Accent6 3 2 2 3 2" xfId="14290" xr:uid="{6C0C2B3C-682A-4B04-AD31-6F5CFB9836B5}"/>
    <cellStyle name="20% - Accent6 3 2 2 4" xfId="9503" xr:uid="{A5A3EDF8-16EA-4A86-8795-C3BA46FE244A}"/>
    <cellStyle name="20% - Accent6 3 2 2 4 2" xfId="18816" xr:uid="{AE2BAE3E-2019-42A9-838F-58DED2E18D9E}"/>
    <cellStyle name="20% - Accent6 3 2 2 5" xfId="10073" xr:uid="{DA49247A-DC6D-4CD3-9386-7FB4A92FBE9E}"/>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361880AB-B617-4E1D-BE39-C56100C2F467}"/>
    <cellStyle name="20% - Accent6 3 2 3 2 3" xfId="12631" xr:uid="{5A9859D6-E9B4-45F0-87D8-6F9404D2680F}"/>
    <cellStyle name="20% - Accent6 3 2 3 3" xfId="5377" xr:uid="{00000000-0005-0000-0000-00007B030000}"/>
    <cellStyle name="20% - Accent6 3 2 3 3 2" xfId="14703" xr:uid="{CD8E7890-63BC-4C5B-BA91-EDBFDEEE0CED}"/>
    <cellStyle name="20% - Accent6 3 2 3 4" xfId="10486" xr:uid="{DDE6B029-346F-4EDD-B106-7CF2A1312043}"/>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008D123E-444F-4DA5-9E3B-D46A51874C6D}"/>
    <cellStyle name="20% - Accent6 3 2 4 2 3" xfId="13044" xr:uid="{8C8DA69C-40A6-4D54-B423-7B38D9685A6B}"/>
    <cellStyle name="20% - Accent6 3 2 4 3" xfId="5790" xr:uid="{00000000-0005-0000-0000-00007F030000}"/>
    <cellStyle name="20% - Accent6 3 2 4 3 2" xfId="15116" xr:uid="{E6DD3098-362D-487C-B993-A22EEF154CC2}"/>
    <cellStyle name="20% - Accent6 3 2 4 4" xfId="10899" xr:uid="{CFE9AE6D-4376-461A-AB37-A4FE2696DA11}"/>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5FB9AE9E-7C96-4BFF-9531-39AC19A31832}"/>
    <cellStyle name="20% - Accent6 3 2 5 2 3" xfId="13457" xr:uid="{F35B7589-E8C1-4A68-82BE-9C5CA7542D2F}"/>
    <cellStyle name="20% - Accent6 3 2 5 3" xfId="6203" xr:uid="{00000000-0005-0000-0000-000083030000}"/>
    <cellStyle name="20% - Accent6 3 2 5 3 2" xfId="15529" xr:uid="{54B3CF6B-A49C-4AC6-8734-A64E037C2FFC}"/>
    <cellStyle name="20% - Accent6 3 2 5 4" xfId="11312" xr:uid="{674B4CCD-0F35-4D43-8F0F-5FD8F1EB1DDE}"/>
    <cellStyle name="20% - Accent6 3 2 6" xfId="2310" xr:uid="{00000000-0005-0000-0000-000084030000}"/>
    <cellStyle name="20% - Accent6 3 2 6 2" xfId="6616" xr:uid="{00000000-0005-0000-0000-000085030000}"/>
    <cellStyle name="20% - Accent6 3 2 6 2 2" xfId="15942" xr:uid="{BCD81CE6-0369-4942-81CB-47A534B01AA5}"/>
    <cellStyle name="20% - Accent6 3 2 6 3" xfId="11725" xr:uid="{1B9B2590-AB0A-4596-BBF0-EDFED5D2FFE8}"/>
    <cellStyle name="20% - Accent6 3 2 7" xfId="4550" xr:uid="{00000000-0005-0000-0000-000086030000}"/>
    <cellStyle name="20% - Accent6 3 2 7 2" xfId="13876" xr:uid="{C5A62DE5-0AC8-4237-BB28-CEFF1EABAAF6}"/>
    <cellStyle name="20% - Accent6 3 2 8" xfId="9078" xr:uid="{55C63253-C10A-44F0-A9A1-D3E9AD1B1E77}"/>
    <cellStyle name="20% - Accent6 3 2 8 2" xfId="18401" xr:uid="{B7AE27AD-9DA7-463A-B505-234BC97C7705}"/>
    <cellStyle name="20% - Accent6 3 2 9" xfId="9659" xr:uid="{0278DB36-03B9-41AF-809D-6D122150A6D1}"/>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9C45451D-22A5-45D7-A9DC-85C412D2C84D}"/>
    <cellStyle name="20% - Accent6 3 3 2 3" xfId="12217" xr:uid="{B21B90DE-E2E1-4BEC-8AC6-030617ABB259}"/>
    <cellStyle name="20% - Accent6 3 3 3" xfId="4963" xr:uid="{00000000-0005-0000-0000-00008A030000}"/>
    <cellStyle name="20% - Accent6 3 3 3 2" xfId="14289" xr:uid="{96E0E3C8-F5F8-4C10-B5A5-449A99DAC0C3}"/>
    <cellStyle name="20% - Accent6 3 3 4" xfId="9296" xr:uid="{68DBDAD1-945F-459A-93CE-56D312D1EDE4}"/>
    <cellStyle name="20% - Accent6 3 3 4 2" xfId="18609" xr:uid="{2C7E13DD-63CD-4EAF-BE09-C1ECE306E51E}"/>
    <cellStyle name="20% - Accent6 3 3 5" xfId="10072" xr:uid="{5A333A0D-7C44-4B8D-BE8C-CDC34393D719}"/>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392530A1-56A3-4674-BE71-6EAE2E15C909}"/>
    <cellStyle name="20% - Accent6 3 4 2 3" xfId="12630" xr:uid="{F5765D0D-61A3-42FB-A577-AC6E20EC6EDA}"/>
    <cellStyle name="20% - Accent6 3 4 3" xfId="5376" xr:uid="{00000000-0005-0000-0000-00008E030000}"/>
    <cellStyle name="20% - Accent6 3 4 3 2" xfId="14702" xr:uid="{265C5506-815C-43C1-9F55-59C43617D370}"/>
    <cellStyle name="20% - Accent6 3 4 4" xfId="10485" xr:uid="{867B57AF-B304-4CC4-A324-E521F40DBE67}"/>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8D2D1FDF-3688-42E6-8E43-D6035729FF75}"/>
    <cellStyle name="20% - Accent6 3 5 2 3" xfId="13043" xr:uid="{9C7090A1-2EA0-47BF-B429-000D23E7D4FD}"/>
    <cellStyle name="20% - Accent6 3 5 3" xfId="5789" xr:uid="{00000000-0005-0000-0000-000092030000}"/>
    <cellStyle name="20% - Accent6 3 5 3 2" xfId="15115" xr:uid="{A55051A3-961D-4F8B-B7E3-01996C2DE9E6}"/>
    <cellStyle name="20% - Accent6 3 5 4" xfId="10898" xr:uid="{E32A4822-DC30-464E-AC8F-3D8107F1C0DA}"/>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BDEE272C-BB02-4DE4-AA82-5C23BEE8A218}"/>
    <cellStyle name="20% - Accent6 3 6 2 3" xfId="13456" xr:uid="{9E5CCAAD-4273-4C97-8DBF-0D21742B9B3C}"/>
    <cellStyle name="20% - Accent6 3 6 3" xfId="6202" xr:uid="{00000000-0005-0000-0000-000096030000}"/>
    <cellStyle name="20% - Accent6 3 6 3 2" xfId="15528" xr:uid="{E74E41B2-E8F1-4524-BF1A-4F90C6F6DB73}"/>
    <cellStyle name="20% - Accent6 3 6 4" xfId="11311" xr:uid="{E3736688-7357-4BA8-938A-45DAA94ADC00}"/>
    <cellStyle name="20% - Accent6 3 7" xfId="2309" xr:uid="{00000000-0005-0000-0000-000097030000}"/>
    <cellStyle name="20% - Accent6 3 7 2" xfId="6615" xr:uid="{00000000-0005-0000-0000-000098030000}"/>
    <cellStyle name="20% - Accent6 3 7 2 2" xfId="15941" xr:uid="{FEF05F68-8945-4CB8-B91A-885EC366E420}"/>
    <cellStyle name="20% - Accent6 3 7 3" xfId="11724" xr:uid="{0682050B-161F-4C21-97B2-FA4023537BD1}"/>
    <cellStyle name="20% - Accent6 3 8" xfId="4549" xr:uid="{00000000-0005-0000-0000-000099030000}"/>
    <cellStyle name="20% - Accent6 3 8 2" xfId="13875" xr:uid="{A6BAD903-35BA-4930-829A-2AE965CD9D2C}"/>
    <cellStyle name="20% - Accent6 3 9" xfId="8871" xr:uid="{6A653046-C3D6-46DC-9DAA-DA1241CBE9F0}"/>
    <cellStyle name="20% - Accent6 3 9 2" xfId="18194" xr:uid="{5E45A9A2-AF0D-4D51-8599-8006FC6C13ED}"/>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BB34F0A8-3FDE-40FE-89BE-63A435AA30E8}"/>
    <cellStyle name="20% - Accent6 4 2 2 3" xfId="12219" xr:uid="{0DBA441D-EDAF-4D0D-B897-237AE06A2BFF}"/>
    <cellStyle name="20% - Accent6 4 2 3" xfId="4965" xr:uid="{00000000-0005-0000-0000-00009E030000}"/>
    <cellStyle name="20% - Accent6 4 2 3 2" xfId="14291" xr:uid="{B3230690-7927-4C37-A9F6-80DD16E33EA2}"/>
    <cellStyle name="20% - Accent6 4 2 4" xfId="9382" xr:uid="{704ED43C-A59A-4E80-A03F-B933767E3A55}"/>
    <cellStyle name="20% - Accent6 4 2 4 2" xfId="18695" xr:uid="{725E2F6D-F744-4B16-8C0B-70232BF662CB}"/>
    <cellStyle name="20% - Accent6 4 2 5" xfId="10074" xr:uid="{86FBA7FE-173D-4858-A5A9-3C656C8119B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C08712C1-156D-49AD-9A87-6237334F2917}"/>
    <cellStyle name="20% - Accent6 4 3 2 3" xfId="12632" xr:uid="{9BC20711-8B37-4F13-A92E-C6BC38B89B46}"/>
    <cellStyle name="20% - Accent6 4 3 3" xfId="5378" xr:uid="{00000000-0005-0000-0000-0000A2030000}"/>
    <cellStyle name="20% - Accent6 4 3 3 2" xfId="14704" xr:uid="{3D3861A3-FD4D-4894-9D94-6C16810BEADA}"/>
    <cellStyle name="20% - Accent6 4 3 4" xfId="10487" xr:uid="{791B7C6A-9BE9-43A0-9CFE-3B52D376258D}"/>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8AB78112-6486-4777-A6C2-BF8FC07829DF}"/>
    <cellStyle name="20% - Accent6 4 4 2 3" xfId="13045" xr:uid="{3205B122-733D-4B8D-8A72-8C50F67284BF}"/>
    <cellStyle name="20% - Accent6 4 4 3" xfId="5791" xr:uid="{00000000-0005-0000-0000-0000A6030000}"/>
    <cellStyle name="20% - Accent6 4 4 3 2" xfId="15117" xr:uid="{2AC870EF-EA57-4BD3-AC39-23B8AFF1298A}"/>
    <cellStyle name="20% - Accent6 4 4 4" xfId="10900" xr:uid="{EFF68E11-B1C7-4C04-B83E-B04A684C2335}"/>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B9ED1ACF-AFBE-4257-AFA0-E519A8C655B8}"/>
    <cellStyle name="20% - Accent6 4 5 2 3" xfId="13458" xr:uid="{7A93E15F-5603-4303-9FF7-D25ADFEC70E8}"/>
    <cellStyle name="20% - Accent6 4 5 3" xfId="6204" xr:uid="{00000000-0005-0000-0000-0000AA030000}"/>
    <cellStyle name="20% - Accent6 4 5 3 2" xfId="15530" xr:uid="{A788F533-89EF-45C3-9629-F981E7C05C2F}"/>
    <cellStyle name="20% - Accent6 4 5 4" xfId="11313" xr:uid="{203D1546-BCEC-46EF-B6A3-CC703502EF2C}"/>
    <cellStyle name="20% - Accent6 4 6" xfId="2311" xr:uid="{00000000-0005-0000-0000-0000AB030000}"/>
    <cellStyle name="20% - Accent6 4 6 2" xfId="6617" xr:uid="{00000000-0005-0000-0000-0000AC030000}"/>
    <cellStyle name="20% - Accent6 4 6 2 2" xfId="15943" xr:uid="{C340E671-2586-4CDB-A751-7665BE9570E8}"/>
    <cellStyle name="20% - Accent6 4 6 3" xfId="11726" xr:uid="{3EEF4323-FACF-4B45-B9C6-5B75F20452D2}"/>
    <cellStyle name="20% - Accent6 4 7" xfId="4551" xr:uid="{00000000-0005-0000-0000-0000AD030000}"/>
    <cellStyle name="20% - Accent6 4 7 2" xfId="13877" xr:uid="{9AC07D76-1ABA-41E6-BE37-273E99ADB1B6}"/>
    <cellStyle name="20% - Accent6 4 8" xfId="8957" xr:uid="{03E1DA3A-6A3F-4C0D-9844-2D38E7BA13BC}"/>
    <cellStyle name="20% - Accent6 4 8 2" xfId="18280" xr:uid="{66866CEA-9C71-470E-8F90-01A88B70B484}"/>
    <cellStyle name="20% - Accent6 4 9" xfId="9660" xr:uid="{F06DBDAE-8BAB-4147-B8FC-DF14FB2833A7}"/>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DBEDEA19-CD12-431F-ADD9-F5A2E810EE64}"/>
    <cellStyle name="20% - Accent6 5 2 3" xfId="12212" xr:uid="{D022B185-3372-492C-B8A7-BCF256C4FD38}"/>
    <cellStyle name="20% - Accent6 5 3" xfId="4958" xr:uid="{00000000-0005-0000-0000-0000B1030000}"/>
    <cellStyle name="20% - Accent6 5 3 2" xfId="14284" xr:uid="{197A46B2-818D-40C2-AF30-704EB0939F25}"/>
    <cellStyle name="20% - Accent6 5 4" xfId="9191" xr:uid="{C812E2E5-5572-4E86-9CB6-C7C53792C044}"/>
    <cellStyle name="20% - Accent6 5 4 2" xfId="18506" xr:uid="{6C1A24DE-447A-4A02-8C28-E9AC21DBC311}"/>
    <cellStyle name="20% - Accent6 5 5" xfId="10067" xr:uid="{F13E46A1-F576-4B6E-9F92-6D5C1D8AECBE}"/>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EB463D58-3A44-4A60-90B6-91930D10C4EF}"/>
    <cellStyle name="20% - Accent6 6 2 3" xfId="12625" xr:uid="{D33996FC-DEA0-4166-9943-A058AC3FE53A}"/>
    <cellStyle name="20% - Accent6 6 3" xfId="5371" xr:uid="{00000000-0005-0000-0000-0000B5030000}"/>
    <cellStyle name="20% - Accent6 6 3 2" xfId="14697" xr:uid="{989F594C-4EBA-43EF-A6EE-F5019D6B0E1F}"/>
    <cellStyle name="20% - Accent6 6 4" xfId="10480" xr:uid="{E7B3C384-3233-4DFF-8704-87E7335C2F7F}"/>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AC4AFCE7-1516-4800-A54D-DD350AAF2770}"/>
    <cellStyle name="20% - Accent6 7 2 3" xfId="13038" xr:uid="{C2E022CE-2CA1-44E8-9CA9-AAFA78A10C7F}"/>
    <cellStyle name="20% - Accent6 7 3" xfId="5784" xr:uid="{00000000-0005-0000-0000-0000B9030000}"/>
    <cellStyle name="20% - Accent6 7 3 2" xfId="15110" xr:uid="{1C99C5BA-1807-45FB-B414-44A48B037F98}"/>
    <cellStyle name="20% - Accent6 7 4" xfId="10893" xr:uid="{BB04C01F-6886-4338-936D-AB0E952C732A}"/>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46A1BC6D-62CC-4340-81DC-FB1F6143E8D9}"/>
    <cellStyle name="20% - Accent6 8 2 3" xfId="13451" xr:uid="{C1B7C1E1-54A9-40EB-9CE1-4F18438D9D1F}"/>
    <cellStyle name="20% - Accent6 8 3" xfId="6197" xr:uid="{00000000-0005-0000-0000-0000BD030000}"/>
    <cellStyle name="20% - Accent6 8 3 2" xfId="15523" xr:uid="{7DA18E61-2AF3-4E69-8CE8-6992CFC8ED0F}"/>
    <cellStyle name="20% - Accent6 8 4" xfId="11306" xr:uid="{2A10217A-1EBA-4242-B268-602A88013553}"/>
    <cellStyle name="20% - Accent6 9" xfId="2304" xr:uid="{00000000-0005-0000-0000-0000BE030000}"/>
    <cellStyle name="20% - Accent6 9 2" xfId="6610" xr:uid="{00000000-0005-0000-0000-0000BF030000}"/>
    <cellStyle name="20% - Accent6 9 2 2" xfId="15936" xr:uid="{4265C526-035E-4828-A962-588D8037BD6D}"/>
    <cellStyle name="20% - Accent6 9 3" xfId="11719" xr:uid="{F8CE1FE2-D9DD-4975-BEBA-842192ED034E}"/>
    <cellStyle name="40% - Accent1" xfId="49" builtinId="31" customBuiltin="1"/>
    <cellStyle name="40% - Accent1 10" xfId="4552" xr:uid="{00000000-0005-0000-0000-0000C1030000}"/>
    <cellStyle name="40% - Accent1 10 2" xfId="13878" xr:uid="{78E5D309-BD21-4C6B-BA2E-C4D9AC3EF997}"/>
    <cellStyle name="40% - Accent1 11" xfId="8759" xr:uid="{E0AA4078-00FF-4C00-81ED-1F048AC6C533}"/>
    <cellStyle name="40% - Accent1 11 2" xfId="18082" xr:uid="{58875ADF-DDFF-4A8F-96A0-56E1F720BCC5}"/>
    <cellStyle name="40% - Accent1 12" xfId="9661" xr:uid="{C2298911-9C6B-44D1-97D5-3F4E4490EC05}"/>
    <cellStyle name="40% - Accent1 2" xfId="50" xr:uid="{00000000-0005-0000-0000-0000C2030000}"/>
    <cellStyle name="40% - Accent1 2 10" xfId="8798" xr:uid="{82026451-631C-40CA-BC49-BE5DA2EA921A}"/>
    <cellStyle name="40% - Accent1 2 10 2" xfId="18121" xr:uid="{10ABFEC8-955E-42B2-9CFF-B596B975B0B7}"/>
    <cellStyle name="40% - Accent1 2 11" xfId="9662" xr:uid="{733B66FD-047F-413F-B64F-56556D5943CA}"/>
    <cellStyle name="40% - Accent1 2 2" xfId="51" xr:uid="{00000000-0005-0000-0000-0000C3030000}"/>
    <cellStyle name="40% - Accent1 2 2 10" xfId="9663" xr:uid="{2D86579D-E407-4151-976B-5021EB971869}"/>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8D71A19F-ECDC-4E23-9D17-CC76A408A3E3}"/>
    <cellStyle name="40% - Accent1 2 2 2 2 2 3" xfId="12223" xr:uid="{A2AC9633-03C8-47F4-952F-69E012DED422}"/>
    <cellStyle name="40% - Accent1 2 2 2 2 3" xfId="4969" xr:uid="{00000000-0005-0000-0000-0000C8030000}"/>
    <cellStyle name="40% - Accent1 2 2 2 2 3 2" xfId="14295" xr:uid="{D6AC279A-B8F9-4D64-9665-013909A7FB59}"/>
    <cellStyle name="40% - Accent1 2 2 2 2 4" xfId="9533" xr:uid="{757B5AC4-115E-4B90-B4EA-505C31F9B178}"/>
    <cellStyle name="40% - Accent1 2 2 2 2 4 2" xfId="18846" xr:uid="{93FB4FB9-7903-47E4-A184-4F31F2CD7C27}"/>
    <cellStyle name="40% - Accent1 2 2 2 2 5" xfId="10078" xr:uid="{AA0FD30D-4413-4467-A7B8-C325D67A7046}"/>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1D00AF32-1744-4015-BB1B-DE996830D8EB}"/>
    <cellStyle name="40% - Accent1 2 2 2 3 2 3" xfId="12636" xr:uid="{590F2930-7C3E-44DB-9A2F-80DC64331950}"/>
    <cellStyle name="40% - Accent1 2 2 2 3 3" xfId="5382" xr:uid="{00000000-0005-0000-0000-0000CC030000}"/>
    <cellStyle name="40% - Accent1 2 2 2 3 3 2" xfId="14708" xr:uid="{B1D86F1E-7676-4390-9B54-22A37FD9D80C}"/>
    <cellStyle name="40% - Accent1 2 2 2 3 4" xfId="10491" xr:uid="{024072BF-64E0-4E0E-9202-A377876CC56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020F23B3-286D-40D9-8F2C-98746269C9C7}"/>
    <cellStyle name="40% - Accent1 2 2 2 4 2 3" xfId="13049" xr:uid="{F7213646-28B1-4E50-92BE-FAD6A5ACC479}"/>
    <cellStyle name="40% - Accent1 2 2 2 4 3" xfId="5795" xr:uid="{00000000-0005-0000-0000-0000D0030000}"/>
    <cellStyle name="40% - Accent1 2 2 2 4 3 2" xfId="15121" xr:uid="{313F4516-4320-4429-BEFE-AB5B271091D4}"/>
    <cellStyle name="40% - Accent1 2 2 2 4 4" xfId="10904" xr:uid="{2B484B2E-A896-4036-A51C-AC2694AFD637}"/>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25004FA6-CE79-4201-ADB8-3142B9BD98A9}"/>
    <cellStyle name="40% - Accent1 2 2 2 5 2 3" xfId="13462" xr:uid="{449DB43F-2108-4B57-8C43-01921490C06B}"/>
    <cellStyle name="40% - Accent1 2 2 2 5 3" xfId="6208" xr:uid="{00000000-0005-0000-0000-0000D4030000}"/>
    <cellStyle name="40% - Accent1 2 2 2 5 3 2" xfId="15534" xr:uid="{F4BB47F3-D7DC-4A88-BE38-37249CFC5DE7}"/>
    <cellStyle name="40% - Accent1 2 2 2 5 4" xfId="11317" xr:uid="{EB383BD1-F84E-4109-A53E-C165A98EDE43}"/>
    <cellStyle name="40% - Accent1 2 2 2 6" xfId="2315" xr:uid="{00000000-0005-0000-0000-0000D5030000}"/>
    <cellStyle name="40% - Accent1 2 2 2 6 2" xfId="6621" xr:uid="{00000000-0005-0000-0000-0000D6030000}"/>
    <cellStyle name="40% - Accent1 2 2 2 6 2 2" xfId="15947" xr:uid="{7A937AED-44F9-4863-9D5D-1E261AE72A78}"/>
    <cellStyle name="40% - Accent1 2 2 2 6 3" xfId="11730" xr:uid="{7E770C89-444D-494D-9465-7FBDF98B43A4}"/>
    <cellStyle name="40% - Accent1 2 2 2 7" xfId="4555" xr:uid="{00000000-0005-0000-0000-0000D7030000}"/>
    <cellStyle name="40% - Accent1 2 2 2 7 2" xfId="13881" xr:uid="{3AE81222-B4B5-47F4-83E2-B171F70260B9}"/>
    <cellStyle name="40% - Accent1 2 2 2 8" xfId="9108" xr:uid="{1189B5E8-DD3C-4F9A-ACD3-DB853C0AC60B}"/>
    <cellStyle name="40% - Accent1 2 2 2 8 2" xfId="18431" xr:uid="{0E4C881D-65A3-4346-86F1-AE7A5CECCD47}"/>
    <cellStyle name="40% - Accent1 2 2 2 9" xfId="9664" xr:uid="{3087562B-022C-4991-B05E-808F1534E698}"/>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E75F3836-0738-4649-9906-C0FA91E1CD27}"/>
    <cellStyle name="40% - Accent1 2 2 3 2 3" xfId="12222" xr:uid="{39EF462F-9A89-464B-8FE1-B15023F1E16F}"/>
    <cellStyle name="40% - Accent1 2 2 3 3" xfId="4968" xr:uid="{00000000-0005-0000-0000-0000DB030000}"/>
    <cellStyle name="40% - Accent1 2 2 3 3 2" xfId="14294" xr:uid="{DF826BB1-0FA4-48D5-A83B-58187D6F3E5A}"/>
    <cellStyle name="40% - Accent1 2 2 3 4" xfId="9326" xr:uid="{6D693950-F4D3-4A82-8C01-49E2379281D4}"/>
    <cellStyle name="40% - Accent1 2 2 3 4 2" xfId="18639" xr:uid="{B70082B3-BA62-4C7F-B960-8A0D5A633454}"/>
    <cellStyle name="40% - Accent1 2 2 3 5" xfId="10077" xr:uid="{74085701-8C31-437B-BFD0-17F088C3A301}"/>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08DB3811-FDE2-487B-BD3B-C54280D950D3}"/>
    <cellStyle name="40% - Accent1 2 2 4 2 3" xfId="12635" xr:uid="{B574ED24-D589-4B1E-AF4B-6F279BF0ECB3}"/>
    <cellStyle name="40% - Accent1 2 2 4 3" xfId="5381" xr:uid="{00000000-0005-0000-0000-0000DF030000}"/>
    <cellStyle name="40% - Accent1 2 2 4 3 2" xfId="14707" xr:uid="{F97746F7-8FF7-4780-B7C8-3EC83E9E703C}"/>
    <cellStyle name="40% - Accent1 2 2 4 4" xfId="10490" xr:uid="{E70C55BF-85AA-4084-8C08-EE1991519066}"/>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8113535F-B229-4193-B84B-0753DB7986AC}"/>
    <cellStyle name="40% - Accent1 2 2 5 2 3" xfId="13048" xr:uid="{CBFD29E4-18A0-4926-B3AE-B80033C0E6E2}"/>
    <cellStyle name="40% - Accent1 2 2 5 3" xfId="5794" xr:uid="{00000000-0005-0000-0000-0000E3030000}"/>
    <cellStyle name="40% - Accent1 2 2 5 3 2" xfId="15120" xr:uid="{F0BAC98F-C75C-420D-8344-2F5E4F04F321}"/>
    <cellStyle name="40% - Accent1 2 2 5 4" xfId="10903" xr:uid="{9C68D0C1-1FE1-4D25-9319-2F469926FE0D}"/>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A50DAFDE-B7E8-477A-9B77-5DF70D0A49B2}"/>
    <cellStyle name="40% - Accent1 2 2 6 2 3" xfId="13461" xr:uid="{7BBC2858-D9A3-4BD1-B458-A25F3A8B19E5}"/>
    <cellStyle name="40% - Accent1 2 2 6 3" xfId="6207" xr:uid="{00000000-0005-0000-0000-0000E7030000}"/>
    <cellStyle name="40% - Accent1 2 2 6 3 2" xfId="15533" xr:uid="{D551CF99-BE6D-4A47-B6AE-80105916149A}"/>
    <cellStyle name="40% - Accent1 2 2 6 4" xfId="11316" xr:uid="{F5BE8568-EDBC-4046-8689-0B306A569B42}"/>
    <cellStyle name="40% - Accent1 2 2 7" xfId="2314" xr:uid="{00000000-0005-0000-0000-0000E8030000}"/>
    <cellStyle name="40% - Accent1 2 2 7 2" xfId="6620" xr:uid="{00000000-0005-0000-0000-0000E9030000}"/>
    <cellStyle name="40% - Accent1 2 2 7 2 2" xfId="15946" xr:uid="{8243317B-2B9A-4E55-A844-237D467C32E8}"/>
    <cellStyle name="40% - Accent1 2 2 7 3" xfId="11729" xr:uid="{5340F1C4-B865-4ED6-8FFF-2CF61B2D6DD1}"/>
    <cellStyle name="40% - Accent1 2 2 8" xfId="4554" xr:uid="{00000000-0005-0000-0000-0000EA030000}"/>
    <cellStyle name="40% - Accent1 2 2 8 2" xfId="13880" xr:uid="{B6BEC9E6-A6C8-44E3-826B-BAACAC5558EE}"/>
    <cellStyle name="40% - Accent1 2 2 9" xfId="8901" xr:uid="{10130317-AF31-4351-8201-FD8BD447EA3C}"/>
    <cellStyle name="40% - Accent1 2 2 9 2" xfId="18224" xr:uid="{34F947BA-ADB7-4BEE-8794-9A3EE54787F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2EFC0B2D-58FF-4090-833F-2F41B3DC4E14}"/>
    <cellStyle name="40% - Accent1 2 3 2 2 3" xfId="12224" xr:uid="{A5CDB776-AF8B-451C-BF00-B311A0E861AD}"/>
    <cellStyle name="40% - Accent1 2 3 2 3" xfId="4970" xr:uid="{00000000-0005-0000-0000-0000EF030000}"/>
    <cellStyle name="40% - Accent1 2 3 2 3 2" xfId="14296" xr:uid="{8F26AC19-8A8F-4E03-A777-AFB88E21D132}"/>
    <cellStyle name="40% - Accent1 2 3 2 4" xfId="9430" xr:uid="{C79D1FB2-141C-4301-8F37-B3B9643C0550}"/>
    <cellStyle name="40% - Accent1 2 3 2 4 2" xfId="18743" xr:uid="{59B49311-02A3-4FC3-8069-618000F31CEB}"/>
    <cellStyle name="40% - Accent1 2 3 2 5" xfId="10079" xr:uid="{73C582E5-E697-4652-B1B2-2CBB61D79D9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FDE36B33-3605-4D02-9415-4D4C6B5EFB58}"/>
    <cellStyle name="40% - Accent1 2 3 3 2 3" xfId="12637" xr:uid="{A8FACDEB-4F1B-4347-B712-F87186B48EF5}"/>
    <cellStyle name="40% - Accent1 2 3 3 3" xfId="5383" xr:uid="{00000000-0005-0000-0000-0000F3030000}"/>
    <cellStyle name="40% - Accent1 2 3 3 3 2" xfId="14709" xr:uid="{AC2DA57D-1567-4D51-98F3-78175C641AF8}"/>
    <cellStyle name="40% - Accent1 2 3 3 4" xfId="10492" xr:uid="{2B682A5E-8167-481B-8EE3-D14AF03E566D}"/>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CC08142F-A69D-47F5-9F3B-862D6985561F}"/>
    <cellStyle name="40% - Accent1 2 3 4 2 3" xfId="13050" xr:uid="{2CAA02E2-74D7-49C1-B6BF-9BDC84F26158}"/>
    <cellStyle name="40% - Accent1 2 3 4 3" xfId="5796" xr:uid="{00000000-0005-0000-0000-0000F7030000}"/>
    <cellStyle name="40% - Accent1 2 3 4 3 2" xfId="15122" xr:uid="{5EE7CA63-A835-474B-9275-4656A7373022}"/>
    <cellStyle name="40% - Accent1 2 3 4 4" xfId="10905" xr:uid="{6D48FA16-A2B1-41E7-B256-95E4E199B25C}"/>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8A43208E-1B59-46D6-9A6D-F3E293A1DB30}"/>
    <cellStyle name="40% - Accent1 2 3 5 2 3" xfId="13463" xr:uid="{3DAE9EC1-3241-4B81-85BD-05841C48A06C}"/>
    <cellStyle name="40% - Accent1 2 3 5 3" xfId="6209" xr:uid="{00000000-0005-0000-0000-0000FB030000}"/>
    <cellStyle name="40% - Accent1 2 3 5 3 2" xfId="15535" xr:uid="{607BF812-AC92-489E-82E2-F1578BB07391}"/>
    <cellStyle name="40% - Accent1 2 3 5 4" xfId="11318" xr:uid="{FC2E9D69-FF07-4121-A35C-972F8C1E444B}"/>
    <cellStyle name="40% - Accent1 2 3 6" xfId="2316" xr:uid="{00000000-0005-0000-0000-0000FC030000}"/>
    <cellStyle name="40% - Accent1 2 3 6 2" xfId="6622" xr:uid="{00000000-0005-0000-0000-0000FD030000}"/>
    <cellStyle name="40% - Accent1 2 3 6 2 2" xfId="15948" xr:uid="{5DA42536-D659-4E5D-B3E2-1FF457CF5555}"/>
    <cellStyle name="40% - Accent1 2 3 6 3" xfId="11731" xr:uid="{16D7CAF0-2A38-4CD3-AE7E-8371E64959C5}"/>
    <cellStyle name="40% - Accent1 2 3 7" xfId="4556" xr:uid="{00000000-0005-0000-0000-0000FE030000}"/>
    <cellStyle name="40% - Accent1 2 3 7 2" xfId="13882" xr:uid="{59D7AD5C-9131-42FF-9B4F-9D96FD1C772F}"/>
    <cellStyle name="40% - Accent1 2 3 8" xfId="9005" xr:uid="{83AF69B9-664F-4E19-B721-7989C2FEBC0C}"/>
    <cellStyle name="40% - Accent1 2 3 8 2" xfId="18328" xr:uid="{3FA2B85B-66AE-42C3-BB04-428DE63AF972}"/>
    <cellStyle name="40% - Accent1 2 3 9" xfId="9665" xr:uid="{BDBFF21D-C857-4109-AB6F-535514147FD9}"/>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C2682FF3-3FAA-4B84-9B76-9023F9FB6DC8}"/>
    <cellStyle name="40% - Accent1 2 4 2 3" xfId="12221" xr:uid="{84B00FCD-F450-4533-B2AB-55D405ADA78A}"/>
    <cellStyle name="40% - Accent1 2 4 3" xfId="4967" xr:uid="{00000000-0005-0000-0000-000002040000}"/>
    <cellStyle name="40% - Accent1 2 4 3 2" xfId="14293" xr:uid="{07C08CE4-044A-417A-BD33-4C371B47610E}"/>
    <cellStyle name="40% - Accent1 2 4 4" xfId="9222" xr:uid="{A6B83122-AC98-4E58-AA4D-EC5ECC38FC6B}"/>
    <cellStyle name="40% - Accent1 2 4 4 2" xfId="18536" xr:uid="{3F80D190-195C-4CEB-8B65-7BEC139BC8DD}"/>
    <cellStyle name="40% - Accent1 2 4 5" xfId="10076" xr:uid="{BEA77A68-8031-46F7-ABCE-077316413124}"/>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8A7AF02F-97DB-4C96-A81A-4E88629D48B1}"/>
    <cellStyle name="40% - Accent1 2 5 2 3" xfId="12634" xr:uid="{B9D73BC5-FC65-4F07-8DDE-8FC5D57E16D1}"/>
    <cellStyle name="40% - Accent1 2 5 3" xfId="5380" xr:uid="{00000000-0005-0000-0000-000006040000}"/>
    <cellStyle name="40% - Accent1 2 5 3 2" xfId="14706" xr:uid="{047C5C3E-3524-4980-99C6-E550730C9817}"/>
    <cellStyle name="40% - Accent1 2 5 4" xfId="10489" xr:uid="{4322FBCC-92EE-41D6-8383-D8444BC1F157}"/>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944A65E6-4BF5-41FE-A442-7E8200FBDAE0}"/>
    <cellStyle name="40% - Accent1 2 6 2 3" xfId="13047" xr:uid="{C94793B8-922E-4751-95CA-C10D17B45034}"/>
    <cellStyle name="40% - Accent1 2 6 3" xfId="5793" xr:uid="{00000000-0005-0000-0000-00000A040000}"/>
    <cellStyle name="40% - Accent1 2 6 3 2" xfId="15119" xr:uid="{8CAD6C89-0CBE-49A2-B144-5E3E3FF61F99}"/>
    <cellStyle name="40% - Accent1 2 6 4" xfId="10902" xr:uid="{1719DBC9-F089-412F-AD98-EE7EA5308BE5}"/>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204FB05B-C82A-4679-B821-4F5D6258FE95}"/>
    <cellStyle name="40% - Accent1 2 7 2 3" xfId="13460" xr:uid="{3E2B45CE-BF7C-454B-AE5F-FD85F68BB70C}"/>
    <cellStyle name="40% - Accent1 2 7 3" xfId="6206" xr:uid="{00000000-0005-0000-0000-00000E040000}"/>
    <cellStyle name="40% - Accent1 2 7 3 2" xfId="15532" xr:uid="{18F58BA9-7D9E-408D-9360-312FC433D858}"/>
    <cellStyle name="40% - Accent1 2 7 4" xfId="11315" xr:uid="{CDD30715-37A7-47D0-B6C8-D68B1B669E5B}"/>
    <cellStyle name="40% - Accent1 2 8" xfId="2313" xr:uid="{00000000-0005-0000-0000-00000F040000}"/>
    <cellStyle name="40% - Accent1 2 8 2" xfId="6619" xr:uid="{00000000-0005-0000-0000-000010040000}"/>
    <cellStyle name="40% - Accent1 2 8 2 2" xfId="15945" xr:uid="{B968AFFB-62D6-4411-ACAE-D874DB5F9BD0}"/>
    <cellStyle name="40% - Accent1 2 8 3" xfId="11728" xr:uid="{88C3EA3C-5E2A-4538-A97B-8AC7569827DF}"/>
    <cellStyle name="40% - Accent1 2 9" xfId="4553" xr:uid="{00000000-0005-0000-0000-000011040000}"/>
    <cellStyle name="40% - Accent1 2 9 2" xfId="13879" xr:uid="{1DA8F036-A246-4158-B3C6-B8A05DE03B2D}"/>
    <cellStyle name="40% - Accent1 3" xfId="54" xr:uid="{00000000-0005-0000-0000-000012040000}"/>
    <cellStyle name="40% - Accent1 3 10" xfId="9666" xr:uid="{222CA8EA-3EF0-41B9-867B-BC8A7A001D24}"/>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E6D03179-EB69-4EEE-98E5-0C1FBEC2F1A8}"/>
    <cellStyle name="40% - Accent1 3 2 2 2 3" xfId="12226" xr:uid="{487B9857-7C0A-4B01-82C9-63B30E7618CF}"/>
    <cellStyle name="40% - Accent1 3 2 2 3" xfId="4972" xr:uid="{00000000-0005-0000-0000-000017040000}"/>
    <cellStyle name="40% - Accent1 3 2 2 3 2" xfId="14298" xr:uid="{DE99C813-2821-4B0B-81E0-47571DDBA36D}"/>
    <cellStyle name="40% - Accent1 3 2 2 4" xfId="9494" xr:uid="{49092FA9-F337-44E8-98C8-15711B1C1558}"/>
    <cellStyle name="40% - Accent1 3 2 2 4 2" xfId="18807" xr:uid="{8DAF7A56-68BA-4F78-88B3-F1BE7240AA2A}"/>
    <cellStyle name="40% - Accent1 3 2 2 5" xfId="10081" xr:uid="{2A18CE30-5067-429F-B339-4242152AC6FA}"/>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7CBB5F07-2282-4EFA-AE3C-5FF5C24952AB}"/>
    <cellStyle name="40% - Accent1 3 2 3 2 3" xfId="12639" xr:uid="{B4EA5F30-A488-40C7-89BE-A6BB87AAC224}"/>
    <cellStyle name="40% - Accent1 3 2 3 3" xfId="5385" xr:uid="{00000000-0005-0000-0000-00001B040000}"/>
    <cellStyle name="40% - Accent1 3 2 3 3 2" xfId="14711" xr:uid="{5C9A2099-C9FF-4A57-8820-A7E065FE2640}"/>
    <cellStyle name="40% - Accent1 3 2 3 4" xfId="10494" xr:uid="{E3C9E216-527E-40B7-BD84-14371C05A81F}"/>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416E11C9-D57E-4CD9-8959-CD3A2850A02B}"/>
    <cellStyle name="40% - Accent1 3 2 4 2 3" xfId="13052" xr:uid="{A459C150-9D15-4973-9C84-DD05685E7ADE}"/>
    <cellStyle name="40% - Accent1 3 2 4 3" xfId="5798" xr:uid="{00000000-0005-0000-0000-00001F040000}"/>
    <cellStyle name="40% - Accent1 3 2 4 3 2" xfId="15124" xr:uid="{015C2D4F-0473-41F8-9A57-A0F6E11739DE}"/>
    <cellStyle name="40% - Accent1 3 2 4 4" xfId="10907" xr:uid="{ED46D40C-14FC-4B63-BCD2-F454453064B0}"/>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7A9B89CF-AE61-4EFE-8544-7A9E0DC2FE04}"/>
    <cellStyle name="40% - Accent1 3 2 5 2 3" xfId="13465" xr:uid="{68EAAAF9-6476-49FF-87FF-2DE9A6FCFA63}"/>
    <cellStyle name="40% - Accent1 3 2 5 3" xfId="6211" xr:uid="{00000000-0005-0000-0000-000023040000}"/>
    <cellStyle name="40% - Accent1 3 2 5 3 2" xfId="15537" xr:uid="{505BC217-32E8-435C-BC97-D423F95EEA39}"/>
    <cellStyle name="40% - Accent1 3 2 5 4" xfId="11320" xr:uid="{1F5F0B23-8613-422A-833B-09CE24BB4B78}"/>
    <cellStyle name="40% - Accent1 3 2 6" xfId="2318" xr:uid="{00000000-0005-0000-0000-000024040000}"/>
    <cellStyle name="40% - Accent1 3 2 6 2" xfId="6624" xr:uid="{00000000-0005-0000-0000-000025040000}"/>
    <cellStyle name="40% - Accent1 3 2 6 2 2" xfId="15950" xr:uid="{7A68EDC8-96D1-46AA-8AA0-979CB4736187}"/>
    <cellStyle name="40% - Accent1 3 2 6 3" xfId="11733" xr:uid="{2DB052FE-1DB7-4A0F-8A89-75C79B63F6EE}"/>
    <cellStyle name="40% - Accent1 3 2 7" xfId="4558" xr:uid="{00000000-0005-0000-0000-000026040000}"/>
    <cellStyle name="40% - Accent1 3 2 7 2" xfId="13884" xr:uid="{B476A85B-7EC9-425B-AA26-CF2088E79376}"/>
    <cellStyle name="40% - Accent1 3 2 8" xfId="9069" xr:uid="{F3D9FD63-8946-4492-B81A-42936E8B246D}"/>
    <cellStyle name="40% - Accent1 3 2 8 2" xfId="18392" xr:uid="{83C5E0F8-85A1-49A3-A1D6-226B4EDB22F0}"/>
    <cellStyle name="40% - Accent1 3 2 9" xfId="9667" xr:uid="{8254BC46-F658-413A-A386-08F557C1FBFA}"/>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7D66F610-81B6-47B8-9A85-7CF6B0363E02}"/>
    <cellStyle name="40% - Accent1 3 3 2 3" xfId="12225" xr:uid="{A0D647C7-F22C-4C64-884B-7C7160DE751C}"/>
    <cellStyle name="40% - Accent1 3 3 3" xfId="4971" xr:uid="{00000000-0005-0000-0000-00002A040000}"/>
    <cellStyle name="40% - Accent1 3 3 3 2" xfId="14297" xr:uid="{79738185-9E92-4985-9006-F7D9E7F6F9B4}"/>
    <cellStyle name="40% - Accent1 3 3 4" xfId="9287" xr:uid="{8C21B573-3D31-49DA-ACD8-D3EC7CC3A858}"/>
    <cellStyle name="40% - Accent1 3 3 4 2" xfId="18600" xr:uid="{BC77C084-6CBC-4D6C-A095-889F71746200}"/>
    <cellStyle name="40% - Accent1 3 3 5" xfId="10080" xr:uid="{89FD97F0-7592-44A1-A632-4D57B04197D2}"/>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DA89F55F-5239-4668-9F36-4039E976E0F9}"/>
    <cellStyle name="40% - Accent1 3 4 2 3" xfId="12638" xr:uid="{9876F67A-B02C-44CD-9B35-AD002515B110}"/>
    <cellStyle name="40% - Accent1 3 4 3" xfId="5384" xr:uid="{00000000-0005-0000-0000-00002E040000}"/>
    <cellStyle name="40% - Accent1 3 4 3 2" xfId="14710" xr:uid="{FCCED145-14BE-4130-BC2B-C4D408AEDE52}"/>
    <cellStyle name="40% - Accent1 3 4 4" xfId="10493" xr:uid="{ED263155-18BB-4D29-877C-84F2044CD1B5}"/>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286B7D2C-A403-47B8-AEFE-3F1E862ED204}"/>
    <cellStyle name="40% - Accent1 3 5 2 3" xfId="13051" xr:uid="{A50661B5-CA23-4175-86D1-C3FC2618E948}"/>
    <cellStyle name="40% - Accent1 3 5 3" xfId="5797" xr:uid="{00000000-0005-0000-0000-000032040000}"/>
    <cellStyle name="40% - Accent1 3 5 3 2" xfId="15123" xr:uid="{2393B7BF-D53D-44A7-A341-FDD870641954}"/>
    <cellStyle name="40% - Accent1 3 5 4" xfId="10906" xr:uid="{2E87ABB0-0BDC-4A3F-8EDF-F59A2CA99955}"/>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DC38C7C1-F1A5-4E3B-B4BF-94C7AF4D0184}"/>
    <cellStyle name="40% - Accent1 3 6 2 3" xfId="13464" xr:uid="{2CFC098A-8D12-4A33-85BB-E42CBE1C3B5A}"/>
    <cellStyle name="40% - Accent1 3 6 3" xfId="6210" xr:uid="{00000000-0005-0000-0000-000036040000}"/>
    <cellStyle name="40% - Accent1 3 6 3 2" xfId="15536" xr:uid="{E2C8E9B1-520A-4DEC-8CAB-D4A0C7C5098D}"/>
    <cellStyle name="40% - Accent1 3 6 4" xfId="11319" xr:uid="{D3C6D18D-29E4-4D6D-B61E-D5EE1BACF400}"/>
    <cellStyle name="40% - Accent1 3 7" xfId="2317" xr:uid="{00000000-0005-0000-0000-000037040000}"/>
    <cellStyle name="40% - Accent1 3 7 2" xfId="6623" xr:uid="{00000000-0005-0000-0000-000038040000}"/>
    <cellStyle name="40% - Accent1 3 7 2 2" xfId="15949" xr:uid="{18197B82-7F83-4D0E-BBE0-457AF6EED2CA}"/>
    <cellStyle name="40% - Accent1 3 7 3" xfId="11732" xr:uid="{9C6AEADF-64F8-4131-A0C4-C68A30040C66}"/>
    <cellStyle name="40% - Accent1 3 8" xfId="4557" xr:uid="{00000000-0005-0000-0000-000039040000}"/>
    <cellStyle name="40% - Accent1 3 8 2" xfId="13883" xr:uid="{B6A5F22B-E8D8-49FF-BADA-B99060EFE889}"/>
    <cellStyle name="40% - Accent1 3 9" xfId="8862" xr:uid="{2CC30516-31CA-485E-88BE-FCC7F9756A95}"/>
    <cellStyle name="40% - Accent1 3 9 2" xfId="18185" xr:uid="{0CF79995-6FEF-48B5-82C7-5F70A61A4DCB}"/>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D1860709-C84B-4C79-ADB0-1D378D5F028E}"/>
    <cellStyle name="40% - Accent1 4 2 2 3" xfId="12227" xr:uid="{2E6C56FC-66C6-4832-A6C9-9EECCE1AD4E4}"/>
    <cellStyle name="40% - Accent1 4 2 3" xfId="4973" xr:uid="{00000000-0005-0000-0000-00003E040000}"/>
    <cellStyle name="40% - Accent1 4 2 3 2" xfId="14299" xr:uid="{ED767599-9936-40F9-B301-489C5E8E0E5C}"/>
    <cellStyle name="40% - Accent1 4 2 4" xfId="9373" xr:uid="{3BC949C7-8F86-44EA-9F10-CF277586B131}"/>
    <cellStyle name="40% - Accent1 4 2 4 2" xfId="18686" xr:uid="{C90E2882-7C3D-4709-94FC-97DB19F001D9}"/>
    <cellStyle name="40% - Accent1 4 2 5" xfId="10082" xr:uid="{EB27143A-0A0F-474D-A94B-0EB98F415251}"/>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4F5417A0-C0F9-40D2-9BB0-3D2EF6530E88}"/>
    <cellStyle name="40% - Accent1 4 3 2 3" xfId="12640" xr:uid="{F1C125C4-B043-4511-B2C9-2128726CB16F}"/>
    <cellStyle name="40% - Accent1 4 3 3" xfId="5386" xr:uid="{00000000-0005-0000-0000-000042040000}"/>
    <cellStyle name="40% - Accent1 4 3 3 2" xfId="14712" xr:uid="{DFF18CB8-E49C-4E07-B09D-D1BC6A004BE8}"/>
    <cellStyle name="40% - Accent1 4 3 4" xfId="10495" xr:uid="{594B2C09-DA76-4801-945C-9FB4A7FCE48B}"/>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DB76D54C-8AA1-4DB5-BC1D-C75963DDA12F}"/>
    <cellStyle name="40% - Accent1 4 4 2 3" xfId="13053" xr:uid="{9A6E4AEA-F949-4DE8-A47C-249C00356F70}"/>
    <cellStyle name="40% - Accent1 4 4 3" xfId="5799" xr:uid="{00000000-0005-0000-0000-000046040000}"/>
    <cellStyle name="40% - Accent1 4 4 3 2" xfId="15125" xr:uid="{9DEA5BA4-2464-48CD-A414-E7FEB19606CB}"/>
    <cellStyle name="40% - Accent1 4 4 4" xfId="10908" xr:uid="{DE6A3359-A05B-459F-AAD8-17884E32EDB9}"/>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A895BB8A-4261-429D-A311-BBBF932E7A24}"/>
    <cellStyle name="40% - Accent1 4 5 2 3" xfId="13466" xr:uid="{777CFB81-53ED-4D9A-AB35-3378EC36C57B}"/>
    <cellStyle name="40% - Accent1 4 5 3" xfId="6212" xr:uid="{00000000-0005-0000-0000-00004A040000}"/>
    <cellStyle name="40% - Accent1 4 5 3 2" xfId="15538" xr:uid="{868CA4E7-C921-473A-A6BE-9D44D1C28774}"/>
    <cellStyle name="40% - Accent1 4 5 4" xfId="11321" xr:uid="{DBAE0F3C-96CE-4BFE-A972-153A22BBB74B}"/>
    <cellStyle name="40% - Accent1 4 6" xfId="2319" xr:uid="{00000000-0005-0000-0000-00004B040000}"/>
    <cellStyle name="40% - Accent1 4 6 2" xfId="6625" xr:uid="{00000000-0005-0000-0000-00004C040000}"/>
    <cellStyle name="40% - Accent1 4 6 2 2" xfId="15951" xr:uid="{2603979C-B75B-4CFC-8DA6-50308DB4EEF1}"/>
    <cellStyle name="40% - Accent1 4 6 3" xfId="11734" xr:uid="{611CAC1A-F693-4C30-B4EA-74DAA630A108}"/>
    <cellStyle name="40% - Accent1 4 7" xfId="4559" xr:uid="{00000000-0005-0000-0000-00004D040000}"/>
    <cellStyle name="40% - Accent1 4 7 2" xfId="13885" xr:uid="{D1E2B68F-C32B-405A-8323-F2A4C8BBEEB1}"/>
    <cellStyle name="40% - Accent1 4 8" xfId="8948" xr:uid="{7BCBB449-71B8-4468-A700-0125C7659C3D}"/>
    <cellStyle name="40% - Accent1 4 8 2" xfId="18271" xr:uid="{D0944B23-7524-464E-9D03-6421FEA99DC6}"/>
    <cellStyle name="40% - Accent1 4 9" xfId="9668" xr:uid="{50FF0F02-BA92-48BC-BE52-C4B21DDBDBB3}"/>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4606C945-913C-4F13-BFF2-075A5281092B}"/>
    <cellStyle name="40% - Accent1 5 2 3" xfId="12220" xr:uid="{0D205C18-540C-4FAB-998F-C6BEE425AE12}"/>
    <cellStyle name="40% - Accent1 5 3" xfId="4966" xr:uid="{00000000-0005-0000-0000-000051040000}"/>
    <cellStyle name="40% - Accent1 5 3 2" xfId="14292" xr:uid="{C822D281-7468-4EAD-8835-12633FEF3DFA}"/>
    <cellStyle name="40% - Accent1 5 4" xfId="9181" xr:uid="{332DA761-F1AA-4FF3-9BBB-9ECEE19D2DFF}"/>
    <cellStyle name="40% - Accent1 5 4 2" xfId="18497" xr:uid="{D6663FAC-7D71-4E07-A752-CDEC89591DB5}"/>
    <cellStyle name="40% - Accent1 5 5" xfId="10075" xr:uid="{7EC9CA6A-3874-4D19-9042-B88C6BD7B6F2}"/>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D0B13B27-D0B6-4E64-BA64-486755E0C9BA}"/>
    <cellStyle name="40% - Accent1 6 2 3" xfId="12633" xr:uid="{26E057EC-2835-49F3-984A-D62CDF4F5E0C}"/>
    <cellStyle name="40% - Accent1 6 3" xfId="5379" xr:uid="{00000000-0005-0000-0000-000055040000}"/>
    <cellStyle name="40% - Accent1 6 3 2" xfId="14705" xr:uid="{C74015C0-A411-4AD7-866B-643F09802ACE}"/>
    <cellStyle name="40% - Accent1 6 4" xfId="10488" xr:uid="{37760B48-E2C0-49E9-9D8F-891A3D6AEA08}"/>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7D09C5B0-756D-404E-BD4B-E0C5C43010AA}"/>
    <cellStyle name="40% - Accent1 7 2 3" xfId="13046" xr:uid="{9C52759E-4CE1-41FC-8D83-A8C42554BA75}"/>
    <cellStyle name="40% - Accent1 7 3" xfId="5792" xr:uid="{00000000-0005-0000-0000-000059040000}"/>
    <cellStyle name="40% - Accent1 7 3 2" xfId="15118" xr:uid="{624341F9-5E6C-4C97-A49E-1472D5F8B9A5}"/>
    <cellStyle name="40% - Accent1 7 4" xfId="10901" xr:uid="{E9FFCB4A-F8C7-481A-BDA8-F055E2AF6D00}"/>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7ED1910C-4904-4780-8C7D-4D65D5BB05F3}"/>
    <cellStyle name="40% - Accent1 8 2 3" xfId="13459" xr:uid="{B9DCAAC7-86FC-4D56-B625-850F2E241B8E}"/>
    <cellStyle name="40% - Accent1 8 3" xfId="6205" xr:uid="{00000000-0005-0000-0000-00005D040000}"/>
    <cellStyle name="40% - Accent1 8 3 2" xfId="15531" xr:uid="{10F5A10C-7E7C-4510-83F1-B96B9BFFC5C2}"/>
    <cellStyle name="40% - Accent1 8 4" xfId="11314" xr:uid="{98B87FA3-8C32-4B10-ADBD-7ECF9BB91FDD}"/>
    <cellStyle name="40% - Accent1 9" xfId="2312" xr:uid="{00000000-0005-0000-0000-00005E040000}"/>
    <cellStyle name="40% - Accent1 9 2" xfId="6618" xr:uid="{00000000-0005-0000-0000-00005F040000}"/>
    <cellStyle name="40% - Accent1 9 2 2" xfId="15944" xr:uid="{422B8085-D54E-4FD1-8969-F6D090D5AEBF}"/>
    <cellStyle name="40% - Accent1 9 3" xfId="11727" xr:uid="{A335B435-F16E-4A84-B849-C11446AFAA82}"/>
    <cellStyle name="40% - Accent2" xfId="57" builtinId="35" customBuiltin="1"/>
    <cellStyle name="40% - Accent2 10" xfId="4560" xr:uid="{00000000-0005-0000-0000-000061040000}"/>
    <cellStyle name="40% - Accent2 10 2" xfId="13886" xr:uid="{84D7BB67-5626-4BD9-9C4D-7BE7DF8680E3}"/>
    <cellStyle name="40% - Accent2 11" xfId="8761" xr:uid="{8631D9D1-53DA-4958-8F7C-AD68B7B91D61}"/>
    <cellStyle name="40% - Accent2 11 2" xfId="18084" xr:uid="{BF75C978-E3EF-45FA-8D50-17C14FBDDD9D}"/>
    <cellStyle name="40% - Accent2 12" xfId="9669" xr:uid="{10D4C3D2-5038-475A-BE81-5930775C44A4}"/>
    <cellStyle name="40% - Accent2 2" xfId="58" xr:uid="{00000000-0005-0000-0000-000062040000}"/>
    <cellStyle name="40% - Accent2 2 10" xfId="8799" xr:uid="{E3EEC046-6E76-44A5-8D1B-64621A8F0AC5}"/>
    <cellStyle name="40% - Accent2 2 10 2" xfId="18122" xr:uid="{833B6268-CA75-4744-A60A-93ABC140DDCA}"/>
    <cellStyle name="40% - Accent2 2 11" xfId="9670" xr:uid="{EBF28C29-396F-4921-9C34-96D391D1D6F2}"/>
    <cellStyle name="40% - Accent2 2 2" xfId="59" xr:uid="{00000000-0005-0000-0000-000063040000}"/>
    <cellStyle name="40% - Accent2 2 2 10" xfId="9671" xr:uid="{7CE5FA5E-B530-4FA0-AF71-D30448DDDCD7}"/>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7F16C9FE-2872-4C25-A582-5D18A7E52FA4}"/>
    <cellStyle name="40% - Accent2 2 2 2 2 2 3" xfId="12231" xr:uid="{D55CC848-887A-4D66-B523-5561DD07E095}"/>
    <cellStyle name="40% - Accent2 2 2 2 2 3" xfId="4977" xr:uid="{00000000-0005-0000-0000-000068040000}"/>
    <cellStyle name="40% - Accent2 2 2 2 2 3 2" xfId="14303" xr:uid="{6175CED7-C463-4E1E-9F19-3BC43E6C6490}"/>
    <cellStyle name="40% - Accent2 2 2 2 2 4" xfId="9534" xr:uid="{9F53A086-33FC-422E-9DFF-72D04AC43949}"/>
    <cellStyle name="40% - Accent2 2 2 2 2 4 2" xfId="18847" xr:uid="{2C9F94A0-68CB-4868-97E7-AA47FFD24C59}"/>
    <cellStyle name="40% - Accent2 2 2 2 2 5" xfId="10086" xr:uid="{9778568F-7D5B-428B-A41B-2B2675A4771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370A08FC-5C64-4BC6-A786-168F891A947D}"/>
    <cellStyle name="40% - Accent2 2 2 2 3 2 3" xfId="12644" xr:uid="{9C565C4A-D6D7-40B0-8AF3-FA4A4AD0E1F1}"/>
    <cellStyle name="40% - Accent2 2 2 2 3 3" xfId="5390" xr:uid="{00000000-0005-0000-0000-00006C040000}"/>
    <cellStyle name="40% - Accent2 2 2 2 3 3 2" xfId="14716" xr:uid="{BE80F165-AB6A-49CF-96CB-D8D3CD49A40F}"/>
    <cellStyle name="40% - Accent2 2 2 2 3 4" xfId="10499" xr:uid="{AF888F3F-4658-401F-BD03-12CE8E468A73}"/>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099F927F-1106-477E-99A5-33C2FAD12526}"/>
    <cellStyle name="40% - Accent2 2 2 2 4 2 3" xfId="13057" xr:uid="{2924AF59-6A00-45BD-A653-5BC3D4D75356}"/>
    <cellStyle name="40% - Accent2 2 2 2 4 3" xfId="5803" xr:uid="{00000000-0005-0000-0000-000070040000}"/>
    <cellStyle name="40% - Accent2 2 2 2 4 3 2" xfId="15129" xr:uid="{F78D77A8-53D9-438F-A603-EBBD605927ED}"/>
    <cellStyle name="40% - Accent2 2 2 2 4 4" xfId="10912" xr:uid="{1EE5FC77-43D6-41A2-9E0A-9DBB64B1407A}"/>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316F7453-3A55-401E-AF8F-7D424BD191F2}"/>
    <cellStyle name="40% - Accent2 2 2 2 5 2 3" xfId="13470" xr:uid="{FD4344FE-A9E6-47D4-86D1-977454ACED54}"/>
    <cellStyle name="40% - Accent2 2 2 2 5 3" xfId="6216" xr:uid="{00000000-0005-0000-0000-000074040000}"/>
    <cellStyle name="40% - Accent2 2 2 2 5 3 2" xfId="15542" xr:uid="{FD232AAD-A267-4733-AC3B-8D13BFBAE936}"/>
    <cellStyle name="40% - Accent2 2 2 2 5 4" xfId="11325" xr:uid="{5D981535-7DD1-422B-87AD-6DE65BCFAD95}"/>
    <cellStyle name="40% - Accent2 2 2 2 6" xfId="2323" xr:uid="{00000000-0005-0000-0000-000075040000}"/>
    <cellStyle name="40% - Accent2 2 2 2 6 2" xfId="6629" xr:uid="{00000000-0005-0000-0000-000076040000}"/>
    <cellStyle name="40% - Accent2 2 2 2 6 2 2" xfId="15955" xr:uid="{A85FEF07-F657-4CC3-B62A-07F5312013AA}"/>
    <cellStyle name="40% - Accent2 2 2 2 6 3" xfId="11738" xr:uid="{B1F3F151-3A56-4291-BEC5-429E815DD422}"/>
    <cellStyle name="40% - Accent2 2 2 2 7" xfId="4563" xr:uid="{00000000-0005-0000-0000-000077040000}"/>
    <cellStyle name="40% - Accent2 2 2 2 7 2" xfId="13889" xr:uid="{0F12300D-8C7F-41EF-A8A1-77BBE39E9F42}"/>
    <cellStyle name="40% - Accent2 2 2 2 8" xfId="9109" xr:uid="{73F0012D-4386-4224-BFB0-7DB1C0E98822}"/>
    <cellStyle name="40% - Accent2 2 2 2 8 2" xfId="18432" xr:uid="{6C2CB314-49C4-4711-98C8-3A2F84FC1B6F}"/>
    <cellStyle name="40% - Accent2 2 2 2 9" xfId="9672" xr:uid="{4EAFB7CE-8801-4C6B-886A-BA5BBFBECC24}"/>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A59A942D-387D-46B8-AF1E-80C9E3236EAF}"/>
    <cellStyle name="40% - Accent2 2 2 3 2 3" xfId="12230" xr:uid="{7F8E2894-6E54-431B-8EBA-2A0DE6F59B91}"/>
    <cellStyle name="40% - Accent2 2 2 3 3" xfId="4976" xr:uid="{00000000-0005-0000-0000-00007B040000}"/>
    <cellStyle name="40% - Accent2 2 2 3 3 2" xfId="14302" xr:uid="{761E226A-F62E-4390-AC93-F7FE2AD1887D}"/>
    <cellStyle name="40% - Accent2 2 2 3 4" xfId="9327" xr:uid="{F2BC9A12-B689-4B73-B71E-77A9F0BC7FE4}"/>
    <cellStyle name="40% - Accent2 2 2 3 4 2" xfId="18640" xr:uid="{7AB0EAE5-EC9F-407A-AE04-71DF0E8D42A7}"/>
    <cellStyle name="40% - Accent2 2 2 3 5" xfId="10085" xr:uid="{D6B5D7F8-8A7C-483C-A20D-454138545C0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28B6EB20-69D0-40FD-9E40-835DD1F4156D}"/>
    <cellStyle name="40% - Accent2 2 2 4 2 3" xfId="12643" xr:uid="{1159C1D8-F7D6-4F8A-B982-684AC5E4B12D}"/>
    <cellStyle name="40% - Accent2 2 2 4 3" xfId="5389" xr:uid="{00000000-0005-0000-0000-00007F040000}"/>
    <cellStyle name="40% - Accent2 2 2 4 3 2" xfId="14715" xr:uid="{DED66D5F-073B-4115-A9F4-6BD83257003E}"/>
    <cellStyle name="40% - Accent2 2 2 4 4" xfId="10498" xr:uid="{798DE90D-E1CF-4E7B-97D7-ED42F0CCDE7A}"/>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6D539048-3784-4EEE-B012-00FB350AD979}"/>
    <cellStyle name="40% - Accent2 2 2 5 2 3" xfId="13056" xr:uid="{CA7BE46A-3C86-42C9-9FCE-A02EDCFE6399}"/>
    <cellStyle name="40% - Accent2 2 2 5 3" xfId="5802" xr:uid="{00000000-0005-0000-0000-000083040000}"/>
    <cellStyle name="40% - Accent2 2 2 5 3 2" xfId="15128" xr:uid="{2E7CF173-11C7-4A74-A0DF-B6C22EB07115}"/>
    <cellStyle name="40% - Accent2 2 2 5 4" xfId="10911" xr:uid="{5ADFDAA2-8773-440C-98E1-A1827ACC7798}"/>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CD85AD9B-2624-49EB-804A-B4E7A89B3C58}"/>
    <cellStyle name="40% - Accent2 2 2 6 2 3" xfId="13469" xr:uid="{A032229E-0ABF-4A5E-8CE9-FE6F80C53412}"/>
    <cellStyle name="40% - Accent2 2 2 6 3" xfId="6215" xr:uid="{00000000-0005-0000-0000-000087040000}"/>
    <cellStyle name="40% - Accent2 2 2 6 3 2" xfId="15541" xr:uid="{5839F371-C877-4F18-8910-1C7B9C6E9A24}"/>
    <cellStyle name="40% - Accent2 2 2 6 4" xfId="11324" xr:uid="{F01CD2C4-9477-4409-A3EF-0C7642347D60}"/>
    <cellStyle name="40% - Accent2 2 2 7" xfId="2322" xr:uid="{00000000-0005-0000-0000-000088040000}"/>
    <cellStyle name="40% - Accent2 2 2 7 2" xfId="6628" xr:uid="{00000000-0005-0000-0000-000089040000}"/>
    <cellStyle name="40% - Accent2 2 2 7 2 2" xfId="15954" xr:uid="{241F292D-D68A-44AE-957A-DD55CA5F371B}"/>
    <cellStyle name="40% - Accent2 2 2 7 3" xfId="11737" xr:uid="{82DA8D3A-A12F-4357-B2F9-E4D14A2F041C}"/>
    <cellStyle name="40% - Accent2 2 2 8" xfId="4562" xr:uid="{00000000-0005-0000-0000-00008A040000}"/>
    <cellStyle name="40% - Accent2 2 2 8 2" xfId="13888" xr:uid="{44DFAD04-0364-4B3F-AD7D-BB72918A7838}"/>
    <cellStyle name="40% - Accent2 2 2 9" xfId="8902" xr:uid="{5D0C2022-B7A4-4DE2-895F-9E4BE510A7B9}"/>
    <cellStyle name="40% - Accent2 2 2 9 2" xfId="18225" xr:uid="{CE041541-96FD-4038-B268-5B8787C56914}"/>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08CF2B19-13CA-402A-8248-6E0FDA85FC6E}"/>
    <cellStyle name="40% - Accent2 2 3 2 2 3" xfId="12232" xr:uid="{B435B48F-C029-4268-947E-0863735730EB}"/>
    <cellStyle name="40% - Accent2 2 3 2 3" xfId="4978" xr:uid="{00000000-0005-0000-0000-00008F040000}"/>
    <cellStyle name="40% - Accent2 2 3 2 3 2" xfId="14304" xr:uid="{AB17A321-8C40-4BD1-8F81-205879B821EE}"/>
    <cellStyle name="40% - Accent2 2 3 2 4" xfId="9431" xr:uid="{BD4E3561-302E-4359-AAF3-4F2E007BC697}"/>
    <cellStyle name="40% - Accent2 2 3 2 4 2" xfId="18744" xr:uid="{0B3D84A0-F527-4219-AE53-69DE0FC50A8D}"/>
    <cellStyle name="40% - Accent2 2 3 2 5" xfId="10087" xr:uid="{DF0DB74A-6EFE-449B-9733-0D232D493FE0}"/>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10A5F102-02D7-4C97-BAAE-0EB84943570F}"/>
    <cellStyle name="40% - Accent2 2 3 3 2 3" xfId="12645" xr:uid="{E607A34C-7D1F-4354-85A1-99E776D09B29}"/>
    <cellStyle name="40% - Accent2 2 3 3 3" xfId="5391" xr:uid="{00000000-0005-0000-0000-000093040000}"/>
    <cellStyle name="40% - Accent2 2 3 3 3 2" xfId="14717" xr:uid="{67E8CC14-838F-42F8-9F23-C58B29494C4B}"/>
    <cellStyle name="40% - Accent2 2 3 3 4" xfId="10500" xr:uid="{6C856A22-00D5-45C0-9605-D5AEC07C70A7}"/>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031302C8-12FD-4F8B-96DA-C738127B553E}"/>
    <cellStyle name="40% - Accent2 2 3 4 2 3" xfId="13058" xr:uid="{3621CA85-EB72-49C2-852C-B72D8C1C8D8E}"/>
    <cellStyle name="40% - Accent2 2 3 4 3" xfId="5804" xr:uid="{00000000-0005-0000-0000-000097040000}"/>
    <cellStyle name="40% - Accent2 2 3 4 3 2" xfId="15130" xr:uid="{3444E1AE-EEEC-475B-B4E0-6252B390560B}"/>
    <cellStyle name="40% - Accent2 2 3 4 4" xfId="10913" xr:uid="{761F99A5-1519-4A58-A7B0-B8BEBEAC6891}"/>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D694292C-78E4-44CE-A1C2-CCAF8BEF3E29}"/>
    <cellStyle name="40% - Accent2 2 3 5 2 3" xfId="13471" xr:uid="{E57D9BCF-8D12-4D57-A96C-D0C4740DF92F}"/>
    <cellStyle name="40% - Accent2 2 3 5 3" xfId="6217" xr:uid="{00000000-0005-0000-0000-00009B040000}"/>
    <cellStyle name="40% - Accent2 2 3 5 3 2" xfId="15543" xr:uid="{07353CD0-5F58-4A42-B736-4F602496DF82}"/>
    <cellStyle name="40% - Accent2 2 3 5 4" xfId="11326" xr:uid="{2016DDF0-11F0-4CE9-93C7-239D5F27A698}"/>
    <cellStyle name="40% - Accent2 2 3 6" xfId="2324" xr:uid="{00000000-0005-0000-0000-00009C040000}"/>
    <cellStyle name="40% - Accent2 2 3 6 2" xfId="6630" xr:uid="{00000000-0005-0000-0000-00009D040000}"/>
    <cellStyle name="40% - Accent2 2 3 6 2 2" xfId="15956" xr:uid="{68CCAD6E-FEDF-418A-B879-2525BECAD32D}"/>
    <cellStyle name="40% - Accent2 2 3 6 3" xfId="11739" xr:uid="{5AEA3216-07B5-4A84-9BBE-089E19C828F5}"/>
    <cellStyle name="40% - Accent2 2 3 7" xfId="4564" xr:uid="{00000000-0005-0000-0000-00009E040000}"/>
    <cellStyle name="40% - Accent2 2 3 7 2" xfId="13890" xr:uid="{2B2C1A41-D395-4D2D-A349-13736662F122}"/>
    <cellStyle name="40% - Accent2 2 3 8" xfId="9006" xr:uid="{E6E89EA5-B76F-4FCC-89B9-DD4135B6364B}"/>
    <cellStyle name="40% - Accent2 2 3 8 2" xfId="18329" xr:uid="{5E847B07-D354-43CE-AFCB-EFB1E8D826FB}"/>
    <cellStyle name="40% - Accent2 2 3 9" xfId="9673" xr:uid="{D0C3C052-C214-401A-A67B-C89BF0BA688E}"/>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96CF924A-5391-45E3-AC8A-61630958154B}"/>
    <cellStyle name="40% - Accent2 2 4 2 3" xfId="12229" xr:uid="{5C01BFA1-1592-4243-909E-B1DDB9CF7B6C}"/>
    <cellStyle name="40% - Accent2 2 4 3" xfId="4975" xr:uid="{00000000-0005-0000-0000-0000A2040000}"/>
    <cellStyle name="40% - Accent2 2 4 3 2" xfId="14301" xr:uid="{46D9CF2E-78B2-44E1-8FCD-DC1EE9577CCE}"/>
    <cellStyle name="40% - Accent2 2 4 4" xfId="9223" xr:uid="{FA9890B4-781A-4E4C-81EE-BC7448559828}"/>
    <cellStyle name="40% - Accent2 2 4 4 2" xfId="18537" xr:uid="{FE4578D4-DB27-40C8-86C9-30C53DAFA432}"/>
    <cellStyle name="40% - Accent2 2 4 5" xfId="10084" xr:uid="{CA9343E9-A068-47E1-8045-4F247E63ACDA}"/>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66EAA782-54C3-445E-A6F5-547629321A14}"/>
    <cellStyle name="40% - Accent2 2 5 2 3" xfId="12642" xr:uid="{7867E8C8-AA09-4E3A-9EE5-1564C6C37160}"/>
    <cellStyle name="40% - Accent2 2 5 3" xfId="5388" xr:uid="{00000000-0005-0000-0000-0000A6040000}"/>
    <cellStyle name="40% - Accent2 2 5 3 2" xfId="14714" xr:uid="{0A74C266-A092-4416-B87A-4E60744ABE46}"/>
    <cellStyle name="40% - Accent2 2 5 4" xfId="10497" xr:uid="{EDC745A0-8B3C-44BB-873B-7D642A625DB4}"/>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84B0FC6F-BF60-4C40-996E-120E1A94D1CC}"/>
    <cellStyle name="40% - Accent2 2 6 2 3" xfId="13055" xr:uid="{F6FCC2D5-2F0F-422A-BF49-923F75A834AE}"/>
    <cellStyle name="40% - Accent2 2 6 3" xfId="5801" xr:uid="{00000000-0005-0000-0000-0000AA040000}"/>
    <cellStyle name="40% - Accent2 2 6 3 2" xfId="15127" xr:uid="{82734775-1A59-4686-9540-D9E4337AABE7}"/>
    <cellStyle name="40% - Accent2 2 6 4" xfId="10910" xr:uid="{4DA3C724-920A-4335-976A-D08F05FB5C90}"/>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97239895-834D-4058-9CB0-5BC713793B0D}"/>
    <cellStyle name="40% - Accent2 2 7 2 3" xfId="13468" xr:uid="{BB8C5F28-8EB2-48E8-8CA7-20FB0C732873}"/>
    <cellStyle name="40% - Accent2 2 7 3" xfId="6214" xr:uid="{00000000-0005-0000-0000-0000AE040000}"/>
    <cellStyle name="40% - Accent2 2 7 3 2" xfId="15540" xr:uid="{ED5640FB-596A-4781-956E-542A05AE6985}"/>
    <cellStyle name="40% - Accent2 2 7 4" xfId="11323" xr:uid="{EDFEBC9A-E0EA-4A74-B890-4F9DB7133864}"/>
    <cellStyle name="40% - Accent2 2 8" xfId="2321" xr:uid="{00000000-0005-0000-0000-0000AF040000}"/>
    <cellStyle name="40% - Accent2 2 8 2" xfId="6627" xr:uid="{00000000-0005-0000-0000-0000B0040000}"/>
    <cellStyle name="40% - Accent2 2 8 2 2" xfId="15953" xr:uid="{7BB9A4FC-82F0-419F-93CF-E6690BBE6EF6}"/>
    <cellStyle name="40% - Accent2 2 8 3" xfId="11736" xr:uid="{35298BD0-396F-42FA-9F60-398358D81004}"/>
    <cellStyle name="40% - Accent2 2 9" xfId="4561" xr:uid="{00000000-0005-0000-0000-0000B1040000}"/>
    <cellStyle name="40% - Accent2 2 9 2" xfId="13887" xr:uid="{4F267172-6A08-47E8-A824-C881FE261D7D}"/>
    <cellStyle name="40% - Accent2 3" xfId="62" xr:uid="{00000000-0005-0000-0000-0000B2040000}"/>
    <cellStyle name="40% - Accent2 3 10" xfId="9674" xr:uid="{DA02E26D-805E-4247-A23E-4A0FE6B70F0C}"/>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F668B712-F2F7-4E11-9ED5-CE1115E60A20}"/>
    <cellStyle name="40% - Accent2 3 2 2 2 3" xfId="12234" xr:uid="{3AD0A379-E268-4F53-B8A6-F3E570251F42}"/>
    <cellStyle name="40% - Accent2 3 2 2 3" xfId="4980" xr:uid="{00000000-0005-0000-0000-0000B7040000}"/>
    <cellStyle name="40% - Accent2 3 2 2 3 2" xfId="14306" xr:uid="{866F6A00-A18E-45F3-9CA1-A95532B86128}"/>
    <cellStyle name="40% - Accent2 3 2 2 4" xfId="9496" xr:uid="{700FA1AF-D943-4FDB-BFB1-F903AD1F731A}"/>
    <cellStyle name="40% - Accent2 3 2 2 4 2" xfId="18809" xr:uid="{42B2F7D6-9D6F-425F-BCE4-EC14A3002737}"/>
    <cellStyle name="40% - Accent2 3 2 2 5" xfId="10089" xr:uid="{3180C041-758B-4E22-8691-BC3DDB2570F3}"/>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70DD7EAA-82CE-49FD-A9D3-D3956FE7036F}"/>
    <cellStyle name="40% - Accent2 3 2 3 2 3" xfId="12647" xr:uid="{2C2379A3-7033-4196-B8C6-C3C7CFE58511}"/>
    <cellStyle name="40% - Accent2 3 2 3 3" xfId="5393" xr:uid="{00000000-0005-0000-0000-0000BB040000}"/>
    <cellStyle name="40% - Accent2 3 2 3 3 2" xfId="14719" xr:uid="{3170630A-A8CC-455A-BA94-12BFE30C2541}"/>
    <cellStyle name="40% - Accent2 3 2 3 4" xfId="10502" xr:uid="{A570CC1B-83DC-47A9-BFB3-85A1DEFCE0A7}"/>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A7B09282-14FB-4BD5-AAEE-FB1631FC8854}"/>
    <cellStyle name="40% - Accent2 3 2 4 2 3" xfId="13060" xr:uid="{58AE247F-7236-4F0D-97E4-F3A8FC4CA2F3}"/>
    <cellStyle name="40% - Accent2 3 2 4 3" xfId="5806" xr:uid="{00000000-0005-0000-0000-0000BF040000}"/>
    <cellStyle name="40% - Accent2 3 2 4 3 2" xfId="15132" xr:uid="{AF93709D-E280-440F-8DBE-203D5C10036B}"/>
    <cellStyle name="40% - Accent2 3 2 4 4" xfId="10915" xr:uid="{0FB4770A-B3D2-46B4-A531-EDEA92968015}"/>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B1FFD752-D051-4FCA-BA96-2D7FAC70AB29}"/>
    <cellStyle name="40% - Accent2 3 2 5 2 3" xfId="13473" xr:uid="{C10D6ED4-A69F-4CF2-8ABE-98D9ABD528F4}"/>
    <cellStyle name="40% - Accent2 3 2 5 3" xfId="6219" xr:uid="{00000000-0005-0000-0000-0000C3040000}"/>
    <cellStyle name="40% - Accent2 3 2 5 3 2" xfId="15545" xr:uid="{78ACE9C0-39B3-499C-AE0C-86E3A26EF84D}"/>
    <cellStyle name="40% - Accent2 3 2 5 4" xfId="11328" xr:uid="{DCF6A512-9CB5-4B23-B170-8073CF640BC3}"/>
    <cellStyle name="40% - Accent2 3 2 6" xfId="2326" xr:uid="{00000000-0005-0000-0000-0000C4040000}"/>
    <cellStyle name="40% - Accent2 3 2 6 2" xfId="6632" xr:uid="{00000000-0005-0000-0000-0000C5040000}"/>
    <cellStyle name="40% - Accent2 3 2 6 2 2" xfId="15958" xr:uid="{94704C8A-4866-4769-BC40-BDF42F177980}"/>
    <cellStyle name="40% - Accent2 3 2 6 3" xfId="11741" xr:uid="{1B2D152B-6EE2-4E3E-9D15-9929EB476DD0}"/>
    <cellStyle name="40% - Accent2 3 2 7" xfId="4566" xr:uid="{00000000-0005-0000-0000-0000C6040000}"/>
    <cellStyle name="40% - Accent2 3 2 7 2" xfId="13892" xr:uid="{0090CEEF-982D-4FED-9D9C-EC38086AD8F8}"/>
    <cellStyle name="40% - Accent2 3 2 8" xfId="9071" xr:uid="{B5463F05-11FC-4377-B380-DDB549C63AA9}"/>
    <cellStyle name="40% - Accent2 3 2 8 2" xfId="18394" xr:uid="{8A36364D-A183-402B-9040-E114F3088313}"/>
    <cellStyle name="40% - Accent2 3 2 9" xfId="9675" xr:uid="{A9DAB44F-2CB6-470F-A1EF-653E6346AD87}"/>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2BE7703B-D9EE-42E7-BBEB-99035FBF4A95}"/>
    <cellStyle name="40% - Accent2 3 3 2 3" xfId="12233" xr:uid="{D2AC7F65-816B-49C4-A3B4-9F6581FA0DE5}"/>
    <cellStyle name="40% - Accent2 3 3 3" xfId="4979" xr:uid="{00000000-0005-0000-0000-0000CA040000}"/>
    <cellStyle name="40% - Accent2 3 3 3 2" xfId="14305" xr:uid="{E71E90FB-7A75-4751-941D-2DB7C9771CBA}"/>
    <cellStyle name="40% - Accent2 3 3 4" xfId="9289" xr:uid="{B234EB9F-4AFE-41A2-A17D-ABC1D0F80875}"/>
    <cellStyle name="40% - Accent2 3 3 4 2" xfId="18602" xr:uid="{5E7B4C5C-9FF6-488C-850B-C7F000BF536F}"/>
    <cellStyle name="40% - Accent2 3 3 5" xfId="10088" xr:uid="{585FD93B-F3FF-495B-8DB5-0EBAC640FCF0}"/>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E3D73624-4A5A-43EB-A569-39D87C943C88}"/>
    <cellStyle name="40% - Accent2 3 4 2 3" xfId="12646" xr:uid="{A8F83F5E-763E-4D70-9911-E50CE2FE2B9B}"/>
    <cellStyle name="40% - Accent2 3 4 3" xfId="5392" xr:uid="{00000000-0005-0000-0000-0000CE040000}"/>
    <cellStyle name="40% - Accent2 3 4 3 2" xfId="14718" xr:uid="{2DBBBED3-1639-4F00-A23D-EA045CA5B975}"/>
    <cellStyle name="40% - Accent2 3 4 4" xfId="10501" xr:uid="{5F3BF4B1-2952-47F4-8F6B-72FCF39E3A24}"/>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DAD32978-267E-43BB-B648-92219B4E82B8}"/>
    <cellStyle name="40% - Accent2 3 5 2 3" xfId="13059" xr:uid="{7F4152C9-B6B5-47E3-B895-54A6F4F3C1EA}"/>
    <cellStyle name="40% - Accent2 3 5 3" xfId="5805" xr:uid="{00000000-0005-0000-0000-0000D2040000}"/>
    <cellStyle name="40% - Accent2 3 5 3 2" xfId="15131" xr:uid="{42ACD069-CDC6-44CB-850A-CAD851279F7A}"/>
    <cellStyle name="40% - Accent2 3 5 4" xfId="10914" xr:uid="{BEAF3EA5-C8C1-44FE-AC4D-1EFC4BF2B670}"/>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33CE2BAA-2B89-40E6-8E7F-C47BB49DCA99}"/>
    <cellStyle name="40% - Accent2 3 6 2 3" xfId="13472" xr:uid="{0DD9CC0F-035A-43E2-8C2C-6574FF9B45BF}"/>
    <cellStyle name="40% - Accent2 3 6 3" xfId="6218" xr:uid="{00000000-0005-0000-0000-0000D6040000}"/>
    <cellStyle name="40% - Accent2 3 6 3 2" xfId="15544" xr:uid="{9A869F8F-1486-44F8-ADCB-84DCF6BD3C4B}"/>
    <cellStyle name="40% - Accent2 3 6 4" xfId="11327" xr:uid="{12A82646-A572-474D-B87F-D3FA394CDE90}"/>
    <cellStyle name="40% - Accent2 3 7" xfId="2325" xr:uid="{00000000-0005-0000-0000-0000D7040000}"/>
    <cellStyle name="40% - Accent2 3 7 2" xfId="6631" xr:uid="{00000000-0005-0000-0000-0000D8040000}"/>
    <cellStyle name="40% - Accent2 3 7 2 2" xfId="15957" xr:uid="{15D6ADDF-54DF-413F-8A43-1667642DDDED}"/>
    <cellStyle name="40% - Accent2 3 7 3" xfId="11740" xr:uid="{83294303-816C-4E00-B777-18CA9551C7A7}"/>
    <cellStyle name="40% - Accent2 3 8" xfId="4565" xr:uid="{00000000-0005-0000-0000-0000D9040000}"/>
    <cellStyle name="40% - Accent2 3 8 2" xfId="13891" xr:uid="{0D7C75C1-D0B0-4CA1-BEA0-764FA9DC645A}"/>
    <cellStyle name="40% - Accent2 3 9" xfId="8864" xr:uid="{311EF031-8CA9-4ACC-8705-6D408E1B50DB}"/>
    <cellStyle name="40% - Accent2 3 9 2" xfId="18187" xr:uid="{91CDD2C3-A0E9-42F3-A2A7-A06AF8E850DC}"/>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A48A0183-9B96-4723-A9C8-11E772623693}"/>
    <cellStyle name="40% - Accent2 4 2 2 3" xfId="12235" xr:uid="{ACA61FFA-996B-42C0-A963-4E85AD06E1A7}"/>
    <cellStyle name="40% - Accent2 4 2 3" xfId="4981" xr:uid="{00000000-0005-0000-0000-0000DE040000}"/>
    <cellStyle name="40% - Accent2 4 2 3 2" xfId="14307" xr:uid="{5957019F-93FA-436C-9AB4-2AF752510E19}"/>
    <cellStyle name="40% - Accent2 4 2 4" xfId="9375" xr:uid="{E0F8B4F7-419E-40A5-89E1-F3F0DF6ADFF8}"/>
    <cellStyle name="40% - Accent2 4 2 4 2" xfId="18688" xr:uid="{BB0092AA-0A94-4438-A9EC-094450E71791}"/>
    <cellStyle name="40% - Accent2 4 2 5" xfId="10090" xr:uid="{714D7284-3580-4C5B-8846-9CAF312D697A}"/>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23EC1C6A-A7D6-41AD-8352-8B69EDA86E67}"/>
    <cellStyle name="40% - Accent2 4 3 2 3" xfId="12648" xr:uid="{2E7C54FC-8D2E-4D58-A744-DA0C16046CED}"/>
    <cellStyle name="40% - Accent2 4 3 3" xfId="5394" xr:uid="{00000000-0005-0000-0000-0000E2040000}"/>
    <cellStyle name="40% - Accent2 4 3 3 2" xfId="14720" xr:uid="{9D7A8E9B-AA7B-4982-B8C3-CDF5F91573C2}"/>
    <cellStyle name="40% - Accent2 4 3 4" xfId="10503" xr:uid="{A3BFBB72-A4FB-4EE0-BD70-7A4A0E651D29}"/>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8BB99FFC-E3F7-46B6-8BED-248EA3082284}"/>
    <cellStyle name="40% - Accent2 4 4 2 3" xfId="13061" xr:uid="{373E7AAE-220E-49EF-BB5C-E5D5011B1707}"/>
    <cellStyle name="40% - Accent2 4 4 3" xfId="5807" xr:uid="{00000000-0005-0000-0000-0000E6040000}"/>
    <cellStyle name="40% - Accent2 4 4 3 2" xfId="15133" xr:uid="{C2D0B9C0-2EFD-46A4-A840-8D8BFD9CACE2}"/>
    <cellStyle name="40% - Accent2 4 4 4" xfId="10916" xr:uid="{24A311EB-42E3-45CD-8262-CE1F52E56359}"/>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B75C95BE-87B9-4753-B2A6-7276BD260314}"/>
    <cellStyle name="40% - Accent2 4 5 2 3" xfId="13474" xr:uid="{A2AB4C21-1C45-4427-9D01-F2C3C92CA597}"/>
    <cellStyle name="40% - Accent2 4 5 3" xfId="6220" xr:uid="{00000000-0005-0000-0000-0000EA040000}"/>
    <cellStyle name="40% - Accent2 4 5 3 2" xfId="15546" xr:uid="{93A2BE71-B9AA-44E1-9789-4030BE6B259C}"/>
    <cellStyle name="40% - Accent2 4 5 4" xfId="11329" xr:uid="{1388FBA4-D11A-4B6B-B3B0-5A7F2EA75ABA}"/>
    <cellStyle name="40% - Accent2 4 6" xfId="2327" xr:uid="{00000000-0005-0000-0000-0000EB040000}"/>
    <cellStyle name="40% - Accent2 4 6 2" xfId="6633" xr:uid="{00000000-0005-0000-0000-0000EC040000}"/>
    <cellStyle name="40% - Accent2 4 6 2 2" xfId="15959" xr:uid="{4A2E7E75-E28C-4B39-8F03-C1E1DE0FF55E}"/>
    <cellStyle name="40% - Accent2 4 6 3" xfId="11742" xr:uid="{C8E4CFD4-849D-45C5-A416-D5B75FF47D39}"/>
    <cellStyle name="40% - Accent2 4 7" xfId="4567" xr:uid="{00000000-0005-0000-0000-0000ED040000}"/>
    <cellStyle name="40% - Accent2 4 7 2" xfId="13893" xr:uid="{1B7DD2DC-D8D6-4EAF-99E3-6F9982FBA790}"/>
    <cellStyle name="40% - Accent2 4 8" xfId="8950" xr:uid="{02FCA414-0598-4779-8636-7B176A3552C0}"/>
    <cellStyle name="40% - Accent2 4 8 2" xfId="18273" xr:uid="{41764F67-DA3F-46F9-8FD7-1E5975D14775}"/>
    <cellStyle name="40% - Accent2 4 9" xfId="9676" xr:uid="{479CC793-E278-4747-8C37-5CF0842B7381}"/>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CFCE458F-EB3F-4422-ABD3-E54C8615019E}"/>
    <cellStyle name="40% - Accent2 5 2 3" xfId="12228" xr:uid="{797084E3-E6EA-43D6-9DE8-B905E43CFE75}"/>
    <cellStyle name="40% - Accent2 5 3" xfId="4974" xr:uid="{00000000-0005-0000-0000-0000F1040000}"/>
    <cellStyle name="40% - Accent2 5 3 2" xfId="14300" xr:uid="{6CCAA60B-4F55-4CEB-8C55-92CCD40471CF}"/>
    <cellStyle name="40% - Accent2 5 4" xfId="9183" xr:uid="{071EDB8E-9FD1-4063-BCEF-70B734E5ECF1}"/>
    <cellStyle name="40% - Accent2 5 4 2" xfId="18499" xr:uid="{F2D2DC6E-0876-497D-BF04-C70D4DBCC6A2}"/>
    <cellStyle name="40% - Accent2 5 5" xfId="10083" xr:uid="{6E3A7459-A7C5-49B2-8189-4874C8621FA4}"/>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5D85CEAB-8BCD-43F7-8F25-FBC05949C5C1}"/>
    <cellStyle name="40% - Accent2 6 2 3" xfId="12641" xr:uid="{61784D67-80E9-4FA4-92B9-6181856593B3}"/>
    <cellStyle name="40% - Accent2 6 3" xfId="5387" xr:uid="{00000000-0005-0000-0000-0000F5040000}"/>
    <cellStyle name="40% - Accent2 6 3 2" xfId="14713" xr:uid="{84FDEB11-7DE6-4516-A945-DE32DB107695}"/>
    <cellStyle name="40% - Accent2 6 4" xfId="10496" xr:uid="{463A686B-A230-4CA0-B5A9-609FCEFBA0F7}"/>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C6FD41BB-0FA0-4C3F-B818-F1F05924E315}"/>
    <cellStyle name="40% - Accent2 7 2 3" xfId="13054" xr:uid="{586DBDFB-4DCA-4A1A-AF0C-52BCFB22FD4A}"/>
    <cellStyle name="40% - Accent2 7 3" xfId="5800" xr:uid="{00000000-0005-0000-0000-0000F9040000}"/>
    <cellStyle name="40% - Accent2 7 3 2" xfId="15126" xr:uid="{1BC25FA2-9DC4-40FC-A941-325819706776}"/>
    <cellStyle name="40% - Accent2 7 4" xfId="10909" xr:uid="{2D6E42ED-5C78-4E61-ACFD-3C7A588468D4}"/>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61F664E0-9D5D-48AF-9B6E-B1204E2DCA74}"/>
    <cellStyle name="40% - Accent2 8 2 3" xfId="13467" xr:uid="{CE1E64ED-5258-4140-AF69-CC46B29AF93E}"/>
    <cellStyle name="40% - Accent2 8 3" xfId="6213" xr:uid="{00000000-0005-0000-0000-0000FD040000}"/>
    <cellStyle name="40% - Accent2 8 3 2" xfId="15539" xr:uid="{D0F4D19B-9964-4E33-B3DB-BF18EBDE386F}"/>
    <cellStyle name="40% - Accent2 8 4" xfId="11322" xr:uid="{4A3D54C2-E073-4B8E-9EB3-56F8582AED82}"/>
    <cellStyle name="40% - Accent2 9" xfId="2320" xr:uid="{00000000-0005-0000-0000-0000FE040000}"/>
    <cellStyle name="40% - Accent2 9 2" xfId="6626" xr:uid="{00000000-0005-0000-0000-0000FF040000}"/>
    <cellStyle name="40% - Accent2 9 2 2" xfId="15952" xr:uid="{60C66157-E207-4958-8F4B-7FF4CB56CD7D}"/>
    <cellStyle name="40% - Accent2 9 3" xfId="11735" xr:uid="{91BD5462-122F-481B-9E24-8EB1FC407E9D}"/>
    <cellStyle name="40% - Accent3" xfId="65" builtinId="39" customBuiltin="1"/>
    <cellStyle name="40% - Accent3 10" xfId="4568" xr:uid="{00000000-0005-0000-0000-000001050000}"/>
    <cellStyle name="40% - Accent3 10 2" xfId="13894" xr:uid="{BE45C31C-F2E6-4F55-B89F-33E23E076DE8}"/>
    <cellStyle name="40% - Accent3 11" xfId="8763" xr:uid="{CEFBFA85-5B68-4AEB-BF0D-8E604938B05F}"/>
    <cellStyle name="40% - Accent3 11 2" xfId="18086" xr:uid="{ED3EEA15-4008-46ED-9EF3-6D7D7706B1B8}"/>
    <cellStyle name="40% - Accent3 12" xfId="9677" xr:uid="{A094E86C-2E32-4CD6-9D75-FBEC294A3029}"/>
    <cellStyle name="40% - Accent3 2" xfId="66" xr:uid="{00000000-0005-0000-0000-000002050000}"/>
    <cellStyle name="40% - Accent3 2 10" xfId="8800" xr:uid="{00FF2AAD-7D96-45B5-8981-0BB923A3505B}"/>
    <cellStyle name="40% - Accent3 2 10 2" xfId="18123" xr:uid="{DB0CEB5B-6423-4357-B0F4-4BDE8E68468D}"/>
    <cellStyle name="40% - Accent3 2 11" xfId="9678" xr:uid="{C7BD4D6A-FAF9-4627-A48B-A9BFD7B13A78}"/>
    <cellStyle name="40% - Accent3 2 2" xfId="67" xr:uid="{00000000-0005-0000-0000-000003050000}"/>
    <cellStyle name="40% - Accent3 2 2 10" xfId="9679" xr:uid="{6FF84A05-C7EB-410A-A29A-AC58C35D457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C0FCBF46-4562-4E00-B7B1-9699B71FF653}"/>
    <cellStyle name="40% - Accent3 2 2 2 2 2 3" xfId="12239" xr:uid="{C288B554-A2BA-4AFF-B198-B1CC3C8B46FD}"/>
    <cellStyle name="40% - Accent3 2 2 2 2 3" xfId="4985" xr:uid="{00000000-0005-0000-0000-000008050000}"/>
    <cellStyle name="40% - Accent3 2 2 2 2 3 2" xfId="14311" xr:uid="{FD4D0F6D-FED7-4324-A10C-A99170ABA484}"/>
    <cellStyle name="40% - Accent3 2 2 2 2 4" xfId="9535" xr:uid="{3AC66435-D4C7-42EF-A799-3DC81A57BDF4}"/>
    <cellStyle name="40% - Accent3 2 2 2 2 4 2" xfId="18848" xr:uid="{47F0EBCE-29EA-4699-BA5E-241200AEBCBC}"/>
    <cellStyle name="40% - Accent3 2 2 2 2 5" xfId="10094" xr:uid="{51DA47BD-4FA7-4911-A59D-61EAA2142F9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7F231B99-63AE-4C9D-B4FC-423AB822122F}"/>
    <cellStyle name="40% - Accent3 2 2 2 3 2 3" xfId="12652" xr:uid="{80893430-BF7B-48BC-818A-862D59A144E0}"/>
    <cellStyle name="40% - Accent3 2 2 2 3 3" xfId="5398" xr:uid="{00000000-0005-0000-0000-00000C050000}"/>
    <cellStyle name="40% - Accent3 2 2 2 3 3 2" xfId="14724" xr:uid="{69AA240C-958B-459D-BC4C-409AD9DD276E}"/>
    <cellStyle name="40% - Accent3 2 2 2 3 4" xfId="10507" xr:uid="{65A91A23-7492-4E5B-9DE3-1F3F22FED666}"/>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9DF03C96-23BC-4139-B618-A4C5E1BA671E}"/>
    <cellStyle name="40% - Accent3 2 2 2 4 2 3" xfId="13065" xr:uid="{AFFC3C15-CB02-4C3A-806C-DCA5B811F2E8}"/>
    <cellStyle name="40% - Accent3 2 2 2 4 3" xfId="5811" xr:uid="{00000000-0005-0000-0000-000010050000}"/>
    <cellStyle name="40% - Accent3 2 2 2 4 3 2" xfId="15137" xr:uid="{D17E28A7-E339-427E-948B-B7E4BC33A7DC}"/>
    <cellStyle name="40% - Accent3 2 2 2 4 4" xfId="10920" xr:uid="{4AD5B2CD-5066-401E-BDE0-949B1D863F63}"/>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BC2F3B47-A851-4C4B-9233-27925BE125A2}"/>
    <cellStyle name="40% - Accent3 2 2 2 5 2 3" xfId="13478" xr:uid="{6257FC3F-F715-4EF3-85FE-9CB408624CE4}"/>
    <cellStyle name="40% - Accent3 2 2 2 5 3" xfId="6224" xr:uid="{00000000-0005-0000-0000-000014050000}"/>
    <cellStyle name="40% - Accent3 2 2 2 5 3 2" xfId="15550" xr:uid="{57A8F56C-5C93-4389-95AE-CEA63447899B}"/>
    <cellStyle name="40% - Accent3 2 2 2 5 4" xfId="11333" xr:uid="{BB9FDD48-C15E-4C6F-A780-7D912E27FD88}"/>
    <cellStyle name="40% - Accent3 2 2 2 6" xfId="2331" xr:uid="{00000000-0005-0000-0000-000015050000}"/>
    <cellStyle name="40% - Accent3 2 2 2 6 2" xfId="6637" xr:uid="{00000000-0005-0000-0000-000016050000}"/>
    <cellStyle name="40% - Accent3 2 2 2 6 2 2" xfId="15963" xr:uid="{AE07EF29-1144-4038-9F1A-1A7E130BA34E}"/>
    <cellStyle name="40% - Accent3 2 2 2 6 3" xfId="11746" xr:uid="{0EE77DDD-C6F7-40D3-97C5-D8C651CDE1F2}"/>
    <cellStyle name="40% - Accent3 2 2 2 7" xfId="4571" xr:uid="{00000000-0005-0000-0000-000017050000}"/>
    <cellStyle name="40% - Accent3 2 2 2 7 2" xfId="13897" xr:uid="{40264870-CE76-44E6-BAA3-E22C96E4032D}"/>
    <cellStyle name="40% - Accent3 2 2 2 8" xfId="9110" xr:uid="{E41CBEF9-86F8-44B9-895F-532A7BDC9A2A}"/>
    <cellStyle name="40% - Accent3 2 2 2 8 2" xfId="18433" xr:uid="{FA1BEEE5-9BD4-4D96-B515-C584B25C84AE}"/>
    <cellStyle name="40% - Accent3 2 2 2 9" xfId="9680" xr:uid="{8EC947B9-3E4D-4C0D-93E4-0C962EB5B8A0}"/>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D0962535-12D8-476D-8250-389359E80C02}"/>
    <cellStyle name="40% - Accent3 2 2 3 2 3" xfId="12238" xr:uid="{E8DE9C75-6E62-4281-A522-C1EB5A651AAB}"/>
    <cellStyle name="40% - Accent3 2 2 3 3" xfId="4984" xr:uid="{00000000-0005-0000-0000-00001B050000}"/>
    <cellStyle name="40% - Accent3 2 2 3 3 2" xfId="14310" xr:uid="{E00918D0-5B39-4FAD-9D0A-122779F2F19D}"/>
    <cellStyle name="40% - Accent3 2 2 3 4" xfId="9328" xr:uid="{1DAEB9B9-01CE-426D-A8F1-CE08999D7264}"/>
    <cellStyle name="40% - Accent3 2 2 3 4 2" xfId="18641" xr:uid="{53E9F68D-D490-4EBC-B1DC-463C1F938231}"/>
    <cellStyle name="40% - Accent3 2 2 3 5" xfId="10093" xr:uid="{F8577F6F-DE65-4594-A3FA-84AEC3BF7000}"/>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66592064-8784-4A7D-9BED-B708313A477D}"/>
    <cellStyle name="40% - Accent3 2 2 4 2 3" xfId="12651" xr:uid="{B35EEB55-C6FD-41E5-8E18-D4FFAB05A6B7}"/>
    <cellStyle name="40% - Accent3 2 2 4 3" xfId="5397" xr:uid="{00000000-0005-0000-0000-00001F050000}"/>
    <cellStyle name="40% - Accent3 2 2 4 3 2" xfId="14723" xr:uid="{4993D26D-9B26-4A28-8C1B-C91589AE61B8}"/>
    <cellStyle name="40% - Accent3 2 2 4 4" xfId="10506" xr:uid="{843AF5A1-95EB-498C-9C2C-9038514E007C}"/>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8549879B-9D10-4309-898D-6F90A745B6D3}"/>
    <cellStyle name="40% - Accent3 2 2 5 2 3" xfId="13064" xr:uid="{DC9C65F3-E37E-4611-B815-C7EF86AA61E2}"/>
    <cellStyle name="40% - Accent3 2 2 5 3" xfId="5810" xr:uid="{00000000-0005-0000-0000-000023050000}"/>
    <cellStyle name="40% - Accent3 2 2 5 3 2" xfId="15136" xr:uid="{63359B77-73BD-411A-ADAD-7C43DCFE4785}"/>
    <cellStyle name="40% - Accent3 2 2 5 4" xfId="10919" xr:uid="{928AB25B-3088-4BC7-AFF7-DB466705DEE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99DC8D0B-F042-4B9D-A286-06C83352CB23}"/>
    <cellStyle name="40% - Accent3 2 2 6 2 3" xfId="13477" xr:uid="{F0C158BD-C478-4721-8EB9-8BB64BC9FEF1}"/>
    <cellStyle name="40% - Accent3 2 2 6 3" xfId="6223" xr:uid="{00000000-0005-0000-0000-000027050000}"/>
    <cellStyle name="40% - Accent3 2 2 6 3 2" xfId="15549" xr:uid="{584EE9AB-A519-4884-9ABC-F74444B7D541}"/>
    <cellStyle name="40% - Accent3 2 2 6 4" xfId="11332" xr:uid="{0C4482C4-1D45-4329-8E3B-1D28C4E246E3}"/>
    <cellStyle name="40% - Accent3 2 2 7" xfId="2330" xr:uid="{00000000-0005-0000-0000-000028050000}"/>
    <cellStyle name="40% - Accent3 2 2 7 2" xfId="6636" xr:uid="{00000000-0005-0000-0000-000029050000}"/>
    <cellStyle name="40% - Accent3 2 2 7 2 2" xfId="15962" xr:uid="{B29C432C-8FF6-42CB-8A3A-4AD9A6E2D68D}"/>
    <cellStyle name="40% - Accent3 2 2 7 3" xfId="11745" xr:uid="{B4944A29-6EE9-4C7D-BE51-75BA29CAA99B}"/>
    <cellStyle name="40% - Accent3 2 2 8" xfId="4570" xr:uid="{00000000-0005-0000-0000-00002A050000}"/>
    <cellStyle name="40% - Accent3 2 2 8 2" xfId="13896" xr:uid="{F85B5E0D-9DA1-446C-8427-AB795266399D}"/>
    <cellStyle name="40% - Accent3 2 2 9" xfId="8903" xr:uid="{D9C85917-26AE-466C-8B98-905BCDA9E329}"/>
    <cellStyle name="40% - Accent3 2 2 9 2" xfId="18226" xr:uid="{3B634A84-2879-4B4F-A876-BA3A9A276D24}"/>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46B58C1B-7B72-47C4-AD2A-2CBA3F84015C}"/>
    <cellStyle name="40% - Accent3 2 3 2 2 3" xfId="12240" xr:uid="{57FF6B6E-CEC5-4B42-AA5E-951F999C212B}"/>
    <cellStyle name="40% - Accent3 2 3 2 3" xfId="4986" xr:uid="{00000000-0005-0000-0000-00002F050000}"/>
    <cellStyle name="40% - Accent3 2 3 2 3 2" xfId="14312" xr:uid="{EC2800CF-4E2C-4F02-9663-4070A5A63895}"/>
    <cellStyle name="40% - Accent3 2 3 2 4" xfId="9432" xr:uid="{54D6848B-0200-4F42-820D-262A8F9A2C0F}"/>
    <cellStyle name="40% - Accent3 2 3 2 4 2" xfId="18745" xr:uid="{0D332D55-5E60-4F9C-9B93-73736FC4C8C6}"/>
    <cellStyle name="40% - Accent3 2 3 2 5" xfId="10095" xr:uid="{55764D63-8A73-4436-A2E0-A1AF28E61659}"/>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38EF40EA-8E8B-4306-9210-D74A674823FF}"/>
    <cellStyle name="40% - Accent3 2 3 3 2 3" xfId="12653" xr:uid="{5C22D855-8C49-4D3A-B0B5-2A2050E27FBD}"/>
    <cellStyle name="40% - Accent3 2 3 3 3" xfId="5399" xr:uid="{00000000-0005-0000-0000-000033050000}"/>
    <cellStyle name="40% - Accent3 2 3 3 3 2" xfId="14725" xr:uid="{AF1E7E1A-3AD1-4862-BB2F-82BE37345BE5}"/>
    <cellStyle name="40% - Accent3 2 3 3 4" xfId="10508" xr:uid="{57935B7B-1AB5-4583-A393-DF5D2AF79EB3}"/>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BA04C3FC-AC3F-4A7E-8DE1-5257C974F395}"/>
    <cellStyle name="40% - Accent3 2 3 4 2 3" xfId="13066" xr:uid="{26BD013C-223D-495D-A427-D986E3CB6D75}"/>
    <cellStyle name="40% - Accent3 2 3 4 3" xfId="5812" xr:uid="{00000000-0005-0000-0000-000037050000}"/>
    <cellStyle name="40% - Accent3 2 3 4 3 2" xfId="15138" xr:uid="{340406B6-6FF0-4BDD-8AAC-E84FDDB02F6B}"/>
    <cellStyle name="40% - Accent3 2 3 4 4" xfId="10921" xr:uid="{443939EF-E0B0-4DD6-A05D-017C020561E8}"/>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85F106AB-CA8B-481C-8B5E-D96862FF2563}"/>
    <cellStyle name="40% - Accent3 2 3 5 2 3" xfId="13479" xr:uid="{FCD06589-65F6-4772-8E94-6F178DF18306}"/>
    <cellStyle name="40% - Accent3 2 3 5 3" xfId="6225" xr:uid="{00000000-0005-0000-0000-00003B050000}"/>
    <cellStyle name="40% - Accent3 2 3 5 3 2" xfId="15551" xr:uid="{AE5EF570-802E-4F94-87AE-BFCD61CA9200}"/>
    <cellStyle name="40% - Accent3 2 3 5 4" xfId="11334" xr:uid="{6592821B-B27C-45DE-9A90-C213B5506926}"/>
    <cellStyle name="40% - Accent3 2 3 6" xfId="2332" xr:uid="{00000000-0005-0000-0000-00003C050000}"/>
    <cellStyle name="40% - Accent3 2 3 6 2" xfId="6638" xr:uid="{00000000-0005-0000-0000-00003D050000}"/>
    <cellStyle name="40% - Accent3 2 3 6 2 2" xfId="15964" xr:uid="{D7A0AB3C-F15D-4719-8EDA-4326E4D9B6CF}"/>
    <cellStyle name="40% - Accent3 2 3 6 3" xfId="11747" xr:uid="{03D1C632-B2F8-4E7C-861B-43C4ECA68443}"/>
    <cellStyle name="40% - Accent3 2 3 7" xfId="4572" xr:uid="{00000000-0005-0000-0000-00003E050000}"/>
    <cellStyle name="40% - Accent3 2 3 7 2" xfId="13898" xr:uid="{209A37FD-08BB-4113-955B-0E9FF5819ABC}"/>
    <cellStyle name="40% - Accent3 2 3 8" xfId="9007" xr:uid="{2DEFD82C-2A62-4C1E-AA8D-7F2606BD9091}"/>
    <cellStyle name="40% - Accent3 2 3 8 2" xfId="18330" xr:uid="{4914F6F4-14C9-4B68-A5E7-3ABDFE73AF28}"/>
    <cellStyle name="40% - Accent3 2 3 9" xfId="9681" xr:uid="{D0A6BA8E-CBED-42DA-9B6C-1C989658198D}"/>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8DD042F2-9040-4053-9064-B590FCA576D3}"/>
    <cellStyle name="40% - Accent3 2 4 2 3" xfId="12237" xr:uid="{29F2B835-17B8-4575-902F-2F074C9387BA}"/>
    <cellStyle name="40% - Accent3 2 4 3" xfId="4983" xr:uid="{00000000-0005-0000-0000-000042050000}"/>
    <cellStyle name="40% - Accent3 2 4 3 2" xfId="14309" xr:uid="{ADAD4064-E7C7-4747-98FE-A0B29D788E8C}"/>
    <cellStyle name="40% - Accent3 2 4 4" xfId="9224" xr:uid="{6B91012A-BFF2-4F1F-901C-A91F06F80031}"/>
    <cellStyle name="40% - Accent3 2 4 4 2" xfId="18538" xr:uid="{01519C35-BEE2-43CE-8B86-1641E0AA7445}"/>
    <cellStyle name="40% - Accent3 2 4 5" xfId="10092" xr:uid="{0E5C7BAA-7795-40F1-8A49-EF20B06C5253}"/>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54E0E507-A454-4C22-8CE1-9FE3F6F7BEAB}"/>
    <cellStyle name="40% - Accent3 2 5 2 3" xfId="12650" xr:uid="{DEAB924F-DB98-4E30-B4C8-3FBFF42C50A4}"/>
    <cellStyle name="40% - Accent3 2 5 3" xfId="5396" xr:uid="{00000000-0005-0000-0000-000046050000}"/>
    <cellStyle name="40% - Accent3 2 5 3 2" xfId="14722" xr:uid="{F670C7D1-4A5A-4695-A49E-2A5E2538A304}"/>
    <cellStyle name="40% - Accent3 2 5 4" xfId="10505" xr:uid="{22B8AC01-6386-44B9-B8AA-269BDA334339}"/>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227B812D-32D5-4614-88B6-9FAF1A5AE7FF}"/>
    <cellStyle name="40% - Accent3 2 6 2 3" xfId="13063" xr:uid="{DF6E96B2-61D2-41BF-AB91-B7BD0062788A}"/>
    <cellStyle name="40% - Accent3 2 6 3" xfId="5809" xr:uid="{00000000-0005-0000-0000-00004A050000}"/>
    <cellStyle name="40% - Accent3 2 6 3 2" xfId="15135" xr:uid="{502C1AF1-F77B-40EB-9888-E87CCA16A8BD}"/>
    <cellStyle name="40% - Accent3 2 6 4" xfId="10918" xr:uid="{CD532A03-0410-43A5-960B-8C92C327AC05}"/>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4F8B5CAF-90C3-48D3-9587-7397AB4D0D07}"/>
    <cellStyle name="40% - Accent3 2 7 2 3" xfId="13476" xr:uid="{9BEB65D4-EC62-4240-8F2B-D32F10BEA16E}"/>
    <cellStyle name="40% - Accent3 2 7 3" xfId="6222" xr:uid="{00000000-0005-0000-0000-00004E050000}"/>
    <cellStyle name="40% - Accent3 2 7 3 2" xfId="15548" xr:uid="{3E9D194E-A2D8-4B6C-9E60-4C49D865DF38}"/>
    <cellStyle name="40% - Accent3 2 7 4" xfId="11331" xr:uid="{698D79B5-39F9-4141-85D2-2833DDBC93BC}"/>
    <cellStyle name="40% - Accent3 2 8" xfId="2329" xr:uid="{00000000-0005-0000-0000-00004F050000}"/>
    <cellStyle name="40% - Accent3 2 8 2" xfId="6635" xr:uid="{00000000-0005-0000-0000-000050050000}"/>
    <cellStyle name="40% - Accent3 2 8 2 2" xfId="15961" xr:uid="{C272BA12-F333-4371-9900-4999A811486B}"/>
    <cellStyle name="40% - Accent3 2 8 3" xfId="11744" xr:uid="{EA79C60D-E45A-4CBF-92CB-E67AA72E7609}"/>
    <cellStyle name="40% - Accent3 2 9" xfId="4569" xr:uid="{00000000-0005-0000-0000-000051050000}"/>
    <cellStyle name="40% - Accent3 2 9 2" xfId="13895" xr:uid="{561E5CD1-3B4E-4B66-A2C3-92D2B1972A8E}"/>
    <cellStyle name="40% - Accent3 3" xfId="70" xr:uid="{00000000-0005-0000-0000-000052050000}"/>
    <cellStyle name="40% - Accent3 3 10" xfId="9682" xr:uid="{BCDF2339-7C29-4DC7-8E9E-85B661A0162B}"/>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859F37E1-FE37-497C-95B8-1C96A621926D}"/>
    <cellStyle name="40% - Accent3 3 2 2 2 3" xfId="12242" xr:uid="{4A52E41D-6E59-41A8-8478-3156084F6291}"/>
    <cellStyle name="40% - Accent3 3 2 2 3" xfId="4988" xr:uid="{00000000-0005-0000-0000-000057050000}"/>
    <cellStyle name="40% - Accent3 3 2 2 3 2" xfId="14314" xr:uid="{D9EFCF71-71B6-46BE-830E-D031F349DA79}"/>
    <cellStyle name="40% - Accent3 3 2 2 4" xfId="9498" xr:uid="{7C43CF58-5AE0-4BAA-9D2B-CAB92F3612F1}"/>
    <cellStyle name="40% - Accent3 3 2 2 4 2" xfId="18811" xr:uid="{B6AF6ECD-BFB2-40BF-BC60-53A5B9724E05}"/>
    <cellStyle name="40% - Accent3 3 2 2 5" xfId="10097" xr:uid="{3842601E-067C-4C63-A6E2-C7DEAD15E833}"/>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BA867491-2C9B-4D6F-9064-99C045FF2452}"/>
    <cellStyle name="40% - Accent3 3 2 3 2 3" xfId="12655" xr:uid="{0AE084E9-62E6-44D9-8703-9A8C5435A562}"/>
    <cellStyle name="40% - Accent3 3 2 3 3" xfId="5401" xr:uid="{00000000-0005-0000-0000-00005B050000}"/>
    <cellStyle name="40% - Accent3 3 2 3 3 2" xfId="14727" xr:uid="{2A7CA7DD-3949-4B52-9B01-1464A5AF7410}"/>
    <cellStyle name="40% - Accent3 3 2 3 4" xfId="10510" xr:uid="{5425FF72-3A63-4C33-ACBB-B0033461C147}"/>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D673CD74-1E4D-4251-B613-DEDF9DF8B121}"/>
    <cellStyle name="40% - Accent3 3 2 4 2 3" xfId="13068" xr:uid="{1C94161C-989E-4612-BEC0-D0FE1C87F6C4}"/>
    <cellStyle name="40% - Accent3 3 2 4 3" xfId="5814" xr:uid="{00000000-0005-0000-0000-00005F050000}"/>
    <cellStyle name="40% - Accent3 3 2 4 3 2" xfId="15140" xr:uid="{48B7B1FB-6BB5-4CAA-BDD4-A8CADB51A5FA}"/>
    <cellStyle name="40% - Accent3 3 2 4 4" xfId="10923" xr:uid="{41BE891C-BC4C-49A2-A0A2-6143E59F37F9}"/>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B70FED66-46E7-42B5-8A78-81489788A005}"/>
    <cellStyle name="40% - Accent3 3 2 5 2 3" xfId="13481" xr:uid="{8D51F4AB-CD01-497D-A75D-C9A6077F1C9D}"/>
    <cellStyle name="40% - Accent3 3 2 5 3" xfId="6227" xr:uid="{00000000-0005-0000-0000-000063050000}"/>
    <cellStyle name="40% - Accent3 3 2 5 3 2" xfId="15553" xr:uid="{06646CC1-36BD-44ED-9D5F-65CAC89504CE}"/>
    <cellStyle name="40% - Accent3 3 2 5 4" xfId="11336" xr:uid="{2B75374E-6F23-49EA-BDEC-30D1CCF8A0F8}"/>
    <cellStyle name="40% - Accent3 3 2 6" xfId="2334" xr:uid="{00000000-0005-0000-0000-000064050000}"/>
    <cellStyle name="40% - Accent3 3 2 6 2" xfId="6640" xr:uid="{00000000-0005-0000-0000-000065050000}"/>
    <cellStyle name="40% - Accent3 3 2 6 2 2" xfId="15966" xr:uid="{8AAAB0D9-3804-4D94-A2C2-7B3E84ED65E4}"/>
    <cellStyle name="40% - Accent3 3 2 6 3" xfId="11749" xr:uid="{C41DAED1-4591-4645-83A4-613F5D971888}"/>
    <cellStyle name="40% - Accent3 3 2 7" xfId="4574" xr:uid="{00000000-0005-0000-0000-000066050000}"/>
    <cellStyle name="40% - Accent3 3 2 7 2" xfId="13900" xr:uid="{D49F6C5E-AD13-4AB8-993A-C2C18DB16B85}"/>
    <cellStyle name="40% - Accent3 3 2 8" xfId="9073" xr:uid="{0E71C752-2CF0-411D-A05E-4DA4A73CFC34}"/>
    <cellStyle name="40% - Accent3 3 2 8 2" xfId="18396" xr:uid="{068BB943-20C0-4D2D-A655-FC723AD92AD2}"/>
    <cellStyle name="40% - Accent3 3 2 9" xfId="9683" xr:uid="{15B60864-6FE4-44D0-80E1-09E03DD424DD}"/>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4CDDC8F1-54F0-42AA-B10E-CBE07FEFD459}"/>
    <cellStyle name="40% - Accent3 3 3 2 3" xfId="12241" xr:uid="{A07C736C-0023-4938-989C-2A70C36F7870}"/>
    <cellStyle name="40% - Accent3 3 3 3" xfId="4987" xr:uid="{00000000-0005-0000-0000-00006A050000}"/>
    <cellStyle name="40% - Accent3 3 3 3 2" xfId="14313" xr:uid="{4EF5849E-715D-467C-B278-BF1996E3D8D9}"/>
    <cellStyle name="40% - Accent3 3 3 4" xfId="9291" xr:uid="{59AB3F6D-A8C6-4A37-A8E3-967850079A77}"/>
    <cellStyle name="40% - Accent3 3 3 4 2" xfId="18604" xr:uid="{B2F561F4-968A-4CC9-A916-D588A29518EE}"/>
    <cellStyle name="40% - Accent3 3 3 5" xfId="10096" xr:uid="{B5ED587C-B81F-470A-8C01-4B24F08B959F}"/>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C2151CDD-2C74-473D-A037-94505D4DDE51}"/>
    <cellStyle name="40% - Accent3 3 4 2 3" xfId="12654" xr:uid="{7645A6FB-D3E7-43CD-9732-7046DEBFB96D}"/>
    <cellStyle name="40% - Accent3 3 4 3" xfId="5400" xr:uid="{00000000-0005-0000-0000-00006E050000}"/>
    <cellStyle name="40% - Accent3 3 4 3 2" xfId="14726" xr:uid="{FAF32E81-DA74-4DA0-BC0E-1942F75E75BC}"/>
    <cellStyle name="40% - Accent3 3 4 4" xfId="10509" xr:uid="{2BF20983-0C38-4203-9F4E-EACB9938F647}"/>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7889D7D8-F570-42F0-AC74-4C3A1BBECEF1}"/>
    <cellStyle name="40% - Accent3 3 5 2 3" xfId="13067" xr:uid="{0DE02188-A893-48E1-A585-3D179D71DD71}"/>
    <cellStyle name="40% - Accent3 3 5 3" xfId="5813" xr:uid="{00000000-0005-0000-0000-000072050000}"/>
    <cellStyle name="40% - Accent3 3 5 3 2" xfId="15139" xr:uid="{2BADD21D-4F8F-4714-97C8-F54DEE81B9CA}"/>
    <cellStyle name="40% - Accent3 3 5 4" xfId="10922" xr:uid="{661D5576-20B7-40A7-88F9-FD429F9AB506}"/>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7C15403C-B613-4F8F-9E1E-EB205921DBA8}"/>
    <cellStyle name="40% - Accent3 3 6 2 3" xfId="13480" xr:uid="{23AAC114-7245-4801-B199-F4F620073AA2}"/>
    <cellStyle name="40% - Accent3 3 6 3" xfId="6226" xr:uid="{00000000-0005-0000-0000-000076050000}"/>
    <cellStyle name="40% - Accent3 3 6 3 2" xfId="15552" xr:uid="{F9C6D804-4B3E-4A42-8FDC-544D741BC003}"/>
    <cellStyle name="40% - Accent3 3 6 4" xfId="11335" xr:uid="{8F823985-8C1A-4E4F-BECF-DF8590EE90FB}"/>
    <cellStyle name="40% - Accent3 3 7" xfId="2333" xr:uid="{00000000-0005-0000-0000-000077050000}"/>
    <cellStyle name="40% - Accent3 3 7 2" xfId="6639" xr:uid="{00000000-0005-0000-0000-000078050000}"/>
    <cellStyle name="40% - Accent3 3 7 2 2" xfId="15965" xr:uid="{98AAFF54-C6DB-41A6-A0DE-EC795DE30FBF}"/>
    <cellStyle name="40% - Accent3 3 7 3" xfId="11748" xr:uid="{0ABA64BC-7BE4-46E6-A870-DD3092EA7F1E}"/>
    <cellStyle name="40% - Accent3 3 8" xfId="4573" xr:uid="{00000000-0005-0000-0000-000079050000}"/>
    <cellStyle name="40% - Accent3 3 8 2" xfId="13899" xr:uid="{9E5D2132-D269-48C7-B8CA-129A6B5ACC8C}"/>
    <cellStyle name="40% - Accent3 3 9" xfId="8866" xr:uid="{1A1EF43E-4A2B-42A8-98A3-CEC34DD3B00D}"/>
    <cellStyle name="40% - Accent3 3 9 2" xfId="18189" xr:uid="{BD74F87D-5136-45E9-B47F-8BB06C0D1B4B}"/>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D4F5C737-9977-44F7-A300-6177B336726C}"/>
    <cellStyle name="40% - Accent3 4 2 2 3" xfId="12243" xr:uid="{11D9999C-B1D8-4853-8B98-12D154A4A4E0}"/>
    <cellStyle name="40% - Accent3 4 2 3" xfId="4989" xr:uid="{00000000-0005-0000-0000-00007E050000}"/>
    <cellStyle name="40% - Accent3 4 2 3 2" xfId="14315" xr:uid="{C6384606-6296-4B1B-B14E-9C1C401F7190}"/>
    <cellStyle name="40% - Accent3 4 2 4" xfId="9377" xr:uid="{F4393833-4E73-4685-9332-CF918D5239A9}"/>
    <cellStyle name="40% - Accent3 4 2 4 2" xfId="18690" xr:uid="{924387C9-E49E-4773-A799-F599A6A99F8E}"/>
    <cellStyle name="40% - Accent3 4 2 5" xfId="10098" xr:uid="{6EA2F08D-7D5A-46BC-B26C-DFDED9F8A01C}"/>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23C0F233-0599-456C-9B82-CAF13A65BC86}"/>
    <cellStyle name="40% - Accent3 4 3 2 3" xfId="12656" xr:uid="{B6430DA8-5C7D-4721-93C0-4932A1A48021}"/>
    <cellStyle name="40% - Accent3 4 3 3" xfId="5402" xr:uid="{00000000-0005-0000-0000-000082050000}"/>
    <cellStyle name="40% - Accent3 4 3 3 2" xfId="14728" xr:uid="{74077225-8B75-4BC2-B239-4DD53C8E7645}"/>
    <cellStyle name="40% - Accent3 4 3 4" xfId="10511" xr:uid="{471EEF5D-674B-4701-BAB5-3D4BCD850E0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083D3EE0-F8F5-4573-9D9B-DFF4DC5B884F}"/>
    <cellStyle name="40% - Accent3 4 4 2 3" xfId="13069" xr:uid="{A1F684DF-4F1C-4E66-9128-F3E72A296AC9}"/>
    <cellStyle name="40% - Accent3 4 4 3" xfId="5815" xr:uid="{00000000-0005-0000-0000-000086050000}"/>
    <cellStyle name="40% - Accent3 4 4 3 2" xfId="15141" xr:uid="{E61EFB68-28E5-4F02-8E37-57B2B316986A}"/>
    <cellStyle name="40% - Accent3 4 4 4" xfId="10924" xr:uid="{A1D26EC8-C105-410B-966C-EA238BEAA2B7}"/>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4FC970D9-D11F-4B9B-BE79-997DE7D662A5}"/>
    <cellStyle name="40% - Accent3 4 5 2 3" xfId="13482" xr:uid="{06FCCF36-65BE-4E5D-97B9-54E2BAD82D7A}"/>
    <cellStyle name="40% - Accent3 4 5 3" xfId="6228" xr:uid="{00000000-0005-0000-0000-00008A050000}"/>
    <cellStyle name="40% - Accent3 4 5 3 2" xfId="15554" xr:uid="{C7F0D40D-BA85-4C9C-A102-87958862983B}"/>
    <cellStyle name="40% - Accent3 4 5 4" xfId="11337" xr:uid="{7FDA0016-1668-4C4E-9A97-DCE8D98406A5}"/>
    <cellStyle name="40% - Accent3 4 6" xfId="2335" xr:uid="{00000000-0005-0000-0000-00008B050000}"/>
    <cellStyle name="40% - Accent3 4 6 2" xfId="6641" xr:uid="{00000000-0005-0000-0000-00008C050000}"/>
    <cellStyle name="40% - Accent3 4 6 2 2" xfId="15967" xr:uid="{1B293FDE-6D6D-438F-8D1A-909181CBEE1E}"/>
    <cellStyle name="40% - Accent3 4 6 3" xfId="11750" xr:uid="{6C183D9A-6DFB-430B-A9CF-EEB1D447F5D0}"/>
    <cellStyle name="40% - Accent3 4 7" xfId="4575" xr:uid="{00000000-0005-0000-0000-00008D050000}"/>
    <cellStyle name="40% - Accent3 4 7 2" xfId="13901" xr:uid="{D189D394-4AEE-409D-BD9F-72D9A74C8AC8}"/>
    <cellStyle name="40% - Accent3 4 8" xfId="8952" xr:uid="{74BF8F1E-4A34-4787-9BA1-0B97E446635F}"/>
    <cellStyle name="40% - Accent3 4 8 2" xfId="18275" xr:uid="{A0FE0130-B832-4633-BD6F-654E9DE53C69}"/>
    <cellStyle name="40% - Accent3 4 9" xfId="9684" xr:uid="{13915FF2-0ECB-4119-8ED8-38546D6F69D7}"/>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7324674E-0DB2-4E56-9409-EC2E2025B3C3}"/>
    <cellStyle name="40% - Accent3 5 2 3" xfId="12236" xr:uid="{C0D52A5F-C5AA-4302-A978-FE0E1080590A}"/>
    <cellStyle name="40% - Accent3 5 3" xfId="4982" xr:uid="{00000000-0005-0000-0000-000091050000}"/>
    <cellStyle name="40% - Accent3 5 3 2" xfId="14308" xr:uid="{770305DF-15C2-4518-8D21-058E36B15952}"/>
    <cellStyle name="40% - Accent3 5 4" xfId="9185" xr:uid="{526F025D-EBF7-4976-9E38-4C0631A2843B}"/>
    <cellStyle name="40% - Accent3 5 4 2" xfId="18501" xr:uid="{602198A0-A469-4338-87DB-D43EFB535020}"/>
    <cellStyle name="40% - Accent3 5 5" xfId="10091" xr:uid="{8736D22B-4881-4FBC-8835-705D5101ADAB}"/>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00DB49AB-06B5-4910-B3F0-C9C1DA879EBE}"/>
    <cellStyle name="40% - Accent3 6 2 3" xfId="12649" xr:uid="{CEF2628E-9CC8-4590-9120-B7E8583A379C}"/>
    <cellStyle name="40% - Accent3 6 3" xfId="5395" xr:uid="{00000000-0005-0000-0000-000095050000}"/>
    <cellStyle name="40% - Accent3 6 3 2" xfId="14721" xr:uid="{7A47D9A1-8A81-4889-A4CE-7B1C32384545}"/>
    <cellStyle name="40% - Accent3 6 4" xfId="10504" xr:uid="{6348591E-72E6-4104-81D5-898141CBE61B}"/>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2886FF1D-5887-4D58-A1D7-F22E94E85A53}"/>
    <cellStyle name="40% - Accent3 7 2 3" xfId="13062" xr:uid="{A9DC8BC7-7101-4FB2-86FF-069545CB9B02}"/>
    <cellStyle name="40% - Accent3 7 3" xfId="5808" xr:uid="{00000000-0005-0000-0000-000099050000}"/>
    <cellStyle name="40% - Accent3 7 3 2" xfId="15134" xr:uid="{1EEF007A-A0F6-43AF-8FD8-DE306CC22645}"/>
    <cellStyle name="40% - Accent3 7 4" xfId="10917" xr:uid="{AF69F4B6-2F7F-4F0F-8265-59604809CF69}"/>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B41FC2DF-A5CA-49B0-A061-D57352CA9DCF}"/>
    <cellStyle name="40% - Accent3 8 2 3" xfId="13475" xr:uid="{A8DE28AB-F979-4A25-958F-C8C5D339C753}"/>
    <cellStyle name="40% - Accent3 8 3" xfId="6221" xr:uid="{00000000-0005-0000-0000-00009D050000}"/>
    <cellStyle name="40% - Accent3 8 3 2" xfId="15547" xr:uid="{C380795B-ED35-4BF9-85B1-54C846971886}"/>
    <cellStyle name="40% - Accent3 8 4" xfId="11330" xr:uid="{A907D6E3-1719-48D0-9CBE-8DF4652C1274}"/>
    <cellStyle name="40% - Accent3 9" xfId="2328" xr:uid="{00000000-0005-0000-0000-00009E050000}"/>
    <cellStyle name="40% - Accent3 9 2" xfId="6634" xr:uid="{00000000-0005-0000-0000-00009F050000}"/>
    <cellStyle name="40% - Accent3 9 2 2" xfId="15960" xr:uid="{EA64A563-7C0C-4A30-9E25-58968B59A4A9}"/>
    <cellStyle name="40% - Accent3 9 3" xfId="11743" xr:uid="{1B01F3F3-BEB4-4237-9DCE-10976867F01A}"/>
    <cellStyle name="40% - Accent4" xfId="73" builtinId="43" customBuiltin="1"/>
    <cellStyle name="40% - Accent4 10" xfId="4576" xr:uid="{00000000-0005-0000-0000-0000A1050000}"/>
    <cellStyle name="40% - Accent4 10 2" xfId="13902" xr:uid="{1D3B6DB4-3859-4F87-99C2-C7DEE3EA5EB6}"/>
    <cellStyle name="40% - Accent4 11" xfId="8765" xr:uid="{18B6B6D6-5043-43D1-BB02-3855BF7027C3}"/>
    <cellStyle name="40% - Accent4 11 2" xfId="18088" xr:uid="{D4026001-45AE-4F37-910E-28F8F0003A07}"/>
    <cellStyle name="40% - Accent4 12" xfId="9685" xr:uid="{98E18754-D92D-4B4B-98DB-7A4EAA3A1207}"/>
    <cellStyle name="40% - Accent4 2" xfId="74" xr:uid="{00000000-0005-0000-0000-0000A2050000}"/>
    <cellStyle name="40% - Accent4 2 10" xfId="8801" xr:uid="{223FCC58-A05E-4022-8080-E75A80678FA6}"/>
    <cellStyle name="40% - Accent4 2 10 2" xfId="18124" xr:uid="{10FBFB85-8319-415F-8114-FCCC4BEFF99D}"/>
    <cellStyle name="40% - Accent4 2 11" xfId="9686" xr:uid="{4C14C391-EEC3-42E2-8485-E2FC7E7B098B}"/>
    <cellStyle name="40% - Accent4 2 2" xfId="75" xr:uid="{00000000-0005-0000-0000-0000A3050000}"/>
    <cellStyle name="40% - Accent4 2 2 10" xfId="9687" xr:uid="{4D6FEDAF-263F-40DB-A55A-5E09F2E79FE6}"/>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1C75D858-D720-4EFD-BFE1-07EE69810072}"/>
    <cellStyle name="40% - Accent4 2 2 2 2 2 3" xfId="12247" xr:uid="{0A92B2CC-A599-449B-8655-0F06F05A70E4}"/>
    <cellStyle name="40% - Accent4 2 2 2 2 3" xfId="4993" xr:uid="{00000000-0005-0000-0000-0000A8050000}"/>
    <cellStyle name="40% - Accent4 2 2 2 2 3 2" xfId="14319" xr:uid="{3FB2E0A3-6659-4A04-84F9-853A0F9DC3C7}"/>
    <cellStyle name="40% - Accent4 2 2 2 2 4" xfId="9536" xr:uid="{4351D24F-CE30-4CFD-968F-4B882F0FC9B5}"/>
    <cellStyle name="40% - Accent4 2 2 2 2 4 2" xfId="18849" xr:uid="{A5492FC5-3DFB-49E0-A9F1-41FB51C4E328}"/>
    <cellStyle name="40% - Accent4 2 2 2 2 5" xfId="10102" xr:uid="{05E4E42A-E8EC-4401-B5C2-7BC6D4726246}"/>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C3F8B917-0816-4C4D-8CDC-A54980E3E947}"/>
    <cellStyle name="40% - Accent4 2 2 2 3 2 3" xfId="12660" xr:uid="{F8DB6E88-EDA4-49A4-BED3-60A3FB667919}"/>
    <cellStyle name="40% - Accent4 2 2 2 3 3" xfId="5406" xr:uid="{00000000-0005-0000-0000-0000AC050000}"/>
    <cellStyle name="40% - Accent4 2 2 2 3 3 2" xfId="14732" xr:uid="{4B87371C-8746-46A8-9D4A-A92031C24D7C}"/>
    <cellStyle name="40% - Accent4 2 2 2 3 4" xfId="10515" xr:uid="{125B2D98-C160-4884-905B-54AE570E0CC7}"/>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0BFAE124-DD6C-43A3-9CBA-C5D95DC9415E}"/>
    <cellStyle name="40% - Accent4 2 2 2 4 2 3" xfId="13073" xr:uid="{D809B018-4B06-4325-A9C5-4ED3BF044790}"/>
    <cellStyle name="40% - Accent4 2 2 2 4 3" xfId="5819" xr:uid="{00000000-0005-0000-0000-0000B0050000}"/>
    <cellStyle name="40% - Accent4 2 2 2 4 3 2" xfId="15145" xr:uid="{FBB715CF-E66A-4D9E-8FAB-50F3BF5872C1}"/>
    <cellStyle name="40% - Accent4 2 2 2 4 4" xfId="10928" xr:uid="{725F8107-9605-4CC1-9CEE-83025977F189}"/>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58E373A5-5BF4-4655-9D6D-2DE0688FBA35}"/>
    <cellStyle name="40% - Accent4 2 2 2 5 2 3" xfId="13486" xr:uid="{AB5ED525-2287-41BE-94D5-71D2E7E9244D}"/>
    <cellStyle name="40% - Accent4 2 2 2 5 3" xfId="6232" xr:uid="{00000000-0005-0000-0000-0000B4050000}"/>
    <cellStyle name="40% - Accent4 2 2 2 5 3 2" xfId="15558" xr:uid="{85D7B94A-6501-4EE9-8D71-760EE6A02E29}"/>
    <cellStyle name="40% - Accent4 2 2 2 5 4" xfId="11341" xr:uid="{9082F274-3EF1-4065-91FC-D33D89D72375}"/>
    <cellStyle name="40% - Accent4 2 2 2 6" xfId="2339" xr:uid="{00000000-0005-0000-0000-0000B5050000}"/>
    <cellStyle name="40% - Accent4 2 2 2 6 2" xfId="6645" xr:uid="{00000000-0005-0000-0000-0000B6050000}"/>
    <cellStyle name="40% - Accent4 2 2 2 6 2 2" xfId="15971" xr:uid="{2FA7A9D2-496A-4596-BAEF-C8770CFF1982}"/>
    <cellStyle name="40% - Accent4 2 2 2 6 3" xfId="11754" xr:uid="{9FF6B634-0672-4B06-98CA-593A9BB7826F}"/>
    <cellStyle name="40% - Accent4 2 2 2 7" xfId="4579" xr:uid="{00000000-0005-0000-0000-0000B7050000}"/>
    <cellStyle name="40% - Accent4 2 2 2 7 2" xfId="13905" xr:uid="{12151809-9D73-4CD9-9821-0F11E0F450E3}"/>
    <cellStyle name="40% - Accent4 2 2 2 8" xfId="9111" xr:uid="{1DD86F12-0D11-497C-88D9-78D90E1EF65F}"/>
    <cellStyle name="40% - Accent4 2 2 2 8 2" xfId="18434" xr:uid="{52528A32-14AA-48D1-9C1E-349C47398886}"/>
    <cellStyle name="40% - Accent4 2 2 2 9" xfId="9688" xr:uid="{1D091E6F-3CA3-4198-A2A1-CBA62F852835}"/>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A574BDFA-61F9-4BA3-A677-FF7932C3929D}"/>
    <cellStyle name="40% - Accent4 2 2 3 2 3" xfId="12246" xr:uid="{88AF23AB-17D1-4D9D-856C-1678409B0DC3}"/>
    <cellStyle name="40% - Accent4 2 2 3 3" xfId="4992" xr:uid="{00000000-0005-0000-0000-0000BB050000}"/>
    <cellStyle name="40% - Accent4 2 2 3 3 2" xfId="14318" xr:uid="{079DCDD1-1F56-4730-A8EE-9DEB036EC23F}"/>
    <cellStyle name="40% - Accent4 2 2 3 4" xfId="9329" xr:uid="{62CB3536-9FC4-4DBF-9121-AD0025D891C9}"/>
    <cellStyle name="40% - Accent4 2 2 3 4 2" xfId="18642" xr:uid="{78F5F157-F0E8-403D-9932-DB9B4BA962F1}"/>
    <cellStyle name="40% - Accent4 2 2 3 5" xfId="10101" xr:uid="{7E63BB60-AF7A-4CFC-9CA6-93855C31B7B5}"/>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B1668335-C6C9-47C7-853D-1786928D5398}"/>
    <cellStyle name="40% - Accent4 2 2 4 2 3" xfId="12659" xr:uid="{A4D48164-FF18-4D28-AA98-843796530234}"/>
    <cellStyle name="40% - Accent4 2 2 4 3" xfId="5405" xr:uid="{00000000-0005-0000-0000-0000BF050000}"/>
    <cellStyle name="40% - Accent4 2 2 4 3 2" xfId="14731" xr:uid="{99A614B3-FAE6-4249-988F-6A97ED1265E4}"/>
    <cellStyle name="40% - Accent4 2 2 4 4" xfId="10514" xr:uid="{4CBFCEE4-13C7-4B5E-B1CE-21AF6CABE988}"/>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8125E9CA-6DB0-4B73-A9DD-9992DE151539}"/>
    <cellStyle name="40% - Accent4 2 2 5 2 3" xfId="13072" xr:uid="{C6F9E70C-7116-48E5-AE1D-EA735F29DF04}"/>
    <cellStyle name="40% - Accent4 2 2 5 3" xfId="5818" xr:uid="{00000000-0005-0000-0000-0000C3050000}"/>
    <cellStyle name="40% - Accent4 2 2 5 3 2" xfId="15144" xr:uid="{F205DBB2-82D0-4AA8-A20C-24D545600C07}"/>
    <cellStyle name="40% - Accent4 2 2 5 4" xfId="10927" xr:uid="{9EDC0BCC-7843-45CD-970A-659B5F49CAF7}"/>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F31D1361-23EB-4712-9F7D-0001727D19EB}"/>
    <cellStyle name="40% - Accent4 2 2 6 2 3" xfId="13485" xr:uid="{D88A1DEE-8822-49E3-9267-E7E6E9EFE18F}"/>
    <cellStyle name="40% - Accent4 2 2 6 3" xfId="6231" xr:uid="{00000000-0005-0000-0000-0000C7050000}"/>
    <cellStyle name="40% - Accent4 2 2 6 3 2" xfId="15557" xr:uid="{B1C4A44E-AAF4-4A60-B239-689FF6086628}"/>
    <cellStyle name="40% - Accent4 2 2 6 4" xfId="11340" xr:uid="{EFC71D81-6087-4B7E-9039-A4D397E5518B}"/>
    <cellStyle name="40% - Accent4 2 2 7" xfId="2338" xr:uid="{00000000-0005-0000-0000-0000C8050000}"/>
    <cellStyle name="40% - Accent4 2 2 7 2" xfId="6644" xr:uid="{00000000-0005-0000-0000-0000C9050000}"/>
    <cellStyle name="40% - Accent4 2 2 7 2 2" xfId="15970" xr:uid="{6341073C-BF07-4713-948A-3A4EF5F582EE}"/>
    <cellStyle name="40% - Accent4 2 2 7 3" xfId="11753" xr:uid="{462D19E9-4920-4952-98D5-BFD8A0E32B7F}"/>
    <cellStyle name="40% - Accent4 2 2 8" xfId="4578" xr:uid="{00000000-0005-0000-0000-0000CA050000}"/>
    <cellStyle name="40% - Accent4 2 2 8 2" xfId="13904" xr:uid="{3EDC1B76-EE0C-49B5-B6AB-0357736CF239}"/>
    <cellStyle name="40% - Accent4 2 2 9" xfId="8904" xr:uid="{64C959C5-2FAF-462D-88B6-14B59CDC763B}"/>
    <cellStyle name="40% - Accent4 2 2 9 2" xfId="18227" xr:uid="{6A222F00-58DA-4CD4-9F81-1DE6025B8954}"/>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07D65808-C370-42FD-9EFF-28C427DDC926}"/>
    <cellStyle name="40% - Accent4 2 3 2 2 3" xfId="12248" xr:uid="{7E1B349A-A8D2-400C-88F0-B6834420BA45}"/>
    <cellStyle name="40% - Accent4 2 3 2 3" xfId="4994" xr:uid="{00000000-0005-0000-0000-0000CF050000}"/>
    <cellStyle name="40% - Accent4 2 3 2 3 2" xfId="14320" xr:uid="{B2166004-8CC6-482E-8D78-07DF53D313BF}"/>
    <cellStyle name="40% - Accent4 2 3 2 4" xfId="9433" xr:uid="{058786D1-7E7D-40D9-9218-B4C7219F4E53}"/>
    <cellStyle name="40% - Accent4 2 3 2 4 2" xfId="18746" xr:uid="{66572FF9-4C56-4B51-8841-5C00CECC56E5}"/>
    <cellStyle name="40% - Accent4 2 3 2 5" xfId="10103" xr:uid="{E083A84B-A5DE-4F89-A62F-FB5D7A194F5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77BF37F8-C0C0-4916-9C4B-4B2B16678A90}"/>
    <cellStyle name="40% - Accent4 2 3 3 2 3" xfId="12661" xr:uid="{C47C25A1-1C6C-4F13-AA9E-FD96E35AB85F}"/>
    <cellStyle name="40% - Accent4 2 3 3 3" xfId="5407" xr:uid="{00000000-0005-0000-0000-0000D3050000}"/>
    <cellStyle name="40% - Accent4 2 3 3 3 2" xfId="14733" xr:uid="{DE09BE02-2321-4036-A5A2-8D1F21F17B4E}"/>
    <cellStyle name="40% - Accent4 2 3 3 4" xfId="10516" xr:uid="{4103C069-80A0-47C9-914D-3CFB32171B3C}"/>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F20BE35D-61B3-47FC-AFA9-21501EDD8BB8}"/>
    <cellStyle name="40% - Accent4 2 3 4 2 3" xfId="13074" xr:uid="{9B0892FC-6514-477A-98D1-6774EBAAE1E6}"/>
    <cellStyle name="40% - Accent4 2 3 4 3" xfId="5820" xr:uid="{00000000-0005-0000-0000-0000D7050000}"/>
    <cellStyle name="40% - Accent4 2 3 4 3 2" xfId="15146" xr:uid="{39CF1724-6B79-4F69-98D4-F6D9426227D9}"/>
    <cellStyle name="40% - Accent4 2 3 4 4" xfId="10929" xr:uid="{9AE1A7BD-771B-4CD5-B691-B94149F9B9A5}"/>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E8ACA0E4-C879-4D39-8EB0-B907B8B32C08}"/>
    <cellStyle name="40% - Accent4 2 3 5 2 3" xfId="13487" xr:uid="{0EA84D37-925D-449D-96BA-88E9B1B89064}"/>
    <cellStyle name="40% - Accent4 2 3 5 3" xfId="6233" xr:uid="{00000000-0005-0000-0000-0000DB050000}"/>
    <cellStyle name="40% - Accent4 2 3 5 3 2" xfId="15559" xr:uid="{1A9EBEE2-F8E8-4112-9AB8-C993A5970ED3}"/>
    <cellStyle name="40% - Accent4 2 3 5 4" xfId="11342" xr:uid="{2469D136-30C6-4C4E-B97D-6AD7F3A5F1E1}"/>
    <cellStyle name="40% - Accent4 2 3 6" xfId="2340" xr:uid="{00000000-0005-0000-0000-0000DC050000}"/>
    <cellStyle name="40% - Accent4 2 3 6 2" xfId="6646" xr:uid="{00000000-0005-0000-0000-0000DD050000}"/>
    <cellStyle name="40% - Accent4 2 3 6 2 2" xfId="15972" xr:uid="{D905F12E-8D14-40E6-844B-674B4BA31ADD}"/>
    <cellStyle name="40% - Accent4 2 3 6 3" xfId="11755" xr:uid="{49B667E2-D26F-4E83-A5D3-D0B3CAE9BC41}"/>
    <cellStyle name="40% - Accent4 2 3 7" xfId="4580" xr:uid="{00000000-0005-0000-0000-0000DE050000}"/>
    <cellStyle name="40% - Accent4 2 3 7 2" xfId="13906" xr:uid="{0FBD90CF-BCA0-40FD-B7DC-271E6E1CD605}"/>
    <cellStyle name="40% - Accent4 2 3 8" xfId="9008" xr:uid="{270F4CAB-C86F-4D9D-804F-69497913908B}"/>
    <cellStyle name="40% - Accent4 2 3 8 2" xfId="18331" xr:uid="{03F75F43-A774-4369-BD17-9677F16531B4}"/>
    <cellStyle name="40% - Accent4 2 3 9" xfId="9689" xr:uid="{C01CBCF0-4777-4ED2-8B2B-3C5893BD911D}"/>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66083BA9-D1D7-4EDD-A533-290FC4D7428E}"/>
    <cellStyle name="40% - Accent4 2 4 2 3" xfId="12245" xr:uid="{9F2CEFC7-EEB5-4828-BD26-3C9C9821E860}"/>
    <cellStyle name="40% - Accent4 2 4 3" xfId="4991" xr:uid="{00000000-0005-0000-0000-0000E2050000}"/>
    <cellStyle name="40% - Accent4 2 4 3 2" xfId="14317" xr:uid="{9B8A947F-00E7-4E79-AF16-997C7FE6F44F}"/>
    <cellStyle name="40% - Accent4 2 4 4" xfId="9225" xr:uid="{40EEB981-54C4-40E4-A2F9-BCD479248D23}"/>
    <cellStyle name="40% - Accent4 2 4 4 2" xfId="18539" xr:uid="{0819FEB5-023C-4C8E-B7EE-1A6F4069741A}"/>
    <cellStyle name="40% - Accent4 2 4 5" xfId="10100" xr:uid="{2BB623AB-E9B0-4955-B10D-F0C60F4B0504}"/>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1CB9F2AA-ACDD-4871-9A96-43F65DBDFBB6}"/>
    <cellStyle name="40% - Accent4 2 5 2 3" xfId="12658" xr:uid="{877B9CAF-496C-483B-810A-6DBE7F4A641C}"/>
    <cellStyle name="40% - Accent4 2 5 3" xfId="5404" xr:uid="{00000000-0005-0000-0000-0000E6050000}"/>
    <cellStyle name="40% - Accent4 2 5 3 2" xfId="14730" xr:uid="{69E7BEFE-EDA5-48E0-871F-4266824F0BF8}"/>
    <cellStyle name="40% - Accent4 2 5 4" xfId="10513" xr:uid="{F5B397F5-926A-4524-8776-1C6569EB887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95C3704E-8179-4580-AE36-A621EB82DAF9}"/>
    <cellStyle name="40% - Accent4 2 6 2 3" xfId="13071" xr:uid="{5DBDA518-FB06-40B4-833E-9C4D8B0B75CC}"/>
    <cellStyle name="40% - Accent4 2 6 3" xfId="5817" xr:uid="{00000000-0005-0000-0000-0000EA050000}"/>
    <cellStyle name="40% - Accent4 2 6 3 2" xfId="15143" xr:uid="{7C2F0258-DBC4-4489-98A1-92331471CEC0}"/>
    <cellStyle name="40% - Accent4 2 6 4" xfId="10926" xr:uid="{3286CA90-7A6C-49E3-8BE8-C5D7CA2E2C8F}"/>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34B029A5-8F08-4DA4-9C16-33BC1B0FE2A8}"/>
    <cellStyle name="40% - Accent4 2 7 2 3" xfId="13484" xr:uid="{9299771E-C27C-4C96-B9FE-E9F6FB788CA4}"/>
    <cellStyle name="40% - Accent4 2 7 3" xfId="6230" xr:uid="{00000000-0005-0000-0000-0000EE050000}"/>
    <cellStyle name="40% - Accent4 2 7 3 2" xfId="15556" xr:uid="{9551C003-50F0-47CE-885B-38D80B57A4C2}"/>
    <cellStyle name="40% - Accent4 2 7 4" xfId="11339" xr:uid="{C1661EFB-5819-4D6C-9295-8B04CA3AAB47}"/>
    <cellStyle name="40% - Accent4 2 8" xfId="2337" xr:uid="{00000000-0005-0000-0000-0000EF050000}"/>
    <cellStyle name="40% - Accent4 2 8 2" xfId="6643" xr:uid="{00000000-0005-0000-0000-0000F0050000}"/>
    <cellStyle name="40% - Accent4 2 8 2 2" xfId="15969" xr:uid="{A7C25EF8-4215-4558-B7DF-B97A542EABF9}"/>
    <cellStyle name="40% - Accent4 2 8 3" xfId="11752" xr:uid="{F49BEDD6-2F7B-478E-85E8-4F6DE072986D}"/>
    <cellStyle name="40% - Accent4 2 9" xfId="4577" xr:uid="{00000000-0005-0000-0000-0000F1050000}"/>
    <cellStyle name="40% - Accent4 2 9 2" xfId="13903" xr:uid="{30B30F80-1D69-4F7B-98F1-563D5E9B131D}"/>
    <cellStyle name="40% - Accent4 3" xfId="78" xr:uid="{00000000-0005-0000-0000-0000F2050000}"/>
    <cellStyle name="40% - Accent4 3 10" xfId="9690" xr:uid="{A296CFED-B380-4352-AFC5-0FA236A3DB5C}"/>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097A06FA-1BD6-4DB6-8072-744952001D84}"/>
    <cellStyle name="40% - Accent4 3 2 2 2 3" xfId="12250" xr:uid="{3C19F4F0-431F-449F-B043-683B254E8464}"/>
    <cellStyle name="40% - Accent4 3 2 2 3" xfId="4996" xr:uid="{00000000-0005-0000-0000-0000F7050000}"/>
    <cellStyle name="40% - Accent4 3 2 2 3 2" xfId="14322" xr:uid="{8293D96A-06A6-4688-869A-4D02D1A70A4B}"/>
    <cellStyle name="40% - Accent4 3 2 2 4" xfId="9500" xr:uid="{EAAAC99F-A3A1-40FB-B78D-6862EF121B7A}"/>
    <cellStyle name="40% - Accent4 3 2 2 4 2" xfId="18813" xr:uid="{1D7EB131-9ACD-4941-B666-CD94C0231BF1}"/>
    <cellStyle name="40% - Accent4 3 2 2 5" xfId="10105" xr:uid="{49245524-1FCA-43D8-84F8-50B9C70D60B1}"/>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BE50AA39-E2F6-4DDC-8659-E02DCA85BF02}"/>
    <cellStyle name="40% - Accent4 3 2 3 2 3" xfId="12663" xr:uid="{1E569BB8-E605-4A96-A90A-E20488654940}"/>
    <cellStyle name="40% - Accent4 3 2 3 3" xfId="5409" xr:uid="{00000000-0005-0000-0000-0000FB050000}"/>
    <cellStyle name="40% - Accent4 3 2 3 3 2" xfId="14735" xr:uid="{ECDDF953-1368-4CDF-A4CE-B4A8D94179DA}"/>
    <cellStyle name="40% - Accent4 3 2 3 4" xfId="10518" xr:uid="{9C52A90F-FA25-46A9-A597-3E0EB5BF314A}"/>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42402137-8437-4AFB-8B10-E3F2C572B0EF}"/>
    <cellStyle name="40% - Accent4 3 2 4 2 3" xfId="13076" xr:uid="{A8321AF0-DC93-4CF2-8282-50ED4F5D6544}"/>
    <cellStyle name="40% - Accent4 3 2 4 3" xfId="5822" xr:uid="{00000000-0005-0000-0000-0000FF050000}"/>
    <cellStyle name="40% - Accent4 3 2 4 3 2" xfId="15148" xr:uid="{2E8685B6-A7F2-4C92-A0EF-24DE438184A7}"/>
    <cellStyle name="40% - Accent4 3 2 4 4" xfId="10931" xr:uid="{8E714C2C-6085-4C0F-AA7B-24A05C108FF3}"/>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544DDEB6-B8C1-4571-AC95-9EBEEEEE83D2}"/>
    <cellStyle name="40% - Accent4 3 2 5 2 3" xfId="13489" xr:uid="{F85CDD2B-DCE8-4CCB-A541-56D2F4505164}"/>
    <cellStyle name="40% - Accent4 3 2 5 3" xfId="6235" xr:uid="{00000000-0005-0000-0000-000003060000}"/>
    <cellStyle name="40% - Accent4 3 2 5 3 2" xfId="15561" xr:uid="{D2A63392-730A-4CAC-B7C0-773E6BD28EF3}"/>
    <cellStyle name="40% - Accent4 3 2 5 4" xfId="11344" xr:uid="{FFAE4B3D-D83B-4C18-8181-9AE9935DBE10}"/>
    <cellStyle name="40% - Accent4 3 2 6" xfId="2342" xr:uid="{00000000-0005-0000-0000-000004060000}"/>
    <cellStyle name="40% - Accent4 3 2 6 2" xfId="6648" xr:uid="{00000000-0005-0000-0000-000005060000}"/>
    <cellStyle name="40% - Accent4 3 2 6 2 2" xfId="15974" xr:uid="{9742ABD5-F38B-4786-B924-846C9503A786}"/>
    <cellStyle name="40% - Accent4 3 2 6 3" xfId="11757" xr:uid="{EBA6278C-62A7-4E53-8DD0-9F312D3FFA3F}"/>
    <cellStyle name="40% - Accent4 3 2 7" xfId="4582" xr:uid="{00000000-0005-0000-0000-000006060000}"/>
    <cellStyle name="40% - Accent4 3 2 7 2" xfId="13908" xr:uid="{84BEFC04-E3F4-4A34-8393-1786AA951010}"/>
    <cellStyle name="40% - Accent4 3 2 8" xfId="9075" xr:uid="{6C51FF47-5618-4E1E-BC97-01FFF287A6C3}"/>
    <cellStyle name="40% - Accent4 3 2 8 2" xfId="18398" xr:uid="{03DA631D-054F-410E-A62C-AB59BF64B1D2}"/>
    <cellStyle name="40% - Accent4 3 2 9" xfId="9691" xr:uid="{736C4CE0-82CF-401D-9885-FE9AC14C1C89}"/>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B22E59D9-28A8-4731-98D5-249F41F9FE98}"/>
    <cellStyle name="40% - Accent4 3 3 2 3" xfId="12249" xr:uid="{229E7538-E6D2-4715-AE64-1378022D1D0A}"/>
    <cellStyle name="40% - Accent4 3 3 3" xfId="4995" xr:uid="{00000000-0005-0000-0000-00000A060000}"/>
    <cellStyle name="40% - Accent4 3 3 3 2" xfId="14321" xr:uid="{6A988827-9341-419B-8E85-02C514E1E19A}"/>
    <cellStyle name="40% - Accent4 3 3 4" xfId="9293" xr:uid="{4A28D7F5-3617-45DC-A350-6C6596CDA765}"/>
    <cellStyle name="40% - Accent4 3 3 4 2" xfId="18606" xr:uid="{20E86681-7083-4F26-969C-26E6C1180CC9}"/>
    <cellStyle name="40% - Accent4 3 3 5" xfId="10104" xr:uid="{349CFD42-902C-4EDC-8110-B63381045AD4}"/>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0551BFE2-1CF0-4694-B7AF-DF223D42BD72}"/>
    <cellStyle name="40% - Accent4 3 4 2 3" xfId="12662" xr:uid="{56BF3FE2-452E-4F36-862A-459C2F724A83}"/>
    <cellStyle name="40% - Accent4 3 4 3" xfId="5408" xr:uid="{00000000-0005-0000-0000-00000E060000}"/>
    <cellStyle name="40% - Accent4 3 4 3 2" xfId="14734" xr:uid="{1A7099DB-349F-4F7E-B2E2-5461AD212B8E}"/>
    <cellStyle name="40% - Accent4 3 4 4" xfId="10517" xr:uid="{D4E9603B-89C9-4EAC-815F-B228844F5812}"/>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54C1F250-B526-4E2B-B889-F633F1772086}"/>
    <cellStyle name="40% - Accent4 3 5 2 3" xfId="13075" xr:uid="{27CA938A-9F04-48A3-B113-4BFEEB9C1DC9}"/>
    <cellStyle name="40% - Accent4 3 5 3" xfId="5821" xr:uid="{00000000-0005-0000-0000-000012060000}"/>
    <cellStyle name="40% - Accent4 3 5 3 2" xfId="15147" xr:uid="{49FC7213-04D8-4BF8-8E7D-1AF947B4F7FB}"/>
    <cellStyle name="40% - Accent4 3 5 4" xfId="10930" xr:uid="{B045E1F1-49DF-4B7C-983A-B04E7292F17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6D0BF7E8-9C45-4FF6-86B4-62D796072134}"/>
    <cellStyle name="40% - Accent4 3 6 2 3" xfId="13488" xr:uid="{E2792E48-9468-45E6-93D9-DECDE59BE658}"/>
    <cellStyle name="40% - Accent4 3 6 3" xfId="6234" xr:uid="{00000000-0005-0000-0000-000016060000}"/>
    <cellStyle name="40% - Accent4 3 6 3 2" xfId="15560" xr:uid="{12ECBA4C-8DA3-4D08-B552-5C5564D9EABB}"/>
    <cellStyle name="40% - Accent4 3 6 4" xfId="11343" xr:uid="{9166728F-27E4-4D90-98F3-69CAC79560F5}"/>
    <cellStyle name="40% - Accent4 3 7" xfId="2341" xr:uid="{00000000-0005-0000-0000-000017060000}"/>
    <cellStyle name="40% - Accent4 3 7 2" xfId="6647" xr:uid="{00000000-0005-0000-0000-000018060000}"/>
    <cellStyle name="40% - Accent4 3 7 2 2" xfId="15973" xr:uid="{4C24B742-4C3F-4B5D-A6ED-5AAD9BF88235}"/>
    <cellStyle name="40% - Accent4 3 7 3" xfId="11756" xr:uid="{80291DDE-469D-4283-BB97-4B22BC2B1C90}"/>
    <cellStyle name="40% - Accent4 3 8" xfId="4581" xr:uid="{00000000-0005-0000-0000-000019060000}"/>
    <cellStyle name="40% - Accent4 3 8 2" xfId="13907" xr:uid="{8F29085C-3B9A-4068-84DE-7653BCEB4389}"/>
    <cellStyle name="40% - Accent4 3 9" xfId="8868" xr:uid="{538D9F50-ACCA-4DB0-A3F1-A129ACFFA0BF}"/>
    <cellStyle name="40% - Accent4 3 9 2" xfId="18191" xr:uid="{307E908B-7E40-440B-AB25-0A094406289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3CF63EEC-0570-4C5E-91DD-82879E8CB995}"/>
    <cellStyle name="40% - Accent4 4 2 2 3" xfId="12251" xr:uid="{63D7DBD1-FA79-4848-B9BA-C6BBE28D8565}"/>
    <cellStyle name="40% - Accent4 4 2 3" xfId="4997" xr:uid="{00000000-0005-0000-0000-00001E060000}"/>
    <cellStyle name="40% - Accent4 4 2 3 2" xfId="14323" xr:uid="{1660D27B-5308-4361-9933-49D0BEE0CA58}"/>
    <cellStyle name="40% - Accent4 4 2 4" xfId="9379" xr:uid="{EE31EAE0-1741-4D6E-B7B4-C5DB59044F55}"/>
    <cellStyle name="40% - Accent4 4 2 4 2" xfId="18692" xr:uid="{EBB6EF10-AD8A-496F-9DB3-4F42276F66CA}"/>
    <cellStyle name="40% - Accent4 4 2 5" xfId="10106" xr:uid="{C3C4E39F-7A93-412A-B08F-99D62C3AFE3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952CC7F7-0F27-4D52-A4CE-4303149873F3}"/>
    <cellStyle name="40% - Accent4 4 3 2 3" xfId="12664" xr:uid="{F0948B0B-2BD0-4DA1-8128-B58E90CAB311}"/>
    <cellStyle name="40% - Accent4 4 3 3" xfId="5410" xr:uid="{00000000-0005-0000-0000-000022060000}"/>
    <cellStyle name="40% - Accent4 4 3 3 2" xfId="14736" xr:uid="{F598E4F5-E20C-4C53-B0AB-D7A679C57A41}"/>
    <cellStyle name="40% - Accent4 4 3 4" xfId="10519" xr:uid="{9464BA65-B58C-4878-8E69-A3ECDB044CCA}"/>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E83CBA76-444C-4A69-A17C-A7A7D12C0EF4}"/>
    <cellStyle name="40% - Accent4 4 4 2 3" xfId="13077" xr:uid="{1BD4F237-CE6C-47E9-BCF6-7C215F2E16AE}"/>
    <cellStyle name="40% - Accent4 4 4 3" xfId="5823" xr:uid="{00000000-0005-0000-0000-000026060000}"/>
    <cellStyle name="40% - Accent4 4 4 3 2" xfId="15149" xr:uid="{D82D5C72-4FF8-45CC-8AAA-105F0E7644EF}"/>
    <cellStyle name="40% - Accent4 4 4 4" xfId="10932" xr:uid="{3D995FB9-87F5-4466-A74E-B96FDE64408B}"/>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004E638A-9D6C-4358-A0A0-A4F0F041CE93}"/>
    <cellStyle name="40% - Accent4 4 5 2 3" xfId="13490" xr:uid="{B9C6D445-D9A3-449B-8CA8-2F38C8216CF0}"/>
    <cellStyle name="40% - Accent4 4 5 3" xfId="6236" xr:uid="{00000000-0005-0000-0000-00002A060000}"/>
    <cellStyle name="40% - Accent4 4 5 3 2" xfId="15562" xr:uid="{3BFCA183-97A9-4977-98F5-792D4D4B837E}"/>
    <cellStyle name="40% - Accent4 4 5 4" xfId="11345" xr:uid="{1BF1C528-1834-4EFD-80A9-506E332E4D9A}"/>
    <cellStyle name="40% - Accent4 4 6" xfId="2343" xr:uid="{00000000-0005-0000-0000-00002B060000}"/>
    <cellStyle name="40% - Accent4 4 6 2" xfId="6649" xr:uid="{00000000-0005-0000-0000-00002C060000}"/>
    <cellStyle name="40% - Accent4 4 6 2 2" xfId="15975" xr:uid="{94C3946E-793C-4CF1-A9AF-D6FA0391D4C9}"/>
    <cellStyle name="40% - Accent4 4 6 3" xfId="11758" xr:uid="{F89B4BE4-32BE-4EAE-9F21-059E12B43D21}"/>
    <cellStyle name="40% - Accent4 4 7" xfId="4583" xr:uid="{00000000-0005-0000-0000-00002D060000}"/>
    <cellStyle name="40% - Accent4 4 7 2" xfId="13909" xr:uid="{031BA7DB-D984-47FD-A8AA-CF1D2F1B3C0C}"/>
    <cellStyle name="40% - Accent4 4 8" xfId="8954" xr:uid="{2C178683-58B3-4513-85E7-15FAC3AC035D}"/>
    <cellStyle name="40% - Accent4 4 8 2" xfId="18277" xr:uid="{80D17C25-312F-4CE7-9895-8E383A6D99CE}"/>
    <cellStyle name="40% - Accent4 4 9" xfId="9692" xr:uid="{4EBC879C-8EAE-4385-B0E8-1532E466AC49}"/>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838034CB-8CA9-41AF-8479-B3E3A472A5EF}"/>
    <cellStyle name="40% - Accent4 5 2 3" xfId="12244" xr:uid="{1F9AC832-59AF-41EB-8D22-02EA344187E0}"/>
    <cellStyle name="40% - Accent4 5 3" xfId="4990" xr:uid="{00000000-0005-0000-0000-000031060000}"/>
    <cellStyle name="40% - Accent4 5 3 2" xfId="14316" xr:uid="{9CCF6039-F0E6-4791-9CC1-6779F5DCD5DE}"/>
    <cellStyle name="40% - Accent4 5 4" xfId="9187" xr:uid="{33022C89-0CDD-4091-8005-358F63FF8F46}"/>
    <cellStyle name="40% - Accent4 5 4 2" xfId="18503" xr:uid="{D480EFFF-9A4A-453F-83C2-65C866C030C8}"/>
    <cellStyle name="40% - Accent4 5 5" xfId="10099" xr:uid="{68B3E6B4-F406-47F0-BAED-7599632E217E}"/>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9E6BB0B3-A076-485C-9862-33834FCE9835}"/>
    <cellStyle name="40% - Accent4 6 2 3" xfId="12657" xr:uid="{11B059DC-930E-4E08-AFBE-18027D29D29B}"/>
    <cellStyle name="40% - Accent4 6 3" xfId="5403" xr:uid="{00000000-0005-0000-0000-000035060000}"/>
    <cellStyle name="40% - Accent4 6 3 2" xfId="14729" xr:uid="{37685F7D-0ABC-474E-862A-D91E15A870AE}"/>
    <cellStyle name="40% - Accent4 6 4" xfId="10512" xr:uid="{05B164FB-D861-4F3B-B9B8-B5FE64359199}"/>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83E5EC37-21A4-469F-9A71-4E2B655FA157}"/>
    <cellStyle name="40% - Accent4 7 2 3" xfId="13070" xr:uid="{CB161CFD-B8E7-4307-9C82-C7F470E9B17D}"/>
    <cellStyle name="40% - Accent4 7 3" xfId="5816" xr:uid="{00000000-0005-0000-0000-000039060000}"/>
    <cellStyle name="40% - Accent4 7 3 2" xfId="15142" xr:uid="{4F27C139-25E3-4B8D-BCFF-B1A24901FDCA}"/>
    <cellStyle name="40% - Accent4 7 4" xfId="10925" xr:uid="{9BF582CD-FCF0-42FC-A354-C166DF271228}"/>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76F9B060-1FD5-4CEC-B02C-F9EF90305446}"/>
    <cellStyle name="40% - Accent4 8 2 3" xfId="13483" xr:uid="{A28A3684-8573-4AFF-BD71-4187D9A4470F}"/>
    <cellStyle name="40% - Accent4 8 3" xfId="6229" xr:uid="{00000000-0005-0000-0000-00003D060000}"/>
    <cellStyle name="40% - Accent4 8 3 2" xfId="15555" xr:uid="{F804CA1F-C6B7-4F1E-B33B-21368DCD7123}"/>
    <cellStyle name="40% - Accent4 8 4" xfId="11338" xr:uid="{7BB1AD36-9208-408A-A391-BF16111F17AB}"/>
    <cellStyle name="40% - Accent4 9" xfId="2336" xr:uid="{00000000-0005-0000-0000-00003E060000}"/>
    <cellStyle name="40% - Accent4 9 2" xfId="6642" xr:uid="{00000000-0005-0000-0000-00003F060000}"/>
    <cellStyle name="40% - Accent4 9 2 2" xfId="15968" xr:uid="{C686C88E-D417-4F0D-B95F-945401F012B5}"/>
    <cellStyle name="40% - Accent4 9 3" xfId="11751" xr:uid="{C5F7639C-87EC-40AA-913F-C00E5893AC62}"/>
    <cellStyle name="40% - Accent5" xfId="81" builtinId="47" customBuiltin="1"/>
    <cellStyle name="40% - Accent5 10" xfId="4584" xr:uid="{00000000-0005-0000-0000-000041060000}"/>
    <cellStyle name="40% - Accent5 10 2" xfId="13910" xr:uid="{E2A6FFF7-0E20-4396-B147-BF4D67A0BA6B}"/>
    <cellStyle name="40% - Accent5 11" xfId="8767" xr:uid="{7A46ADF8-3420-4D4A-A3FE-8E96F0FA38E7}"/>
    <cellStyle name="40% - Accent5 11 2" xfId="18090" xr:uid="{BAD43968-AD2B-4C6F-96D6-D691B0388919}"/>
    <cellStyle name="40% - Accent5 12" xfId="9693" xr:uid="{6C90F9ED-1051-4F2C-9FE8-EE1563662426}"/>
    <cellStyle name="40% - Accent5 2" xfId="82" xr:uid="{00000000-0005-0000-0000-000042060000}"/>
    <cellStyle name="40% - Accent5 2 10" xfId="8802" xr:uid="{CF9BFF45-99AC-47A3-8B01-051C55FBB24D}"/>
    <cellStyle name="40% - Accent5 2 10 2" xfId="18125" xr:uid="{1924D81A-7CEE-4421-ADE4-99CC4EA52B01}"/>
    <cellStyle name="40% - Accent5 2 11" xfId="9694" xr:uid="{BD7E6CC4-F62B-45D2-BD39-2E019FC64779}"/>
    <cellStyle name="40% - Accent5 2 2" xfId="83" xr:uid="{00000000-0005-0000-0000-000043060000}"/>
    <cellStyle name="40% - Accent5 2 2 10" xfId="9695" xr:uid="{5412F93F-9CA7-4E05-A51F-B8DC82610E1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E0497375-D95B-4102-8C68-F576D648C359}"/>
    <cellStyle name="40% - Accent5 2 2 2 2 2 3" xfId="12255" xr:uid="{C21E3F87-A6E1-4B3C-B1FA-B55782AC1B80}"/>
    <cellStyle name="40% - Accent5 2 2 2 2 3" xfId="5001" xr:uid="{00000000-0005-0000-0000-000048060000}"/>
    <cellStyle name="40% - Accent5 2 2 2 2 3 2" xfId="14327" xr:uid="{53A9C16E-5261-400B-9E28-5ED583F129D4}"/>
    <cellStyle name="40% - Accent5 2 2 2 2 4" xfId="9537" xr:uid="{83834145-5D3F-4083-A609-6DB90651C4CE}"/>
    <cellStyle name="40% - Accent5 2 2 2 2 4 2" xfId="18850" xr:uid="{7C1A1975-10AD-4F49-A301-2EEA970B3BED}"/>
    <cellStyle name="40% - Accent5 2 2 2 2 5" xfId="10110" xr:uid="{DA7B799A-68E7-4F83-A069-ED4DC4795619}"/>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802CE217-FE71-4088-AC97-8CD08DD0B46D}"/>
    <cellStyle name="40% - Accent5 2 2 2 3 2 3" xfId="12668" xr:uid="{DB1A95C8-4A01-47EB-9CBD-0BE4E9E979A3}"/>
    <cellStyle name="40% - Accent5 2 2 2 3 3" xfId="5414" xr:uid="{00000000-0005-0000-0000-00004C060000}"/>
    <cellStyle name="40% - Accent5 2 2 2 3 3 2" xfId="14740" xr:uid="{544BC6F1-CE4A-4336-B1C1-BB778D9A59B9}"/>
    <cellStyle name="40% - Accent5 2 2 2 3 4" xfId="10523" xr:uid="{12D8CFC7-0E65-4008-806E-A7441012B743}"/>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C441D99C-A020-4877-976B-3D4838FF8AD3}"/>
    <cellStyle name="40% - Accent5 2 2 2 4 2 3" xfId="13081" xr:uid="{7676D300-4099-4643-98D1-AEB274EAF437}"/>
    <cellStyle name="40% - Accent5 2 2 2 4 3" xfId="5827" xr:uid="{00000000-0005-0000-0000-000050060000}"/>
    <cellStyle name="40% - Accent5 2 2 2 4 3 2" xfId="15153" xr:uid="{4B30995E-D86D-4DCD-8CE5-A3B18E449D53}"/>
    <cellStyle name="40% - Accent5 2 2 2 4 4" xfId="10936" xr:uid="{81F8D3A8-6A35-474D-B235-4BA9853E196C}"/>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D9582AB2-9D78-4E00-A90E-90F89C0783DF}"/>
    <cellStyle name="40% - Accent5 2 2 2 5 2 3" xfId="13494" xr:uid="{FFDF7C7E-B775-43F1-8D57-43CA2256E77A}"/>
    <cellStyle name="40% - Accent5 2 2 2 5 3" xfId="6240" xr:uid="{00000000-0005-0000-0000-000054060000}"/>
    <cellStyle name="40% - Accent5 2 2 2 5 3 2" xfId="15566" xr:uid="{A3EBE560-900C-4A05-8695-05401D4D3A9D}"/>
    <cellStyle name="40% - Accent5 2 2 2 5 4" xfId="11349" xr:uid="{03EE6DCA-6ABF-464B-9BB7-2B0E32660D9E}"/>
    <cellStyle name="40% - Accent5 2 2 2 6" xfId="2347" xr:uid="{00000000-0005-0000-0000-000055060000}"/>
    <cellStyle name="40% - Accent5 2 2 2 6 2" xfId="6653" xr:uid="{00000000-0005-0000-0000-000056060000}"/>
    <cellStyle name="40% - Accent5 2 2 2 6 2 2" xfId="15979" xr:uid="{1F4BFA36-B3C6-4608-864D-0E808F910788}"/>
    <cellStyle name="40% - Accent5 2 2 2 6 3" xfId="11762" xr:uid="{4DB1F12D-94CB-491B-A04D-B02CE2C3D0AA}"/>
    <cellStyle name="40% - Accent5 2 2 2 7" xfId="4587" xr:uid="{00000000-0005-0000-0000-000057060000}"/>
    <cellStyle name="40% - Accent5 2 2 2 7 2" xfId="13913" xr:uid="{DE1BC0C5-70DD-428F-8417-5A9E0D04F5C5}"/>
    <cellStyle name="40% - Accent5 2 2 2 8" xfId="9112" xr:uid="{65D0CC40-E9D0-4CE3-B684-8DE4A2C7BCD7}"/>
    <cellStyle name="40% - Accent5 2 2 2 8 2" xfId="18435" xr:uid="{4D6E594D-BC80-4C85-97CB-DD992CE57D41}"/>
    <cellStyle name="40% - Accent5 2 2 2 9" xfId="9696" xr:uid="{61C3F4D2-2E10-42FA-9F91-0993F742438F}"/>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C33F8C20-D439-434E-B98A-44443C12813C}"/>
    <cellStyle name="40% - Accent5 2 2 3 2 3" xfId="12254" xr:uid="{9E01CEF1-758B-4334-B91F-81FC2C3001C2}"/>
    <cellStyle name="40% - Accent5 2 2 3 3" xfId="5000" xr:uid="{00000000-0005-0000-0000-00005B060000}"/>
    <cellStyle name="40% - Accent5 2 2 3 3 2" xfId="14326" xr:uid="{7BDDDF1D-8E79-431D-9B69-09ADAA444FA2}"/>
    <cellStyle name="40% - Accent5 2 2 3 4" xfId="9330" xr:uid="{75959B30-FD84-42A5-95AE-69048CCC8361}"/>
    <cellStyle name="40% - Accent5 2 2 3 4 2" xfId="18643" xr:uid="{F02CAB59-25EE-4352-95F2-F90318EE7533}"/>
    <cellStyle name="40% - Accent5 2 2 3 5" xfId="10109" xr:uid="{5DE552E1-C471-4F0D-B053-9C05DDCB9193}"/>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F872B784-F1E3-446F-A336-3E4DFCBC51B3}"/>
    <cellStyle name="40% - Accent5 2 2 4 2 3" xfId="12667" xr:uid="{CA869480-BD89-484E-BC99-F1B71A4B427E}"/>
    <cellStyle name="40% - Accent5 2 2 4 3" xfId="5413" xr:uid="{00000000-0005-0000-0000-00005F060000}"/>
    <cellStyle name="40% - Accent5 2 2 4 3 2" xfId="14739" xr:uid="{3A1047AB-EFD0-461B-872E-7BC21BDB8E9C}"/>
    <cellStyle name="40% - Accent5 2 2 4 4" xfId="10522" xr:uid="{099070FC-31E7-40E1-9400-96452D693B94}"/>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720E4787-4440-491D-BCC6-5DAAC2CFE33E}"/>
    <cellStyle name="40% - Accent5 2 2 5 2 3" xfId="13080" xr:uid="{3C1E9BDF-4C20-44DE-AE3F-2F177342E7D6}"/>
    <cellStyle name="40% - Accent5 2 2 5 3" xfId="5826" xr:uid="{00000000-0005-0000-0000-000063060000}"/>
    <cellStyle name="40% - Accent5 2 2 5 3 2" xfId="15152" xr:uid="{912CDB94-4017-465E-827A-2ADFBEED3E37}"/>
    <cellStyle name="40% - Accent5 2 2 5 4" xfId="10935" xr:uid="{AD809A55-C138-42A9-9F7A-A1E7320BF04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FEFE4993-9EFC-4384-889C-B3EAB15C4144}"/>
    <cellStyle name="40% - Accent5 2 2 6 2 3" xfId="13493" xr:uid="{85E445B9-6EE5-4503-B01D-4F7EF86D3670}"/>
    <cellStyle name="40% - Accent5 2 2 6 3" xfId="6239" xr:uid="{00000000-0005-0000-0000-000067060000}"/>
    <cellStyle name="40% - Accent5 2 2 6 3 2" xfId="15565" xr:uid="{8AA77233-D5EF-4490-A861-EDE62B807DDD}"/>
    <cellStyle name="40% - Accent5 2 2 6 4" xfId="11348" xr:uid="{97D426B3-EC3A-4287-BC52-84707C8F0090}"/>
    <cellStyle name="40% - Accent5 2 2 7" xfId="2346" xr:uid="{00000000-0005-0000-0000-000068060000}"/>
    <cellStyle name="40% - Accent5 2 2 7 2" xfId="6652" xr:uid="{00000000-0005-0000-0000-000069060000}"/>
    <cellStyle name="40% - Accent5 2 2 7 2 2" xfId="15978" xr:uid="{E0CCA8D8-6481-4500-BFE9-278BB938FEAD}"/>
    <cellStyle name="40% - Accent5 2 2 7 3" xfId="11761" xr:uid="{06FFEE06-B805-4ADD-B44D-EE0C8B6B1072}"/>
    <cellStyle name="40% - Accent5 2 2 8" xfId="4586" xr:uid="{00000000-0005-0000-0000-00006A060000}"/>
    <cellStyle name="40% - Accent5 2 2 8 2" xfId="13912" xr:uid="{E9688673-1DD5-4904-9C4B-AA96933899BB}"/>
    <cellStyle name="40% - Accent5 2 2 9" xfId="8905" xr:uid="{3B48B2AE-2C2B-47FB-A8F4-43FECCDBCFEF}"/>
    <cellStyle name="40% - Accent5 2 2 9 2" xfId="18228" xr:uid="{26DA7BD9-68BF-445F-9CD6-FF8987BB6E6A}"/>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F7E49E62-40B5-4333-AD53-BC4D896A6D2B}"/>
    <cellStyle name="40% - Accent5 2 3 2 2 3" xfId="12256" xr:uid="{A352830B-9247-47A9-9323-24DFC9842CF5}"/>
    <cellStyle name="40% - Accent5 2 3 2 3" xfId="5002" xr:uid="{00000000-0005-0000-0000-00006F060000}"/>
    <cellStyle name="40% - Accent5 2 3 2 3 2" xfId="14328" xr:uid="{A9DE851D-B7A9-4F71-92FD-AE796FC9DFE1}"/>
    <cellStyle name="40% - Accent5 2 3 2 4" xfId="9434" xr:uid="{512EAA64-F150-4B15-8534-EB34D6D41408}"/>
    <cellStyle name="40% - Accent5 2 3 2 4 2" xfId="18747" xr:uid="{689B13DB-0CDA-4EE9-9A8D-67C2DC688430}"/>
    <cellStyle name="40% - Accent5 2 3 2 5" xfId="10111" xr:uid="{5A60338A-122C-474A-8535-DF5380302882}"/>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7913009D-2704-4463-9928-1A9658750B30}"/>
    <cellStyle name="40% - Accent5 2 3 3 2 3" xfId="12669" xr:uid="{C5F3FB1A-455D-4AAB-80F8-C10B1AB68891}"/>
    <cellStyle name="40% - Accent5 2 3 3 3" xfId="5415" xr:uid="{00000000-0005-0000-0000-000073060000}"/>
    <cellStyle name="40% - Accent5 2 3 3 3 2" xfId="14741" xr:uid="{4BC183CD-C688-431C-BE00-3E997FEB6B8E}"/>
    <cellStyle name="40% - Accent5 2 3 3 4" xfId="10524" xr:uid="{90DF8EDC-6C5C-4AEA-9A90-85C4B06B84AB}"/>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CB818681-FE94-4162-8BB0-F12876483D3D}"/>
    <cellStyle name="40% - Accent5 2 3 4 2 3" xfId="13082" xr:uid="{839EF202-F8AC-4A5A-9255-58FCC58AE5AF}"/>
    <cellStyle name="40% - Accent5 2 3 4 3" xfId="5828" xr:uid="{00000000-0005-0000-0000-000077060000}"/>
    <cellStyle name="40% - Accent5 2 3 4 3 2" xfId="15154" xr:uid="{27286693-EF95-4725-A8B2-16827BFE151F}"/>
    <cellStyle name="40% - Accent5 2 3 4 4" xfId="10937" xr:uid="{55614633-3680-466F-8495-8A6A38CED8D7}"/>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697AE300-D5BD-4B93-8892-5132EAC04886}"/>
    <cellStyle name="40% - Accent5 2 3 5 2 3" xfId="13495" xr:uid="{625A111B-F02B-4DCE-BF85-AC816BF1C725}"/>
    <cellStyle name="40% - Accent5 2 3 5 3" xfId="6241" xr:uid="{00000000-0005-0000-0000-00007B060000}"/>
    <cellStyle name="40% - Accent5 2 3 5 3 2" xfId="15567" xr:uid="{900FC5AA-455F-4D91-8A33-BDA35DEBB6FE}"/>
    <cellStyle name="40% - Accent5 2 3 5 4" xfId="11350" xr:uid="{E59F1139-4A8B-4553-ABF9-5C5DF50595C8}"/>
    <cellStyle name="40% - Accent5 2 3 6" xfId="2348" xr:uid="{00000000-0005-0000-0000-00007C060000}"/>
    <cellStyle name="40% - Accent5 2 3 6 2" xfId="6654" xr:uid="{00000000-0005-0000-0000-00007D060000}"/>
    <cellStyle name="40% - Accent5 2 3 6 2 2" xfId="15980" xr:uid="{2DAC9B46-1432-4157-B87C-DCC816F6DDC1}"/>
    <cellStyle name="40% - Accent5 2 3 6 3" xfId="11763" xr:uid="{55251AD1-498E-463A-9F94-2B42359FF955}"/>
    <cellStyle name="40% - Accent5 2 3 7" xfId="4588" xr:uid="{00000000-0005-0000-0000-00007E060000}"/>
    <cellStyle name="40% - Accent5 2 3 7 2" xfId="13914" xr:uid="{D9D16BBA-ECFC-4280-A445-385776B9B6B9}"/>
    <cellStyle name="40% - Accent5 2 3 8" xfId="9009" xr:uid="{DE8B6E41-761F-4ED0-BA8A-00A6A898A2FC}"/>
    <cellStyle name="40% - Accent5 2 3 8 2" xfId="18332" xr:uid="{E305977A-1675-47B0-930E-E9AC0ADF14D0}"/>
    <cellStyle name="40% - Accent5 2 3 9" xfId="9697" xr:uid="{8EEA3D6F-A1E5-433F-A762-BF07AEFCED38}"/>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FEDD61E9-AD64-433E-BEC4-C3ED2C190FDF}"/>
    <cellStyle name="40% - Accent5 2 4 2 3" xfId="12253" xr:uid="{E44AFA86-5676-49DF-B788-B038C11C0D60}"/>
    <cellStyle name="40% - Accent5 2 4 3" xfId="4999" xr:uid="{00000000-0005-0000-0000-000082060000}"/>
    <cellStyle name="40% - Accent5 2 4 3 2" xfId="14325" xr:uid="{224693F7-B7A7-4124-961F-91D649E8A07A}"/>
    <cellStyle name="40% - Accent5 2 4 4" xfId="9226" xr:uid="{6A688709-D29B-458C-973B-231279FAFEF5}"/>
    <cellStyle name="40% - Accent5 2 4 4 2" xfId="18540" xr:uid="{F196520D-DFE3-4DA3-97D3-ECC6441B7AE4}"/>
    <cellStyle name="40% - Accent5 2 4 5" xfId="10108" xr:uid="{B2CBE069-ADCD-48DA-B704-8B68D17210B4}"/>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3D5E99FC-2027-4DF4-B946-929C5C4B7E82}"/>
    <cellStyle name="40% - Accent5 2 5 2 3" xfId="12666" xr:uid="{A39FCEE5-B76A-408A-BE9B-CBB79FF5F2DA}"/>
    <cellStyle name="40% - Accent5 2 5 3" xfId="5412" xr:uid="{00000000-0005-0000-0000-000086060000}"/>
    <cellStyle name="40% - Accent5 2 5 3 2" xfId="14738" xr:uid="{6340B983-6708-438E-B8A5-457E7E2C1FCA}"/>
    <cellStyle name="40% - Accent5 2 5 4" xfId="10521" xr:uid="{27D41219-2D17-40F7-92BD-38A7D9D4C6C6}"/>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55786957-6BC4-48F0-B1F0-6CED18DD89DF}"/>
    <cellStyle name="40% - Accent5 2 6 2 3" xfId="13079" xr:uid="{357C38D4-F5F7-4030-A962-B5EE7AE37789}"/>
    <cellStyle name="40% - Accent5 2 6 3" xfId="5825" xr:uid="{00000000-0005-0000-0000-00008A060000}"/>
    <cellStyle name="40% - Accent5 2 6 3 2" xfId="15151" xr:uid="{AD2CB941-8D3E-404C-82DB-F51FEDE92655}"/>
    <cellStyle name="40% - Accent5 2 6 4" xfId="10934" xr:uid="{D6A6B6ED-E01D-4205-B192-891D34A6BBAE}"/>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5B1EF3A2-EF6B-4223-A528-0B8AF982B132}"/>
    <cellStyle name="40% - Accent5 2 7 2 3" xfId="13492" xr:uid="{287DACE5-59A9-4ADA-8763-167FB71CC45A}"/>
    <cellStyle name="40% - Accent5 2 7 3" xfId="6238" xr:uid="{00000000-0005-0000-0000-00008E060000}"/>
    <cellStyle name="40% - Accent5 2 7 3 2" xfId="15564" xr:uid="{CB726AF2-31DF-4E9C-AC83-6570DBDDC319}"/>
    <cellStyle name="40% - Accent5 2 7 4" xfId="11347" xr:uid="{19FA28DC-76D3-4452-A144-CF09EDB93250}"/>
    <cellStyle name="40% - Accent5 2 8" xfId="2345" xr:uid="{00000000-0005-0000-0000-00008F060000}"/>
    <cellStyle name="40% - Accent5 2 8 2" xfId="6651" xr:uid="{00000000-0005-0000-0000-000090060000}"/>
    <cellStyle name="40% - Accent5 2 8 2 2" xfId="15977" xr:uid="{6401A8A8-885A-448D-9DED-2B3DACE7E445}"/>
    <cellStyle name="40% - Accent5 2 8 3" xfId="11760" xr:uid="{B618B077-6A6C-4A52-89AD-82F452AD0BA1}"/>
    <cellStyle name="40% - Accent5 2 9" xfId="4585" xr:uid="{00000000-0005-0000-0000-000091060000}"/>
    <cellStyle name="40% - Accent5 2 9 2" xfId="13911" xr:uid="{7C3B0027-7CF2-49AA-8518-D5B56189C632}"/>
    <cellStyle name="40% - Accent5 3" xfId="86" xr:uid="{00000000-0005-0000-0000-000092060000}"/>
    <cellStyle name="40% - Accent5 3 10" xfId="9698" xr:uid="{75BD0F1C-6D41-4EAF-889F-BDC76AACB39A}"/>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CD56901B-5FBC-48B4-9AF9-9C736B4F7704}"/>
    <cellStyle name="40% - Accent5 3 2 2 2 3" xfId="12258" xr:uid="{5D28E23D-14C9-4C52-B6D0-ED2E6EA9540A}"/>
    <cellStyle name="40% - Accent5 3 2 2 3" xfId="5004" xr:uid="{00000000-0005-0000-0000-000097060000}"/>
    <cellStyle name="40% - Accent5 3 2 2 3 2" xfId="14330" xr:uid="{F7DBEE32-8E3E-417F-A1D6-F9A36C48D7B0}"/>
    <cellStyle name="40% - Accent5 3 2 2 4" xfId="9502" xr:uid="{96903B0D-DCFE-4149-8088-461BCB03A73B}"/>
    <cellStyle name="40% - Accent5 3 2 2 4 2" xfId="18815" xr:uid="{7983730B-8E96-4CC4-AD5E-1E42B1FB5936}"/>
    <cellStyle name="40% - Accent5 3 2 2 5" xfId="10113" xr:uid="{05C44451-02DB-46F3-8542-BF738FB65E2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DF25B52D-1DA2-4BAA-ACA3-650A0982CEA2}"/>
    <cellStyle name="40% - Accent5 3 2 3 2 3" xfId="12671" xr:uid="{874F8B3A-AFC0-415A-8D7E-81934F33724A}"/>
    <cellStyle name="40% - Accent5 3 2 3 3" xfId="5417" xr:uid="{00000000-0005-0000-0000-00009B060000}"/>
    <cellStyle name="40% - Accent5 3 2 3 3 2" xfId="14743" xr:uid="{95352F65-8997-4F50-B367-F6A2757300A4}"/>
    <cellStyle name="40% - Accent5 3 2 3 4" xfId="10526" xr:uid="{C8B94215-04C1-474B-858B-F465AD9780F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11DA9F29-3F9F-48CC-99B8-20BD3FA5E0D3}"/>
    <cellStyle name="40% - Accent5 3 2 4 2 3" xfId="13084" xr:uid="{92CDE6FB-6F2E-477A-8F8A-BC2119ACED84}"/>
    <cellStyle name="40% - Accent5 3 2 4 3" xfId="5830" xr:uid="{00000000-0005-0000-0000-00009F060000}"/>
    <cellStyle name="40% - Accent5 3 2 4 3 2" xfId="15156" xr:uid="{CB48B70E-0D4A-4353-9900-1E34727278B4}"/>
    <cellStyle name="40% - Accent5 3 2 4 4" xfId="10939" xr:uid="{C7516F12-3F17-486C-B699-3187F9B83B56}"/>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FCAD8F0D-AEC3-41EA-90A2-1EC0E0893FCB}"/>
    <cellStyle name="40% - Accent5 3 2 5 2 3" xfId="13497" xr:uid="{08136172-190C-44B1-94A1-14B90F9A7D10}"/>
    <cellStyle name="40% - Accent5 3 2 5 3" xfId="6243" xr:uid="{00000000-0005-0000-0000-0000A3060000}"/>
    <cellStyle name="40% - Accent5 3 2 5 3 2" xfId="15569" xr:uid="{A87BCD9E-9872-481E-B5F8-4CE42D89B2CE}"/>
    <cellStyle name="40% - Accent5 3 2 5 4" xfId="11352" xr:uid="{4C440574-5542-45CE-8C28-3B6A31F8A00A}"/>
    <cellStyle name="40% - Accent5 3 2 6" xfId="2350" xr:uid="{00000000-0005-0000-0000-0000A4060000}"/>
    <cellStyle name="40% - Accent5 3 2 6 2" xfId="6656" xr:uid="{00000000-0005-0000-0000-0000A5060000}"/>
    <cellStyle name="40% - Accent5 3 2 6 2 2" xfId="15982" xr:uid="{660B7E44-E850-47A2-80F7-F10A53D224FD}"/>
    <cellStyle name="40% - Accent5 3 2 6 3" xfId="11765" xr:uid="{C802B70E-C21C-4D35-B797-2F82D05C1064}"/>
    <cellStyle name="40% - Accent5 3 2 7" xfId="4590" xr:uid="{00000000-0005-0000-0000-0000A6060000}"/>
    <cellStyle name="40% - Accent5 3 2 7 2" xfId="13916" xr:uid="{3A4567A7-5BC2-49F4-8541-CE26624123D0}"/>
    <cellStyle name="40% - Accent5 3 2 8" xfId="9077" xr:uid="{8842DD15-54E4-487D-B492-3A505722387C}"/>
    <cellStyle name="40% - Accent5 3 2 8 2" xfId="18400" xr:uid="{4E4AD45F-E76B-44FD-97AA-C0E0072B887F}"/>
    <cellStyle name="40% - Accent5 3 2 9" xfId="9699" xr:uid="{C517AC87-B923-46D4-92AB-FF5DAF9F8DC2}"/>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8FB1D5A2-A86B-48C9-B221-5F06E60A2B2D}"/>
    <cellStyle name="40% - Accent5 3 3 2 3" xfId="12257" xr:uid="{7EA629DA-15A9-4396-B90A-D882157A7983}"/>
    <cellStyle name="40% - Accent5 3 3 3" xfId="5003" xr:uid="{00000000-0005-0000-0000-0000AA060000}"/>
    <cellStyle name="40% - Accent5 3 3 3 2" xfId="14329" xr:uid="{7AD86ED2-AFB3-4204-BA3C-A8DAD1542ED6}"/>
    <cellStyle name="40% - Accent5 3 3 4" xfId="9295" xr:uid="{0D42C89E-252E-426A-8E1F-7D3AD6B9FE55}"/>
    <cellStyle name="40% - Accent5 3 3 4 2" xfId="18608" xr:uid="{A741C507-A5A7-41B5-A4AC-DFA47F9E5E53}"/>
    <cellStyle name="40% - Accent5 3 3 5" xfId="10112" xr:uid="{D6B5E379-5774-49BF-81FB-FBE029DEE47B}"/>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4D872A60-78AD-4AE9-A9C3-2575ED8F8A4D}"/>
    <cellStyle name="40% - Accent5 3 4 2 3" xfId="12670" xr:uid="{C1EA545B-01FD-46C1-ABAF-19572B90F628}"/>
    <cellStyle name="40% - Accent5 3 4 3" xfId="5416" xr:uid="{00000000-0005-0000-0000-0000AE060000}"/>
    <cellStyle name="40% - Accent5 3 4 3 2" xfId="14742" xr:uid="{F15A3CE8-5602-423B-91C5-3107BADEB8B9}"/>
    <cellStyle name="40% - Accent5 3 4 4" xfId="10525" xr:uid="{3381616D-DFC8-4BB9-B97C-FF4AD0328B07}"/>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4959ADEF-023C-4799-A0BA-0112D05E9BC1}"/>
    <cellStyle name="40% - Accent5 3 5 2 3" xfId="13083" xr:uid="{AD780FD9-1A56-4D28-B89C-1BDA1BACF1BD}"/>
    <cellStyle name="40% - Accent5 3 5 3" xfId="5829" xr:uid="{00000000-0005-0000-0000-0000B2060000}"/>
    <cellStyle name="40% - Accent5 3 5 3 2" xfId="15155" xr:uid="{4860C523-D7BD-4EA4-AC45-004558C16E27}"/>
    <cellStyle name="40% - Accent5 3 5 4" xfId="10938" xr:uid="{76B612E5-4A81-461E-A258-82AC6229C7F1}"/>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6A98819D-FE6B-46ED-93BD-1797046913AD}"/>
    <cellStyle name="40% - Accent5 3 6 2 3" xfId="13496" xr:uid="{5A37E4DE-B146-4A87-99E8-5EE968359645}"/>
    <cellStyle name="40% - Accent5 3 6 3" xfId="6242" xr:uid="{00000000-0005-0000-0000-0000B6060000}"/>
    <cellStyle name="40% - Accent5 3 6 3 2" xfId="15568" xr:uid="{9F66AE2C-EABA-4F80-89F7-5A31F1B1CDD5}"/>
    <cellStyle name="40% - Accent5 3 6 4" xfId="11351" xr:uid="{667219CF-5DAA-4E1F-958E-C6FCA9DE490F}"/>
    <cellStyle name="40% - Accent5 3 7" xfId="2349" xr:uid="{00000000-0005-0000-0000-0000B7060000}"/>
    <cellStyle name="40% - Accent5 3 7 2" xfId="6655" xr:uid="{00000000-0005-0000-0000-0000B8060000}"/>
    <cellStyle name="40% - Accent5 3 7 2 2" xfId="15981" xr:uid="{9B7A13E8-A2C5-4142-9E7B-0D71B1F71D36}"/>
    <cellStyle name="40% - Accent5 3 7 3" xfId="11764" xr:uid="{D8D30FFA-76F2-4087-B2AD-C0640C628FB6}"/>
    <cellStyle name="40% - Accent5 3 8" xfId="4589" xr:uid="{00000000-0005-0000-0000-0000B9060000}"/>
    <cellStyle name="40% - Accent5 3 8 2" xfId="13915" xr:uid="{879CE395-A49A-4CD5-B6C2-9CBA676D7A32}"/>
    <cellStyle name="40% - Accent5 3 9" xfId="8870" xr:uid="{F7DB5D96-1272-4D48-B3B6-48053CFCBA44}"/>
    <cellStyle name="40% - Accent5 3 9 2" xfId="18193" xr:uid="{AC75BB37-EE5A-4EA5-9BFD-C333519DDCCD}"/>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64A4C747-138D-4DC2-8124-5064620225B3}"/>
    <cellStyle name="40% - Accent5 4 2 2 3" xfId="12259" xr:uid="{CE17A07B-6849-4F67-8AE4-88E1625AC1CE}"/>
    <cellStyle name="40% - Accent5 4 2 3" xfId="5005" xr:uid="{00000000-0005-0000-0000-0000BE060000}"/>
    <cellStyle name="40% - Accent5 4 2 3 2" xfId="14331" xr:uid="{7923FEFD-CAE8-4F27-B452-58E25D77EDA1}"/>
    <cellStyle name="40% - Accent5 4 2 4" xfId="9381" xr:uid="{6D86932C-AFC4-4FF0-967D-0F56E90E02E1}"/>
    <cellStyle name="40% - Accent5 4 2 4 2" xfId="18694" xr:uid="{D76D1139-D4FA-42F8-9F7B-0663683787F8}"/>
    <cellStyle name="40% - Accent5 4 2 5" xfId="10114" xr:uid="{6F67F4E0-FE69-4E80-9AFD-41B25A6ECBD2}"/>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1C0CF59C-9BC9-45FB-BACB-1D8B1FD1F1FE}"/>
    <cellStyle name="40% - Accent5 4 3 2 3" xfId="12672" xr:uid="{A475880D-9C7B-4DCA-99B4-E89A91F04513}"/>
    <cellStyle name="40% - Accent5 4 3 3" xfId="5418" xr:uid="{00000000-0005-0000-0000-0000C2060000}"/>
    <cellStyle name="40% - Accent5 4 3 3 2" xfId="14744" xr:uid="{8F6CF8EC-3306-4BBE-BF8C-9515B7757DD9}"/>
    <cellStyle name="40% - Accent5 4 3 4" xfId="10527" xr:uid="{ACEC2F1C-C024-4138-A99A-172EF8E59132}"/>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A4C2117A-7C8C-463F-9EFE-02368D6E5B38}"/>
    <cellStyle name="40% - Accent5 4 4 2 3" xfId="13085" xr:uid="{0F875F2C-DB60-4013-B913-6115A2754599}"/>
    <cellStyle name="40% - Accent5 4 4 3" xfId="5831" xr:uid="{00000000-0005-0000-0000-0000C6060000}"/>
    <cellStyle name="40% - Accent5 4 4 3 2" xfId="15157" xr:uid="{2F1208D3-E9BB-4BCE-9212-6A3285160508}"/>
    <cellStyle name="40% - Accent5 4 4 4" xfId="10940" xr:uid="{9844D390-2BAE-4BA3-96E5-4E387C0FACC9}"/>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EABC1181-9BAD-4317-99AF-961B1786B979}"/>
    <cellStyle name="40% - Accent5 4 5 2 3" xfId="13498" xr:uid="{F4F40C1A-B0D9-49D2-BEEA-5E48728163C9}"/>
    <cellStyle name="40% - Accent5 4 5 3" xfId="6244" xr:uid="{00000000-0005-0000-0000-0000CA060000}"/>
    <cellStyle name="40% - Accent5 4 5 3 2" xfId="15570" xr:uid="{4BC76CA1-632A-4623-825A-25C2870CC487}"/>
    <cellStyle name="40% - Accent5 4 5 4" xfId="11353" xr:uid="{C3191211-5472-4D6B-84AD-78A3E01ADED4}"/>
    <cellStyle name="40% - Accent5 4 6" xfId="2351" xr:uid="{00000000-0005-0000-0000-0000CB060000}"/>
    <cellStyle name="40% - Accent5 4 6 2" xfId="6657" xr:uid="{00000000-0005-0000-0000-0000CC060000}"/>
    <cellStyle name="40% - Accent5 4 6 2 2" xfId="15983" xr:uid="{17576366-22CA-4862-B49A-0D0B7F9E6DA4}"/>
    <cellStyle name="40% - Accent5 4 6 3" xfId="11766" xr:uid="{B2C4E774-D8FE-4BB3-8315-8B76A313BAD7}"/>
    <cellStyle name="40% - Accent5 4 7" xfId="4591" xr:uid="{00000000-0005-0000-0000-0000CD060000}"/>
    <cellStyle name="40% - Accent5 4 7 2" xfId="13917" xr:uid="{8A225462-E6C2-4F84-B204-46546D7FC1A6}"/>
    <cellStyle name="40% - Accent5 4 8" xfId="8956" xr:uid="{20EBAEFE-DF5E-4B38-878B-CDA5BD3DABC1}"/>
    <cellStyle name="40% - Accent5 4 8 2" xfId="18279" xr:uid="{84ED5C7E-A0E3-4A45-AFC0-921776EAFCFF}"/>
    <cellStyle name="40% - Accent5 4 9" xfId="9700" xr:uid="{B89C1C3A-B20A-4614-AF3A-317A89072EEF}"/>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B7D35D2D-EF66-4BB6-8313-69A96ABD6AE3}"/>
    <cellStyle name="40% - Accent5 5 2 3" xfId="12252" xr:uid="{4F3A0FFA-5BF6-48B9-96B3-94E4B11C0234}"/>
    <cellStyle name="40% - Accent5 5 3" xfId="4998" xr:uid="{00000000-0005-0000-0000-0000D1060000}"/>
    <cellStyle name="40% - Accent5 5 3 2" xfId="14324" xr:uid="{0C8EDE3F-B734-495C-9010-4CCE1BD20DCD}"/>
    <cellStyle name="40% - Accent5 5 4" xfId="9189" xr:uid="{AE9A155E-B06B-4FF1-8984-8F7810581B15}"/>
    <cellStyle name="40% - Accent5 5 4 2" xfId="18505" xr:uid="{A2DE59B8-0F27-472D-B787-7C18D1D08F86}"/>
    <cellStyle name="40% - Accent5 5 5" xfId="10107" xr:uid="{2F49064F-3169-4E86-A891-FFDD2C94ED7A}"/>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35F8E747-A346-4882-AF2E-3B9B1AEEC472}"/>
    <cellStyle name="40% - Accent5 6 2 3" xfId="12665" xr:uid="{AA591873-F37A-411E-A86F-A9E7ADB85441}"/>
    <cellStyle name="40% - Accent5 6 3" xfId="5411" xr:uid="{00000000-0005-0000-0000-0000D5060000}"/>
    <cellStyle name="40% - Accent5 6 3 2" xfId="14737" xr:uid="{1FE88801-4C73-447B-86DA-A13ED5F5FF38}"/>
    <cellStyle name="40% - Accent5 6 4" xfId="10520" xr:uid="{672DD786-22A0-4A8D-85A8-DDF7BC7DDD14}"/>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BA1E782A-5FE6-4B18-867F-A4C27E6B5024}"/>
    <cellStyle name="40% - Accent5 7 2 3" xfId="13078" xr:uid="{00459B27-6FC2-4BEE-B6C6-A76F0FA3C11D}"/>
    <cellStyle name="40% - Accent5 7 3" xfId="5824" xr:uid="{00000000-0005-0000-0000-0000D9060000}"/>
    <cellStyle name="40% - Accent5 7 3 2" xfId="15150" xr:uid="{79B61D5F-5D00-4217-9AF8-796D6319327B}"/>
    <cellStyle name="40% - Accent5 7 4" xfId="10933" xr:uid="{381D19A8-79C0-4ACE-8760-A30398E5001F}"/>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C8739843-B862-4378-A747-12497663AC7C}"/>
    <cellStyle name="40% - Accent5 8 2 3" xfId="13491" xr:uid="{2B609CC2-B46C-47F0-B1FA-404FBF2EDE26}"/>
    <cellStyle name="40% - Accent5 8 3" xfId="6237" xr:uid="{00000000-0005-0000-0000-0000DD060000}"/>
    <cellStyle name="40% - Accent5 8 3 2" xfId="15563" xr:uid="{901D6316-245B-4E00-9091-37E8A2675F39}"/>
    <cellStyle name="40% - Accent5 8 4" xfId="11346" xr:uid="{D6E0B2F4-BF7E-40DF-BA67-8FBF4AA3A26F}"/>
    <cellStyle name="40% - Accent5 9" xfId="2344" xr:uid="{00000000-0005-0000-0000-0000DE060000}"/>
    <cellStyle name="40% - Accent5 9 2" xfId="6650" xr:uid="{00000000-0005-0000-0000-0000DF060000}"/>
    <cellStyle name="40% - Accent5 9 2 2" xfId="15976" xr:uid="{C29F5951-6C54-4532-B4A4-2BB2193F889A}"/>
    <cellStyle name="40% - Accent5 9 3" xfId="11759" xr:uid="{F1AFE13F-8F1F-4A95-ADFB-26D19FDF6672}"/>
    <cellStyle name="40% - Accent6" xfId="89" builtinId="51" customBuiltin="1"/>
    <cellStyle name="40% - Accent6 10" xfId="4592" xr:uid="{00000000-0005-0000-0000-0000E1060000}"/>
    <cellStyle name="40% - Accent6 10 2" xfId="13918" xr:uid="{2D7BB85A-FC8E-4BD2-BE67-24B39B458DEF}"/>
    <cellStyle name="40% - Accent6 11" xfId="8769" xr:uid="{8369FE49-3815-490F-BF3A-3BEB88E35DFA}"/>
    <cellStyle name="40% - Accent6 11 2" xfId="18092" xr:uid="{381C8FFA-5C14-452D-931E-450BCF0ED2D0}"/>
    <cellStyle name="40% - Accent6 12" xfId="9701" xr:uid="{1E2A114A-E027-4901-8910-74F78587BB98}"/>
    <cellStyle name="40% - Accent6 2" xfId="90" xr:uid="{00000000-0005-0000-0000-0000E2060000}"/>
    <cellStyle name="40% - Accent6 2 10" xfId="8803" xr:uid="{3530B69D-EB1D-41EA-A6FB-440FE4FE29AB}"/>
    <cellStyle name="40% - Accent6 2 10 2" xfId="18126" xr:uid="{74315130-7E26-496C-AD90-1892B42E434A}"/>
    <cellStyle name="40% - Accent6 2 11" xfId="9702" xr:uid="{983303A4-CE4D-4E5E-9127-21A42DAD96A6}"/>
    <cellStyle name="40% - Accent6 2 2" xfId="91" xr:uid="{00000000-0005-0000-0000-0000E3060000}"/>
    <cellStyle name="40% - Accent6 2 2 10" xfId="9703" xr:uid="{6BB71AB7-2D17-461F-926A-A16E82556868}"/>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B9A6D7EF-3AEB-4C91-A6C2-A55DA275FA1A}"/>
    <cellStyle name="40% - Accent6 2 2 2 2 2 3" xfId="12263" xr:uid="{C0742DD5-DA11-484A-B567-503B6BC9D6D2}"/>
    <cellStyle name="40% - Accent6 2 2 2 2 3" xfId="5009" xr:uid="{00000000-0005-0000-0000-0000E8060000}"/>
    <cellStyle name="40% - Accent6 2 2 2 2 3 2" xfId="14335" xr:uid="{8F29F3F3-000C-436E-A937-6CE3953AC08D}"/>
    <cellStyle name="40% - Accent6 2 2 2 2 4" xfId="9538" xr:uid="{D1801D0B-FDF1-4C59-8DE2-DEC53081BC5D}"/>
    <cellStyle name="40% - Accent6 2 2 2 2 4 2" xfId="18851" xr:uid="{E2A50CCF-25F2-48DB-A129-34BDCF27279E}"/>
    <cellStyle name="40% - Accent6 2 2 2 2 5" xfId="10118" xr:uid="{01866726-A47F-4E38-9325-0ED519FF50B8}"/>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0FD7CBCD-4745-46A3-834F-08E85EFFC97E}"/>
    <cellStyle name="40% - Accent6 2 2 2 3 2 3" xfId="12676" xr:uid="{EF57C36F-1A2F-4176-A364-F2F3AD213AA5}"/>
    <cellStyle name="40% - Accent6 2 2 2 3 3" xfId="5422" xr:uid="{00000000-0005-0000-0000-0000EC060000}"/>
    <cellStyle name="40% - Accent6 2 2 2 3 3 2" xfId="14748" xr:uid="{6CA3545F-2E9A-4C9F-A7AE-C8B289C42A63}"/>
    <cellStyle name="40% - Accent6 2 2 2 3 4" xfId="10531" xr:uid="{64BD9040-1D23-4DDA-936B-E29CCF0709AB}"/>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1EA6A374-A5FB-4C29-A88C-B8817EF3D40B}"/>
    <cellStyle name="40% - Accent6 2 2 2 4 2 3" xfId="13089" xr:uid="{6BE46292-08C5-4943-BA24-E96499E56966}"/>
    <cellStyle name="40% - Accent6 2 2 2 4 3" xfId="5835" xr:uid="{00000000-0005-0000-0000-0000F0060000}"/>
    <cellStyle name="40% - Accent6 2 2 2 4 3 2" xfId="15161" xr:uid="{3A659A49-C3CD-4313-BE81-1B70506C76AB}"/>
    <cellStyle name="40% - Accent6 2 2 2 4 4" xfId="10944" xr:uid="{BB073DE6-7111-4F8C-B315-0127798D49E8}"/>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958D07FA-4514-435D-B811-2FB2C887C42B}"/>
    <cellStyle name="40% - Accent6 2 2 2 5 2 3" xfId="13502" xr:uid="{D9EAB82A-1F7C-4C30-9F19-0DAF748E1F60}"/>
    <cellStyle name="40% - Accent6 2 2 2 5 3" xfId="6248" xr:uid="{00000000-0005-0000-0000-0000F4060000}"/>
    <cellStyle name="40% - Accent6 2 2 2 5 3 2" xfId="15574" xr:uid="{5334DBF9-36F3-45A1-B510-5C574C5996E2}"/>
    <cellStyle name="40% - Accent6 2 2 2 5 4" xfId="11357" xr:uid="{5410BA07-2460-4D39-AEAD-570B2C1310DD}"/>
    <cellStyle name="40% - Accent6 2 2 2 6" xfId="2355" xr:uid="{00000000-0005-0000-0000-0000F5060000}"/>
    <cellStyle name="40% - Accent6 2 2 2 6 2" xfId="6661" xr:uid="{00000000-0005-0000-0000-0000F6060000}"/>
    <cellStyle name="40% - Accent6 2 2 2 6 2 2" xfId="15987" xr:uid="{D0D25E4B-1BE2-4B81-ADC9-D010B0DEFD4A}"/>
    <cellStyle name="40% - Accent6 2 2 2 6 3" xfId="11770" xr:uid="{F8999E88-5D4C-46E5-861E-70CA643132F0}"/>
    <cellStyle name="40% - Accent6 2 2 2 7" xfId="4595" xr:uid="{00000000-0005-0000-0000-0000F7060000}"/>
    <cellStyle name="40% - Accent6 2 2 2 7 2" xfId="13921" xr:uid="{6F88214E-C6C2-4325-8783-0A4AE76ECD19}"/>
    <cellStyle name="40% - Accent6 2 2 2 8" xfId="9113" xr:uid="{D9373B4A-E1DA-437A-874A-FCE4D00708EB}"/>
    <cellStyle name="40% - Accent6 2 2 2 8 2" xfId="18436" xr:uid="{8DC1FAD1-B77F-4B8E-B406-3590AE0D8111}"/>
    <cellStyle name="40% - Accent6 2 2 2 9" xfId="9704" xr:uid="{B4FDE8FF-B45A-4702-B38F-4C10C3BCAE8C}"/>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DB93B93B-9D7F-4972-846A-CEEB0CB682B7}"/>
    <cellStyle name="40% - Accent6 2 2 3 2 3" xfId="12262" xr:uid="{D175DA44-E3A2-41EE-90E8-99C940501AF4}"/>
    <cellStyle name="40% - Accent6 2 2 3 3" xfId="5008" xr:uid="{00000000-0005-0000-0000-0000FB060000}"/>
    <cellStyle name="40% - Accent6 2 2 3 3 2" xfId="14334" xr:uid="{A630FD76-E9A4-4AD9-8433-CE1A3E45EC29}"/>
    <cellStyle name="40% - Accent6 2 2 3 4" xfId="9331" xr:uid="{223B62DA-AA8A-4703-B6D5-D6AA8918B034}"/>
    <cellStyle name="40% - Accent6 2 2 3 4 2" xfId="18644" xr:uid="{8B21C66B-E0A3-4158-B95D-790CF35529F2}"/>
    <cellStyle name="40% - Accent6 2 2 3 5" xfId="10117" xr:uid="{8636CE9B-1F5F-4154-9926-1E3C49AF11C6}"/>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BA151C69-CEA7-4F77-A190-88E8CBFBE94F}"/>
    <cellStyle name="40% - Accent6 2 2 4 2 3" xfId="12675" xr:uid="{05E80EAF-FF23-48B1-A6EC-C1C879481C22}"/>
    <cellStyle name="40% - Accent6 2 2 4 3" xfId="5421" xr:uid="{00000000-0005-0000-0000-0000FF060000}"/>
    <cellStyle name="40% - Accent6 2 2 4 3 2" xfId="14747" xr:uid="{A1D3C931-6060-47DF-A285-E51308D84C8F}"/>
    <cellStyle name="40% - Accent6 2 2 4 4" xfId="10530" xr:uid="{8D1338B1-8A7D-4B71-A5F1-49BF446270E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DEEDEA05-CE12-47CF-BFCA-4959F1EA017E}"/>
    <cellStyle name="40% - Accent6 2 2 5 2 3" xfId="13088" xr:uid="{E0E6F0A2-A291-4DEC-9B49-2778BB831905}"/>
    <cellStyle name="40% - Accent6 2 2 5 3" xfId="5834" xr:uid="{00000000-0005-0000-0000-000003070000}"/>
    <cellStyle name="40% - Accent6 2 2 5 3 2" xfId="15160" xr:uid="{B3802D41-2435-4BF5-BB94-513176152712}"/>
    <cellStyle name="40% - Accent6 2 2 5 4" xfId="10943" xr:uid="{73F92010-9D9B-4682-A91A-0D5218FA3AC2}"/>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DDA587F2-B30D-486F-AD53-879D9B69265D}"/>
    <cellStyle name="40% - Accent6 2 2 6 2 3" xfId="13501" xr:uid="{BD2F6686-A580-4878-B6E9-89FC7E64159A}"/>
    <cellStyle name="40% - Accent6 2 2 6 3" xfId="6247" xr:uid="{00000000-0005-0000-0000-000007070000}"/>
    <cellStyle name="40% - Accent6 2 2 6 3 2" xfId="15573" xr:uid="{1F99722E-754B-4B97-8ACF-CEF8AF7FEC16}"/>
    <cellStyle name="40% - Accent6 2 2 6 4" xfId="11356" xr:uid="{2FBC723A-6E07-4D98-92F1-7D702B708C65}"/>
    <cellStyle name="40% - Accent6 2 2 7" xfId="2354" xr:uid="{00000000-0005-0000-0000-000008070000}"/>
    <cellStyle name="40% - Accent6 2 2 7 2" xfId="6660" xr:uid="{00000000-0005-0000-0000-000009070000}"/>
    <cellStyle name="40% - Accent6 2 2 7 2 2" xfId="15986" xr:uid="{B9935DAC-7EEA-4486-898C-B681ACE921D0}"/>
    <cellStyle name="40% - Accent6 2 2 7 3" xfId="11769" xr:uid="{7C20F112-F9D0-4B67-9F2A-C474E07882E7}"/>
    <cellStyle name="40% - Accent6 2 2 8" xfId="4594" xr:uid="{00000000-0005-0000-0000-00000A070000}"/>
    <cellStyle name="40% - Accent6 2 2 8 2" xfId="13920" xr:uid="{4A657C5F-22FC-4D71-99C1-96D086AAAC17}"/>
    <cellStyle name="40% - Accent6 2 2 9" xfId="8906" xr:uid="{C30FCA09-BA1A-4F54-9397-4FC676425C46}"/>
    <cellStyle name="40% - Accent6 2 2 9 2" xfId="18229" xr:uid="{7489B8D1-71F1-49C2-99BA-2CF1202FFA3B}"/>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2B825A7A-52F1-47AA-8109-C70CE70D197C}"/>
    <cellStyle name="40% - Accent6 2 3 2 2 3" xfId="12264" xr:uid="{C1E78C95-70CE-4369-90B8-76F8EC986ADC}"/>
    <cellStyle name="40% - Accent6 2 3 2 3" xfId="5010" xr:uid="{00000000-0005-0000-0000-00000F070000}"/>
    <cellStyle name="40% - Accent6 2 3 2 3 2" xfId="14336" xr:uid="{14B40380-3081-4027-9004-F4402E7F5625}"/>
    <cellStyle name="40% - Accent6 2 3 2 4" xfId="9435" xr:uid="{36535681-1736-4584-8CB6-F8F38C9E0E5B}"/>
    <cellStyle name="40% - Accent6 2 3 2 4 2" xfId="18748" xr:uid="{6E2FFA75-F80C-4181-882F-5914BA88A8F2}"/>
    <cellStyle name="40% - Accent6 2 3 2 5" xfId="10119" xr:uid="{A34BE916-8AD9-42EA-AE90-3D1F2A073F60}"/>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4B6A3023-097B-4E20-A67C-C8485A8057CF}"/>
    <cellStyle name="40% - Accent6 2 3 3 2 3" xfId="12677" xr:uid="{A2D0D207-8970-44DB-987B-CF9D09386EDB}"/>
    <cellStyle name="40% - Accent6 2 3 3 3" xfId="5423" xr:uid="{00000000-0005-0000-0000-000013070000}"/>
    <cellStyle name="40% - Accent6 2 3 3 3 2" xfId="14749" xr:uid="{39BFEF0B-4708-473C-AD77-D60F43BF37F4}"/>
    <cellStyle name="40% - Accent6 2 3 3 4" xfId="10532" xr:uid="{6A830645-85E8-4B9D-8D3C-BC2C100C489D}"/>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7F0C0AF5-89DD-49F6-B759-618A2C4B95E7}"/>
    <cellStyle name="40% - Accent6 2 3 4 2 3" xfId="13090" xr:uid="{43889B85-B43C-4AE1-9D17-B8D9E6B2635F}"/>
    <cellStyle name="40% - Accent6 2 3 4 3" xfId="5836" xr:uid="{00000000-0005-0000-0000-000017070000}"/>
    <cellStyle name="40% - Accent6 2 3 4 3 2" xfId="15162" xr:uid="{43E79E1C-8E9D-4E1B-A478-64CC05DBE4B2}"/>
    <cellStyle name="40% - Accent6 2 3 4 4" xfId="10945" xr:uid="{9778DEF7-0BE6-46C4-B79A-F13F2DC1EE9D}"/>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79E19A11-8452-4442-81BE-C4451E6C2663}"/>
    <cellStyle name="40% - Accent6 2 3 5 2 3" xfId="13503" xr:uid="{0F5CFEAB-1329-49BD-96F4-5D7D0D29C28D}"/>
    <cellStyle name="40% - Accent6 2 3 5 3" xfId="6249" xr:uid="{00000000-0005-0000-0000-00001B070000}"/>
    <cellStyle name="40% - Accent6 2 3 5 3 2" xfId="15575" xr:uid="{8A223DFA-2227-45A2-A30F-78AE7616BCAD}"/>
    <cellStyle name="40% - Accent6 2 3 5 4" xfId="11358" xr:uid="{FC96CCED-81DD-4111-9B46-D6599D1B0FEE}"/>
    <cellStyle name="40% - Accent6 2 3 6" xfId="2356" xr:uid="{00000000-0005-0000-0000-00001C070000}"/>
    <cellStyle name="40% - Accent6 2 3 6 2" xfId="6662" xr:uid="{00000000-0005-0000-0000-00001D070000}"/>
    <cellStyle name="40% - Accent6 2 3 6 2 2" xfId="15988" xr:uid="{07F5D2D2-A273-414D-B87A-143A88F01FB3}"/>
    <cellStyle name="40% - Accent6 2 3 6 3" xfId="11771" xr:uid="{2E98A7A0-9B08-4846-9CD0-F6B5C8CF175E}"/>
    <cellStyle name="40% - Accent6 2 3 7" xfId="4596" xr:uid="{00000000-0005-0000-0000-00001E070000}"/>
    <cellStyle name="40% - Accent6 2 3 7 2" xfId="13922" xr:uid="{F32523A8-1EC3-4906-83FA-6B3256E6140C}"/>
    <cellStyle name="40% - Accent6 2 3 8" xfId="9010" xr:uid="{63E1B5F8-FE5F-441F-B768-94B1D98CB2B1}"/>
    <cellStyle name="40% - Accent6 2 3 8 2" xfId="18333" xr:uid="{4B191FD8-1413-47A1-94E6-77AC5BCC80F6}"/>
    <cellStyle name="40% - Accent6 2 3 9" xfId="9705" xr:uid="{DCDE43A0-6805-4FD1-84AD-45E47250293B}"/>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08C32DB1-08F9-4FE0-97A7-37CC0F45C951}"/>
    <cellStyle name="40% - Accent6 2 4 2 3" xfId="12261" xr:uid="{79EE9E45-9C98-4BB5-9294-7A91948362A6}"/>
    <cellStyle name="40% - Accent6 2 4 3" xfId="5007" xr:uid="{00000000-0005-0000-0000-000022070000}"/>
    <cellStyle name="40% - Accent6 2 4 3 2" xfId="14333" xr:uid="{9A595E08-C6B0-4884-8265-73B06D53675F}"/>
    <cellStyle name="40% - Accent6 2 4 4" xfId="9227" xr:uid="{61BC3AC1-FAE9-47DF-8143-7EECE05FF8D3}"/>
    <cellStyle name="40% - Accent6 2 4 4 2" xfId="18541" xr:uid="{BB5C8B59-9BEB-4659-BE00-DC105EE9512D}"/>
    <cellStyle name="40% - Accent6 2 4 5" xfId="10116" xr:uid="{E2F8E414-D230-4991-819E-EE0CFF80DB5C}"/>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D612CBCC-9843-4752-A054-3536243F0D88}"/>
    <cellStyle name="40% - Accent6 2 5 2 3" xfId="12674" xr:uid="{579F69A8-8C20-4E50-AF81-62E1B9248742}"/>
    <cellStyle name="40% - Accent6 2 5 3" xfId="5420" xr:uid="{00000000-0005-0000-0000-000026070000}"/>
    <cellStyle name="40% - Accent6 2 5 3 2" xfId="14746" xr:uid="{5A428855-F8C1-4FC2-BFEA-4037723D964A}"/>
    <cellStyle name="40% - Accent6 2 5 4" xfId="10529" xr:uid="{79260615-6173-45FD-B4EF-79B909329CEB}"/>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56A51DCB-4BE3-4103-8DF8-04A8444499AF}"/>
    <cellStyle name="40% - Accent6 2 6 2 3" xfId="13087" xr:uid="{A1CE2A8F-8447-4E7C-8F91-FD4991DEBA10}"/>
    <cellStyle name="40% - Accent6 2 6 3" xfId="5833" xr:uid="{00000000-0005-0000-0000-00002A070000}"/>
    <cellStyle name="40% - Accent6 2 6 3 2" xfId="15159" xr:uid="{12804120-C289-4111-A9E2-165AA2F69AE3}"/>
    <cellStyle name="40% - Accent6 2 6 4" xfId="10942" xr:uid="{8BDDE189-B064-4468-B63B-CD53CCEF961D}"/>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9E3377FC-D851-46DE-8C87-5AEC23E0B354}"/>
    <cellStyle name="40% - Accent6 2 7 2 3" xfId="13500" xr:uid="{8BCDAFBB-E2AF-48D4-9369-9E94D6E77EEF}"/>
    <cellStyle name="40% - Accent6 2 7 3" xfId="6246" xr:uid="{00000000-0005-0000-0000-00002E070000}"/>
    <cellStyle name="40% - Accent6 2 7 3 2" xfId="15572" xr:uid="{0F6C8144-26B0-42A5-95C1-0300AA8A75E8}"/>
    <cellStyle name="40% - Accent6 2 7 4" xfId="11355" xr:uid="{7A3763C4-7E96-4327-9857-3B3A21E46BC8}"/>
    <cellStyle name="40% - Accent6 2 8" xfId="2353" xr:uid="{00000000-0005-0000-0000-00002F070000}"/>
    <cellStyle name="40% - Accent6 2 8 2" xfId="6659" xr:uid="{00000000-0005-0000-0000-000030070000}"/>
    <cellStyle name="40% - Accent6 2 8 2 2" xfId="15985" xr:uid="{2F5DA32A-CAC9-4024-BCFE-2411D6D8ECCD}"/>
    <cellStyle name="40% - Accent6 2 8 3" xfId="11768" xr:uid="{21BF166A-21D0-4D68-94AF-FA029A77D85F}"/>
    <cellStyle name="40% - Accent6 2 9" xfId="4593" xr:uid="{00000000-0005-0000-0000-000031070000}"/>
    <cellStyle name="40% - Accent6 2 9 2" xfId="13919" xr:uid="{3BBEE4EF-20A2-4602-B1BA-22A7B22208B9}"/>
    <cellStyle name="40% - Accent6 3" xfId="94" xr:uid="{00000000-0005-0000-0000-000032070000}"/>
    <cellStyle name="40% - Accent6 3 10" xfId="9706" xr:uid="{DEB8E2B3-21CF-4809-BF2B-4DFA4BD4E259}"/>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75F1CA08-E11B-406B-B8F7-19CD7C142469}"/>
    <cellStyle name="40% - Accent6 3 2 2 2 3" xfId="12266" xr:uid="{5040A7C2-3000-4A17-817B-949890CB06D4}"/>
    <cellStyle name="40% - Accent6 3 2 2 3" xfId="5012" xr:uid="{00000000-0005-0000-0000-000037070000}"/>
    <cellStyle name="40% - Accent6 3 2 2 3 2" xfId="14338" xr:uid="{30FE458C-7108-41F2-AA09-F4628DC935D1}"/>
    <cellStyle name="40% - Accent6 3 2 2 4" xfId="9504" xr:uid="{23E46585-FD8F-4BA3-8B65-284D6884E4FD}"/>
    <cellStyle name="40% - Accent6 3 2 2 4 2" xfId="18817" xr:uid="{9F654322-BEDC-4326-A250-A58E658445E8}"/>
    <cellStyle name="40% - Accent6 3 2 2 5" xfId="10121" xr:uid="{5C387C9A-4BD2-4C74-86C4-CCAA93318B23}"/>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6EA4AA6D-44E7-45BB-8174-2212E54BB6DF}"/>
    <cellStyle name="40% - Accent6 3 2 3 2 3" xfId="12679" xr:uid="{4DB10D15-D29C-495E-9F89-35377D6B1464}"/>
    <cellStyle name="40% - Accent6 3 2 3 3" xfId="5425" xr:uid="{00000000-0005-0000-0000-00003B070000}"/>
    <cellStyle name="40% - Accent6 3 2 3 3 2" xfId="14751" xr:uid="{F2493089-F465-420F-A3ED-48D53DE6D724}"/>
    <cellStyle name="40% - Accent6 3 2 3 4" xfId="10534" xr:uid="{F50CD5E5-AF27-4637-980B-903EF7C90B89}"/>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40E9386E-7B97-4B14-9440-993AE5E40FA5}"/>
    <cellStyle name="40% - Accent6 3 2 4 2 3" xfId="13092" xr:uid="{5668B9FB-5BE3-4C97-9392-7CCD2C72CDE8}"/>
    <cellStyle name="40% - Accent6 3 2 4 3" xfId="5838" xr:uid="{00000000-0005-0000-0000-00003F070000}"/>
    <cellStyle name="40% - Accent6 3 2 4 3 2" xfId="15164" xr:uid="{88F48DD5-8B02-4B30-9EC4-1D45ECD02B60}"/>
    <cellStyle name="40% - Accent6 3 2 4 4" xfId="10947" xr:uid="{4B8B8AB1-89BC-49B0-8BC6-55208643DDC4}"/>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41227549-D7CA-406F-96D2-9BC6EEB4344B}"/>
    <cellStyle name="40% - Accent6 3 2 5 2 3" xfId="13505" xr:uid="{EA4DC274-5D83-4C9C-81E9-140D2AC83480}"/>
    <cellStyle name="40% - Accent6 3 2 5 3" xfId="6251" xr:uid="{00000000-0005-0000-0000-000043070000}"/>
    <cellStyle name="40% - Accent6 3 2 5 3 2" xfId="15577" xr:uid="{5484FC56-AE9D-43D4-AED7-751A446FF17F}"/>
    <cellStyle name="40% - Accent6 3 2 5 4" xfId="11360" xr:uid="{F56DECF2-4D11-43BA-8994-EDC5F3A45933}"/>
    <cellStyle name="40% - Accent6 3 2 6" xfId="2358" xr:uid="{00000000-0005-0000-0000-000044070000}"/>
    <cellStyle name="40% - Accent6 3 2 6 2" xfId="6664" xr:uid="{00000000-0005-0000-0000-000045070000}"/>
    <cellStyle name="40% - Accent6 3 2 6 2 2" xfId="15990" xr:uid="{4AF20791-881A-4A8D-92AC-5244426E44D9}"/>
    <cellStyle name="40% - Accent6 3 2 6 3" xfId="11773" xr:uid="{0B0E733D-CF94-4BBE-96F9-B0079FAAFE5F}"/>
    <cellStyle name="40% - Accent6 3 2 7" xfId="4598" xr:uid="{00000000-0005-0000-0000-000046070000}"/>
    <cellStyle name="40% - Accent6 3 2 7 2" xfId="13924" xr:uid="{49AEB875-5900-429A-9567-42C0A72E1493}"/>
    <cellStyle name="40% - Accent6 3 2 8" xfId="9079" xr:uid="{7FA93E2E-699F-4676-8533-A3CC5F80D807}"/>
    <cellStyle name="40% - Accent6 3 2 8 2" xfId="18402" xr:uid="{E99E1CC9-80AD-4B10-8CBC-28B7DA126AA3}"/>
    <cellStyle name="40% - Accent6 3 2 9" xfId="9707" xr:uid="{8B9EF8A2-76E0-44A2-95CC-03C4B2F80369}"/>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1DC16B96-805A-4BB8-967B-B54BAF20AE3D}"/>
    <cellStyle name="40% - Accent6 3 3 2 3" xfId="12265" xr:uid="{1287D7C9-6BF5-4A4B-B355-2AF3ECE4098F}"/>
    <cellStyle name="40% - Accent6 3 3 3" xfId="5011" xr:uid="{00000000-0005-0000-0000-00004A070000}"/>
    <cellStyle name="40% - Accent6 3 3 3 2" xfId="14337" xr:uid="{5DC236AC-E7AB-4F61-ADD7-6B17FC64D0A7}"/>
    <cellStyle name="40% - Accent6 3 3 4" xfId="9297" xr:uid="{1226E28F-09E7-4580-8D19-7F14AC1CB4B3}"/>
    <cellStyle name="40% - Accent6 3 3 4 2" xfId="18610" xr:uid="{A4FF539B-F62E-4E3F-9F12-AAA7769B44C1}"/>
    <cellStyle name="40% - Accent6 3 3 5" xfId="10120" xr:uid="{797C2BCF-7334-428A-9DF1-F79FEB5115FC}"/>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15BAACFD-1DC9-499A-8B5B-CB10CF1C3248}"/>
    <cellStyle name="40% - Accent6 3 4 2 3" xfId="12678" xr:uid="{DCB2857C-F0AB-49F6-B55F-EDAB64BA28A4}"/>
    <cellStyle name="40% - Accent6 3 4 3" xfId="5424" xr:uid="{00000000-0005-0000-0000-00004E070000}"/>
    <cellStyle name="40% - Accent6 3 4 3 2" xfId="14750" xr:uid="{120CD07C-4A87-4646-809F-618E5FD32232}"/>
    <cellStyle name="40% - Accent6 3 4 4" xfId="10533" xr:uid="{B0153AD7-E478-4B80-B64B-62D1949F4E9A}"/>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8276DBDD-D1BC-4046-8712-FBD541EC6026}"/>
    <cellStyle name="40% - Accent6 3 5 2 3" xfId="13091" xr:uid="{0DE2C995-C356-4F44-A392-D3F28782C790}"/>
    <cellStyle name="40% - Accent6 3 5 3" xfId="5837" xr:uid="{00000000-0005-0000-0000-000052070000}"/>
    <cellStyle name="40% - Accent6 3 5 3 2" xfId="15163" xr:uid="{84A55027-0440-4B75-9B2D-32073B26348C}"/>
    <cellStyle name="40% - Accent6 3 5 4" xfId="10946" xr:uid="{62501C98-9B14-495D-8F9F-484C9E2C09D9}"/>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596C60A8-B366-4FC5-992F-F389A95AD1F7}"/>
    <cellStyle name="40% - Accent6 3 6 2 3" xfId="13504" xr:uid="{710BC4A7-0A29-4C20-8362-DC50EE54B4D1}"/>
    <cellStyle name="40% - Accent6 3 6 3" xfId="6250" xr:uid="{00000000-0005-0000-0000-000056070000}"/>
    <cellStyle name="40% - Accent6 3 6 3 2" xfId="15576" xr:uid="{26F533A7-03C9-4692-9BA7-40F4022A89BC}"/>
    <cellStyle name="40% - Accent6 3 6 4" xfId="11359" xr:uid="{648CA785-9548-4B08-9C6E-A4A669724353}"/>
    <cellStyle name="40% - Accent6 3 7" xfId="2357" xr:uid="{00000000-0005-0000-0000-000057070000}"/>
    <cellStyle name="40% - Accent6 3 7 2" xfId="6663" xr:uid="{00000000-0005-0000-0000-000058070000}"/>
    <cellStyle name="40% - Accent6 3 7 2 2" xfId="15989" xr:uid="{F35D45B1-72E6-4C84-B790-D56EEE4647EE}"/>
    <cellStyle name="40% - Accent6 3 7 3" xfId="11772" xr:uid="{582A1D0F-AB9D-4B15-B47E-46191B401CA9}"/>
    <cellStyle name="40% - Accent6 3 8" xfId="4597" xr:uid="{00000000-0005-0000-0000-000059070000}"/>
    <cellStyle name="40% - Accent6 3 8 2" xfId="13923" xr:uid="{21951AA4-A9C3-4ED1-8245-5F2BE89E15BF}"/>
    <cellStyle name="40% - Accent6 3 9" xfId="8872" xr:uid="{E018AF0F-504E-4DED-BF70-CC97997D74E9}"/>
    <cellStyle name="40% - Accent6 3 9 2" xfId="18195" xr:uid="{67E5BAC8-6FAF-480B-A870-DBD362AD53A6}"/>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AB7713F3-7D89-4359-A656-0D41EC248BAC}"/>
    <cellStyle name="40% - Accent6 4 2 2 3" xfId="12267" xr:uid="{F19A98EF-A083-4AB8-B39A-564532BE52FB}"/>
    <cellStyle name="40% - Accent6 4 2 3" xfId="5013" xr:uid="{00000000-0005-0000-0000-00005E070000}"/>
    <cellStyle name="40% - Accent6 4 2 3 2" xfId="14339" xr:uid="{CD652A47-301F-4BA5-A4A0-9FFE72304987}"/>
    <cellStyle name="40% - Accent6 4 2 4" xfId="9383" xr:uid="{07C7426F-B517-4815-A0BF-2BAE02B26B53}"/>
    <cellStyle name="40% - Accent6 4 2 4 2" xfId="18696" xr:uid="{DC37CD15-FC98-48A3-9278-3ECA2BD12BC0}"/>
    <cellStyle name="40% - Accent6 4 2 5" xfId="10122" xr:uid="{62AD2799-5A19-448A-AC3A-F8AB4E51287B}"/>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7ACCC5C8-6A44-4DF8-A262-31EF09211B79}"/>
    <cellStyle name="40% - Accent6 4 3 2 3" xfId="12680" xr:uid="{6408A5FC-AF9E-4CA5-9A65-846561B41F0B}"/>
    <cellStyle name="40% - Accent6 4 3 3" xfId="5426" xr:uid="{00000000-0005-0000-0000-000062070000}"/>
    <cellStyle name="40% - Accent6 4 3 3 2" xfId="14752" xr:uid="{5939EF75-4765-47EF-901F-F6B6BC6A3501}"/>
    <cellStyle name="40% - Accent6 4 3 4" xfId="10535" xr:uid="{B2AEEB1D-55ED-4C5D-B174-7580543DF7B0}"/>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C0D749CB-FB91-47F8-B992-662080D3458C}"/>
    <cellStyle name="40% - Accent6 4 4 2 3" xfId="13093" xr:uid="{6AD6AC93-2B49-46D1-8789-48092661C651}"/>
    <cellStyle name="40% - Accent6 4 4 3" xfId="5839" xr:uid="{00000000-0005-0000-0000-000066070000}"/>
    <cellStyle name="40% - Accent6 4 4 3 2" xfId="15165" xr:uid="{0803C401-D447-46A7-870D-3BBB52E05D17}"/>
    <cellStyle name="40% - Accent6 4 4 4" xfId="10948" xr:uid="{24DD9D37-8D7B-4EAC-BDC2-F8E3F9A1937C}"/>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5885CF1A-274A-4807-A60F-BAEDCFB6438A}"/>
    <cellStyle name="40% - Accent6 4 5 2 3" xfId="13506" xr:uid="{F5A35935-0827-4C3F-8CC0-38013A099072}"/>
    <cellStyle name="40% - Accent6 4 5 3" xfId="6252" xr:uid="{00000000-0005-0000-0000-00006A070000}"/>
    <cellStyle name="40% - Accent6 4 5 3 2" xfId="15578" xr:uid="{6CCDFEDF-5E74-455C-99FE-6D3B41014533}"/>
    <cellStyle name="40% - Accent6 4 5 4" xfId="11361" xr:uid="{5A9EAE3B-07E7-4123-B537-AAE93F955DFF}"/>
    <cellStyle name="40% - Accent6 4 6" xfId="2359" xr:uid="{00000000-0005-0000-0000-00006B070000}"/>
    <cellStyle name="40% - Accent6 4 6 2" xfId="6665" xr:uid="{00000000-0005-0000-0000-00006C070000}"/>
    <cellStyle name="40% - Accent6 4 6 2 2" xfId="15991" xr:uid="{11F2B198-A9EC-4424-978A-543A571C375D}"/>
    <cellStyle name="40% - Accent6 4 6 3" xfId="11774" xr:uid="{9C7EC0F4-DC28-4047-AB57-6E25F42AFFA1}"/>
    <cellStyle name="40% - Accent6 4 7" xfId="4599" xr:uid="{00000000-0005-0000-0000-00006D070000}"/>
    <cellStyle name="40% - Accent6 4 7 2" xfId="13925" xr:uid="{02E5DB7E-C940-4E31-9753-79DBD093C735}"/>
    <cellStyle name="40% - Accent6 4 8" xfId="8958" xr:uid="{058203D5-6D6D-4106-8D68-93F66B236239}"/>
    <cellStyle name="40% - Accent6 4 8 2" xfId="18281" xr:uid="{1A2EDD4F-7BC3-4B92-9A9F-8813BCFE410F}"/>
    <cellStyle name="40% - Accent6 4 9" xfId="9708" xr:uid="{7F2E8093-819D-43DE-9B26-18D2E712F2A0}"/>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FC4AFB00-9257-4C05-9DC3-8A56D98C0B4A}"/>
    <cellStyle name="40% - Accent6 5 2 3" xfId="12260" xr:uid="{758C338A-5889-4510-9138-BF8D7EE2CEFB}"/>
    <cellStyle name="40% - Accent6 5 3" xfId="5006" xr:uid="{00000000-0005-0000-0000-000071070000}"/>
    <cellStyle name="40% - Accent6 5 3 2" xfId="14332" xr:uid="{B04FF664-8180-4EF7-9B3B-5241DE8A49AD}"/>
    <cellStyle name="40% - Accent6 5 4" xfId="9192" xr:uid="{19661A88-B46A-4EF9-A9F3-4BCF8E242108}"/>
    <cellStyle name="40% - Accent6 5 4 2" xfId="18507" xr:uid="{220AD072-A4D7-4981-97B3-3A388E6D03F9}"/>
    <cellStyle name="40% - Accent6 5 5" xfId="10115" xr:uid="{94775771-1E5C-4F22-84F4-6C0C3FC0FEB5}"/>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ECD56CAE-317B-4884-ACDC-405105753351}"/>
    <cellStyle name="40% - Accent6 6 2 3" xfId="12673" xr:uid="{42538A7D-A870-4C52-AEA8-63B91C50A49D}"/>
    <cellStyle name="40% - Accent6 6 3" xfId="5419" xr:uid="{00000000-0005-0000-0000-000075070000}"/>
    <cellStyle name="40% - Accent6 6 3 2" xfId="14745" xr:uid="{884CE94D-2C56-481E-B349-DF47FD25EB47}"/>
    <cellStyle name="40% - Accent6 6 4" xfId="10528" xr:uid="{D022BD5C-7300-44C2-9159-61DB18DCAA61}"/>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496FEC3E-BBED-4E8F-80E2-0AEAD37E243A}"/>
    <cellStyle name="40% - Accent6 7 2 3" xfId="13086" xr:uid="{85063B73-2F5B-406F-974B-3E8566F5061D}"/>
    <cellStyle name="40% - Accent6 7 3" xfId="5832" xr:uid="{00000000-0005-0000-0000-000079070000}"/>
    <cellStyle name="40% - Accent6 7 3 2" xfId="15158" xr:uid="{FD80A681-A783-47CE-A730-064578FA270E}"/>
    <cellStyle name="40% - Accent6 7 4" xfId="10941" xr:uid="{D43631CC-05C0-4E59-B044-93C46CF07C56}"/>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98910D9B-7F0A-4C5C-9716-E4AE1DDD3D00}"/>
    <cellStyle name="40% - Accent6 8 2 3" xfId="13499" xr:uid="{A99A5A30-8C29-4A9F-AFCC-1318A1A30371}"/>
    <cellStyle name="40% - Accent6 8 3" xfId="6245" xr:uid="{00000000-0005-0000-0000-00007D070000}"/>
    <cellStyle name="40% - Accent6 8 3 2" xfId="15571" xr:uid="{352F497C-7BB9-472A-92EA-0BF5DA2F0ADB}"/>
    <cellStyle name="40% - Accent6 8 4" xfId="11354" xr:uid="{0D523EBB-85AB-4E9C-8C1C-4B7F2331F29E}"/>
    <cellStyle name="40% - Accent6 9" xfId="2352" xr:uid="{00000000-0005-0000-0000-00007E070000}"/>
    <cellStyle name="40% - Accent6 9 2" xfId="6658" xr:uid="{00000000-0005-0000-0000-00007F070000}"/>
    <cellStyle name="40% - Accent6 9 2 2" xfId="15984" xr:uid="{85A8DC70-1726-4084-8029-8E7DFA37D8C4}"/>
    <cellStyle name="40% - Accent6 9 3" xfId="11767" xr:uid="{AA0E63F0-B8C0-49F0-B402-CC112214041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B9941F7C-3C16-4C1B-AF33-31D5420FA5B5}"/>
    <cellStyle name="Comma 4 2 2 2 10 3" xfId="12092" xr:uid="{6D49BC59-86E4-4534-8138-9BE7C1ECFD91}"/>
    <cellStyle name="Comma 4 2 2 2 11" xfId="4600" xr:uid="{00000000-0005-0000-0000-0000A3070000}"/>
    <cellStyle name="Comma 4 2 2 2 11 2" xfId="13926" xr:uid="{936EDBED-410E-4C8E-B927-A0491D8BD340}"/>
    <cellStyle name="Comma 4 2 2 2 12" xfId="8806" xr:uid="{6C773D0B-D2E3-4A8C-B041-8DA2843B9E25}"/>
    <cellStyle name="Comma 4 2 2 2 12 2" xfId="18129" xr:uid="{84FDE0FF-FCD5-4E6E-A138-303F747C630D}"/>
    <cellStyle name="Comma 4 2 2 2 13" xfId="9709" xr:uid="{017BC794-6146-4214-ACAD-90EA273C3178}"/>
    <cellStyle name="Comma 4 2 2 2 2" xfId="129" xr:uid="{00000000-0005-0000-0000-0000A4070000}"/>
    <cellStyle name="Comma 4 2 2 2 2 10" xfId="4601" xr:uid="{00000000-0005-0000-0000-0000A5070000}"/>
    <cellStyle name="Comma 4 2 2 2 2 10 2" xfId="13927" xr:uid="{1EFBDDAD-A82B-4BA0-88A2-013619C3F86E}"/>
    <cellStyle name="Comma 4 2 2 2 2 11" xfId="8909" xr:uid="{477FCE05-1F49-4658-A03C-A8A5E7983C47}"/>
    <cellStyle name="Comma 4 2 2 2 2 11 2" xfId="18232" xr:uid="{B391990E-2F69-4B34-A470-F47A6C2EF2F8}"/>
    <cellStyle name="Comma 4 2 2 2 2 12" xfId="9710" xr:uid="{78C004F5-B601-46B4-8896-388E6A30511C}"/>
    <cellStyle name="Comma 4 2 2 2 2 2" xfId="130" xr:uid="{00000000-0005-0000-0000-0000A6070000}"/>
    <cellStyle name="Comma 4 2 2 2 2 2 10" xfId="9116" xr:uid="{7A07505D-6B4C-4086-90B5-B5D345FB7611}"/>
    <cellStyle name="Comma 4 2 2 2 2 2 10 2" xfId="18439" xr:uid="{C960ED3E-08E7-4D4E-8371-8E39DB7FFC47}"/>
    <cellStyle name="Comma 4 2 2 2 2 2 11" xfId="9711" xr:uid="{A1CBCBE8-7C7A-425D-9601-32E0CED5ABE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F29520B1-D82C-4350-91EA-3A0B83E753E4}"/>
    <cellStyle name="Comma 4 2 2 2 2 2 2 2 3" xfId="12270" xr:uid="{035FE13E-DF3D-4FDB-97E0-60868BD64911}"/>
    <cellStyle name="Comma 4 2 2 2 2 2 2 3" xfId="5016" xr:uid="{00000000-0005-0000-0000-0000AA070000}"/>
    <cellStyle name="Comma 4 2 2 2 2 2 2 3 2" xfId="14342" xr:uid="{BEE60FE6-E6EC-4E7C-898A-367654A27FA3}"/>
    <cellStyle name="Comma 4 2 2 2 2 2 2 4" xfId="9541" xr:uid="{21DC771E-83A2-48BA-BE40-3E9E8454DE28}"/>
    <cellStyle name="Comma 4 2 2 2 2 2 2 4 2" xfId="18854" xr:uid="{CE15102E-9BA4-4E94-9693-8952013DF4E1}"/>
    <cellStyle name="Comma 4 2 2 2 2 2 2 5" xfId="10125" xr:uid="{1DAF0660-E629-4BA2-8C2E-7F798EF69CE9}"/>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53938C9D-DD6C-4E19-9012-F140B1185D5A}"/>
    <cellStyle name="Comma 4 2 2 2 2 2 3 2 3" xfId="12683" xr:uid="{35AF1960-8114-4461-AD09-593175DACD1B}"/>
    <cellStyle name="Comma 4 2 2 2 2 2 3 3" xfId="5429" xr:uid="{00000000-0005-0000-0000-0000AE070000}"/>
    <cellStyle name="Comma 4 2 2 2 2 2 3 3 2" xfId="14755" xr:uid="{06CB6390-DE7E-4DB8-B62D-91D20DA5FC3C}"/>
    <cellStyle name="Comma 4 2 2 2 2 2 3 4" xfId="10538" xr:uid="{8A43E848-4C39-45EB-90AA-DF6B22C8BE87}"/>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52C24388-E0B9-459E-821D-B8F4AABE0028}"/>
    <cellStyle name="Comma 4 2 2 2 2 2 4 2 3" xfId="13096" xr:uid="{5E4E30B4-9629-4D0B-9CF4-9A45DF9ADBE4}"/>
    <cellStyle name="Comma 4 2 2 2 2 2 4 3" xfId="5842" xr:uid="{00000000-0005-0000-0000-0000B2070000}"/>
    <cellStyle name="Comma 4 2 2 2 2 2 4 3 2" xfId="15168" xr:uid="{125A9096-7238-4A08-93B5-45749874546B}"/>
    <cellStyle name="Comma 4 2 2 2 2 2 4 4" xfId="10951" xr:uid="{72634A0F-EE58-4C24-873A-6969F595DC34}"/>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C29D6741-A1EB-4AA1-A48D-A96F66F51B38}"/>
    <cellStyle name="Comma 4 2 2 2 2 2 5 2 3" xfId="13509" xr:uid="{4FFCFD02-37D5-436A-9C17-A7C05545C669}"/>
    <cellStyle name="Comma 4 2 2 2 2 2 5 3" xfId="6255" xr:uid="{00000000-0005-0000-0000-0000B6070000}"/>
    <cellStyle name="Comma 4 2 2 2 2 2 5 3 2" xfId="15581" xr:uid="{EC10EA0D-A10D-4165-8C34-EF266857199C}"/>
    <cellStyle name="Comma 4 2 2 2 2 2 5 4" xfId="11364" xr:uid="{6C2EDEEF-2B79-4B9D-8BA3-5E30985E0B8D}"/>
    <cellStyle name="Comma 4 2 2 2 2 2 6" xfId="2384" xr:uid="{00000000-0005-0000-0000-0000B7070000}"/>
    <cellStyle name="Comma 4 2 2 2 2 2 6 2" xfId="6668" xr:uid="{00000000-0005-0000-0000-0000B8070000}"/>
    <cellStyle name="Comma 4 2 2 2 2 2 6 2 2" xfId="15994" xr:uid="{1855F1B8-BEB2-4A29-9105-B0804815F939}"/>
    <cellStyle name="Comma 4 2 2 2 2 2 6 3" xfId="11777" xr:uid="{FC32CCA6-9C05-4177-969F-CB5B0BD3916B}"/>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C46155D9-4C17-46C1-8078-EA9E2B0216A3}"/>
    <cellStyle name="Comma 4 2 2 2 2 2 8 3" xfId="12094" xr:uid="{C103D674-3B39-443B-8ADE-FF17255CD015}"/>
    <cellStyle name="Comma 4 2 2 2 2 2 9" xfId="4602" xr:uid="{00000000-0005-0000-0000-0000BC070000}"/>
    <cellStyle name="Comma 4 2 2 2 2 2 9 2" xfId="13928" xr:uid="{C277BCAD-DAF6-410C-BE90-88B1338517A3}"/>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1E1CBADF-4284-4A3C-8A45-06DBA0563741}"/>
    <cellStyle name="Comma 4 2 2 2 2 3 2 3" xfId="12269" xr:uid="{BBDF4C3A-06CB-4251-9F38-3E2FCF896180}"/>
    <cellStyle name="Comma 4 2 2 2 2 3 3" xfId="5015" xr:uid="{00000000-0005-0000-0000-0000C0070000}"/>
    <cellStyle name="Comma 4 2 2 2 2 3 3 2" xfId="14341" xr:uid="{9B5E6A2E-9BD6-4410-887D-E9C97900DFE1}"/>
    <cellStyle name="Comma 4 2 2 2 2 3 4" xfId="9334" xr:uid="{50E8807F-6450-4082-BD30-0A86C2E78D0E}"/>
    <cellStyle name="Comma 4 2 2 2 2 3 4 2" xfId="18647" xr:uid="{7237679D-F7B4-4C60-A8C7-2A5C62F308F0}"/>
    <cellStyle name="Comma 4 2 2 2 2 3 5" xfId="10124" xr:uid="{33D2A5A2-166F-40CF-A74E-30A85B5F929D}"/>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D5B8ED8B-3FCA-450D-BE5A-ACBB89C12BD2}"/>
    <cellStyle name="Comma 4 2 2 2 2 4 2 3" xfId="12682" xr:uid="{BDFBA6D8-1585-464D-84EB-5C8EEE03712A}"/>
    <cellStyle name="Comma 4 2 2 2 2 4 3" xfId="5428" xr:uid="{00000000-0005-0000-0000-0000C4070000}"/>
    <cellStyle name="Comma 4 2 2 2 2 4 3 2" xfId="14754" xr:uid="{25FD9F33-5BA9-4190-A5FF-F014B8AED432}"/>
    <cellStyle name="Comma 4 2 2 2 2 4 4" xfId="10537" xr:uid="{A6F739A7-B6C4-4CD8-A8CE-D48CA828B797}"/>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14D4F17C-82E4-4C3B-A759-0F46D722592B}"/>
    <cellStyle name="Comma 4 2 2 2 2 5 2 3" xfId="13095" xr:uid="{499CBB7D-97F6-4EE4-9EDF-5980820D83B7}"/>
    <cellStyle name="Comma 4 2 2 2 2 5 3" xfId="5841" xr:uid="{00000000-0005-0000-0000-0000C8070000}"/>
    <cellStyle name="Comma 4 2 2 2 2 5 3 2" xfId="15167" xr:uid="{F4B0270A-4D7F-4949-8CB6-21B7B064EE2C}"/>
    <cellStyle name="Comma 4 2 2 2 2 5 4" xfId="10950" xr:uid="{B9F8D63A-8B68-4ABF-8F09-FDC44B969D98}"/>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C3AE242C-4ACF-4D00-B026-3D37C6C06D62}"/>
    <cellStyle name="Comma 4 2 2 2 2 6 2 3" xfId="13508" xr:uid="{088ADDD7-0559-4917-AB79-0285A1BAF5E4}"/>
    <cellStyle name="Comma 4 2 2 2 2 6 3" xfId="6254" xr:uid="{00000000-0005-0000-0000-0000CC070000}"/>
    <cellStyle name="Comma 4 2 2 2 2 6 3 2" xfId="15580" xr:uid="{D865A846-A534-4F7F-890F-BD29B4BE96CD}"/>
    <cellStyle name="Comma 4 2 2 2 2 6 4" xfId="11363" xr:uid="{6DF7A2E9-7099-430E-A7A7-61AB15C24220}"/>
    <cellStyle name="Comma 4 2 2 2 2 7" xfId="2383" xr:uid="{00000000-0005-0000-0000-0000CD070000}"/>
    <cellStyle name="Comma 4 2 2 2 2 7 2" xfId="6667" xr:uid="{00000000-0005-0000-0000-0000CE070000}"/>
    <cellStyle name="Comma 4 2 2 2 2 7 2 2" xfId="15993" xr:uid="{593E5138-BFD4-49B5-954A-9EB3998BA5DE}"/>
    <cellStyle name="Comma 4 2 2 2 2 7 3" xfId="11776" xr:uid="{35784FB9-BAF6-455B-A18F-2E3397288CE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59DD617E-3765-4315-8D74-B37BC83EA010}"/>
    <cellStyle name="Comma 4 2 2 2 2 9 3" xfId="12093" xr:uid="{A6461E08-9046-44AE-81CC-BB99E7683089}"/>
    <cellStyle name="Comma 4 2 2 2 3" xfId="131" xr:uid="{00000000-0005-0000-0000-0000D2070000}"/>
    <cellStyle name="Comma 4 2 2 2 3 10" xfId="9013" xr:uid="{D7491CA1-A7A0-4099-A659-9FB418CDDACA}"/>
    <cellStyle name="Comma 4 2 2 2 3 10 2" xfId="18336" xr:uid="{516990F6-F2B8-4850-85F2-719673EA87DF}"/>
    <cellStyle name="Comma 4 2 2 2 3 11" xfId="9712" xr:uid="{4D8947DA-924A-4E4B-AF25-14BF3C8BF3C7}"/>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FF064189-1CDE-440D-84A9-F259A9C3C781}"/>
    <cellStyle name="Comma 4 2 2 2 3 2 2 3" xfId="12271" xr:uid="{7C349231-8C66-4B56-BA8C-F2CBDCA34A98}"/>
    <cellStyle name="Comma 4 2 2 2 3 2 3" xfId="5017" xr:uid="{00000000-0005-0000-0000-0000D6070000}"/>
    <cellStyle name="Comma 4 2 2 2 3 2 3 2" xfId="14343" xr:uid="{801F0450-CA23-4FA3-97B2-CAFFCB9F9715}"/>
    <cellStyle name="Comma 4 2 2 2 3 2 4" xfId="9438" xr:uid="{8E9C4341-814A-43D1-8D35-8CCC512A2E32}"/>
    <cellStyle name="Comma 4 2 2 2 3 2 4 2" xfId="18751" xr:uid="{07F45D27-6E4B-440C-B2C7-B9D25AEAE9B1}"/>
    <cellStyle name="Comma 4 2 2 2 3 2 5" xfId="10126" xr:uid="{3883D025-99FF-4B22-86D0-078C781C7E57}"/>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CB1FA43B-CA85-4D49-B406-034BC80FAFF9}"/>
    <cellStyle name="Comma 4 2 2 2 3 3 2 3" xfId="12684" xr:uid="{0F1DD04E-D829-494E-A915-0805168100AB}"/>
    <cellStyle name="Comma 4 2 2 2 3 3 3" xfId="5430" xr:uid="{00000000-0005-0000-0000-0000DA070000}"/>
    <cellStyle name="Comma 4 2 2 2 3 3 3 2" xfId="14756" xr:uid="{CA4FE9A4-B4BA-46F0-BDC1-CABF97798611}"/>
    <cellStyle name="Comma 4 2 2 2 3 3 4" xfId="10539" xr:uid="{541D4C64-EB3A-4B80-9153-B22E78E430D5}"/>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341AEFF6-8054-4EC8-8226-BB205B7AFCCA}"/>
    <cellStyle name="Comma 4 2 2 2 3 4 2 3" xfId="13097" xr:uid="{B72D0379-77E3-4B50-BC81-18A5CFE5EF64}"/>
    <cellStyle name="Comma 4 2 2 2 3 4 3" xfId="5843" xr:uid="{00000000-0005-0000-0000-0000DE070000}"/>
    <cellStyle name="Comma 4 2 2 2 3 4 3 2" xfId="15169" xr:uid="{D522E459-80C9-4227-803E-7927F5543A97}"/>
    <cellStyle name="Comma 4 2 2 2 3 4 4" xfId="10952" xr:uid="{4CAF7C07-018A-4973-A2C8-945B3547B878}"/>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5AFC097D-57DE-46F6-A6B9-DADA8AD3C199}"/>
    <cellStyle name="Comma 4 2 2 2 3 5 2 3" xfId="13510" xr:uid="{010FD6B6-36F4-46DF-8125-4656C14CD302}"/>
    <cellStyle name="Comma 4 2 2 2 3 5 3" xfId="6256" xr:uid="{00000000-0005-0000-0000-0000E2070000}"/>
    <cellStyle name="Comma 4 2 2 2 3 5 3 2" xfId="15582" xr:uid="{A85BF346-602A-4F38-9751-05DF34C0DE62}"/>
    <cellStyle name="Comma 4 2 2 2 3 5 4" xfId="11365" xr:uid="{A9D286C3-CD63-4358-A0FF-CE15AEEF6F21}"/>
    <cellStyle name="Comma 4 2 2 2 3 6" xfId="2385" xr:uid="{00000000-0005-0000-0000-0000E3070000}"/>
    <cellStyle name="Comma 4 2 2 2 3 6 2" xfId="6669" xr:uid="{00000000-0005-0000-0000-0000E4070000}"/>
    <cellStyle name="Comma 4 2 2 2 3 6 2 2" xfId="15995" xr:uid="{40FDF857-5569-45F5-8DD5-4D61EB1E0545}"/>
    <cellStyle name="Comma 4 2 2 2 3 6 3" xfId="11778" xr:uid="{FC9EA12A-1F6D-4FEE-9E80-6887148398B2}"/>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37BFC6AE-4786-412D-959D-314AD05D0120}"/>
    <cellStyle name="Comma 4 2 2 2 3 8 3" xfId="12095" xr:uid="{C0637F9F-3943-4B32-ABC0-89488E6BEDC9}"/>
    <cellStyle name="Comma 4 2 2 2 3 9" xfId="4603" xr:uid="{00000000-0005-0000-0000-0000E8070000}"/>
    <cellStyle name="Comma 4 2 2 2 3 9 2" xfId="13929" xr:uid="{D02D7F56-523E-46A2-8849-978E807114D5}"/>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C22A033B-60BF-4CC6-A994-70B8DDF40E9F}"/>
    <cellStyle name="Comma 4 2 2 2 4 2 3" xfId="12268" xr:uid="{7E74B1EC-6D72-4439-9BF4-0B2DA7209E69}"/>
    <cellStyle name="Comma 4 2 2 2 4 3" xfId="5014" xr:uid="{00000000-0005-0000-0000-0000EC070000}"/>
    <cellStyle name="Comma 4 2 2 2 4 3 2" xfId="14340" xr:uid="{105DB76C-5946-4457-BAEC-074E41FCA44C}"/>
    <cellStyle name="Comma 4 2 2 2 4 4" xfId="9231" xr:uid="{31DAC97A-9492-467B-9850-183797A56FBE}"/>
    <cellStyle name="Comma 4 2 2 2 4 4 2" xfId="18544" xr:uid="{8D827A6B-F262-4DC7-A7FE-F58DE0391C24}"/>
    <cellStyle name="Comma 4 2 2 2 4 5" xfId="10123" xr:uid="{6C21EC0F-3495-4A43-AC92-71AE62479502}"/>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387026A2-FBAE-481C-8726-97E1E8300465}"/>
    <cellStyle name="Comma 4 2 2 2 5 2 3" xfId="12681" xr:uid="{9B9F837F-42C1-4855-8606-89B87DC6E448}"/>
    <cellStyle name="Comma 4 2 2 2 5 3" xfId="5427" xr:uid="{00000000-0005-0000-0000-0000F0070000}"/>
    <cellStyle name="Comma 4 2 2 2 5 3 2" xfId="14753" xr:uid="{A09CFF34-FE59-4B90-A1A6-0820D0117A18}"/>
    <cellStyle name="Comma 4 2 2 2 5 4" xfId="10536" xr:uid="{2CE0DAAC-C5FF-465F-8A8D-D4F9A2E5FC84}"/>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06F48808-FD34-44B2-B85C-E46643D6F13A}"/>
    <cellStyle name="Comma 4 2 2 2 6 2 3" xfId="13094" xr:uid="{5A6D335D-CAF2-4B23-8D6E-3A8197322994}"/>
    <cellStyle name="Comma 4 2 2 2 6 3" xfId="5840" xr:uid="{00000000-0005-0000-0000-0000F4070000}"/>
    <cellStyle name="Comma 4 2 2 2 6 3 2" xfId="15166" xr:uid="{1A821E78-64F4-4F6C-973A-C5ACD3570EF1}"/>
    <cellStyle name="Comma 4 2 2 2 6 4" xfId="10949" xr:uid="{DBEF3E12-6DAB-402D-A52A-72F0797184D8}"/>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2998D818-EF2B-4BE7-8FFE-0189CF6A0F4F}"/>
    <cellStyle name="Comma 4 2 2 2 7 2 3" xfId="13507" xr:uid="{752BF659-1A7D-4478-B1B5-C968ED2C0E3D}"/>
    <cellStyle name="Comma 4 2 2 2 7 3" xfId="6253" xr:uid="{00000000-0005-0000-0000-0000F8070000}"/>
    <cellStyle name="Comma 4 2 2 2 7 3 2" xfId="15579" xr:uid="{1C17F96D-19CE-47A6-A8D9-E668BC299C78}"/>
    <cellStyle name="Comma 4 2 2 2 7 4" xfId="11362" xr:uid="{78477B6C-6821-4A2D-8B58-777FF7E23EF7}"/>
    <cellStyle name="Comma 4 2 2 2 8" xfId="2382" xr:uid="{00000000-0005-0000-0000-0000F9070000}"/>
    <cellStyle name="Comma 4 2 2 2 8 2" xfId="6666" xr:uid="{00000000-0005-0000-0000-0000FA070000}"/>
    <cellStyle name="Comma 4 2 2 2 8 2 2" xfId="15992" xr:uid="{3C919AED-FF6A-4ACA-B2ED-6875553F18D4}"/>
    <cellStyle name="Comma 4 2 2 2 8 3" xfId="11775" xr:uid="{6959BE2B-FCF1-446D-8EEE-01EE7E8620F5}"/>
    <cellStyle name="Comma 4 2 2 2 9" xfId="2381" xr:uid="{00000000-0005-0000-0000-0000FB070000}"/>
    <cellStyle name="Comma 4 2 2 3" xfId="132" xr:uid="{00000000-0005-0000-0000-0000FC070000}"/>
    <cellStyle name="Comma 4 2 2 3 10" xfId="4604" xr:uid="{00000000-0005-0000-0000-0000FD070000}"/>
    <cellStyle name="Comma 4 2 2 3 10 2" xfId="13930" xr:uid="{03544B25-FA85-485B-A1D6-EC91AF5974EF}"/>
    <cellStyle name="Comma 4 2 2 3 11" xfId="8889" xr:uid="{93813409-C042-4436-8561-B0237A135E7D}"/>
    <cellStyle name="Comma 4 2 2 3 11 2" xfId="18212" xr:uid="{9C353914-1CD0-4FED-A3E7-0FE286BA5F5D}"/>
    <cellStyle name="Comma 4 2 2 3 12" xfId="9713" xr:uid="{4F69C40E-EB44-49C6-873F-D67427BFCF4F}"/>
    <cellStyle name="Comma 4 2 2 3 2" xfId="133" xr:uid="{00000000-0005-0000-0000-0000FE070000}"/>
    <cellStyle name="Comma 4 2 2 3 2 10" xfId="9096" xr:uid="{C395B6CC-7E3E-452B-B5AB-BBF992A45CEB}"/>
    <cellStyle name="Comma 4 2 2 3 2 10 2" xfId="18419" xr:uid="{BBB568C5-FDC7-498E-99D5-ACC714F0ACAD}"/>
    <cellStyle name="Comma 4 2 2 3 2 11" xfId="9714" xr:uid="{0EC5E832-110C-46F1-9900-E80CB3381A26}"/>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03CD02B6-E194-46B8-93AE-F60476EFE3F7}"/>
    <cellStyle name="Comma 4 2 2 3 2 2 2 3" xfId="12273" xr:uid="{DB65EA53-E56F-4DCE-B99A-C3F9AA33E9D9}"/>
    <cellStyle name="Comma 4 2 2 3 2 2 3" xfId="5019" xr:uid="{00000000-0005-0000-0000-000002080000}"/>
    <cellStyle name="Comma 4 2 2 3 2 2 3 2" xfId="14345" xr:uid="{D6003947-DEE4-46B3-824D-939448425755}"/>
    <cellStyle name="Comma 4 2 2 3 2 2 4" xfId="9521" xr:uid="{8F14F654-C711-4E70-8A06-71F68E70E2E0}"/>
    <cellStyle name="Comma 4 2 2 3 2 2 4 2" xfId="18834" xr:uid="{66BB2A8B-85ED-4551-9718-DB52ADBB8186}"/>
    <cellStyle name="Comma 4 2 2 3 2 2 5" xfId="10128" xr:uid="{6F2FA886-175D-463D-8221-EE5D3C73022B}"/>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91DC502B-F1AC-49C1-9423-603D9C5040BF}"/>
    <cellStyle name="Comma 4 2 2 3 2 3 2 3" xfId="12686" xr:uid="{7D44EC15-8490-4D77-B870-4562650D5605}"/>
    <cellStyle name="Comma 4 2 2 3 2 3 3" xfId="5432" xr:uid="{00000000-0005-0000-0000-000006080000}"/>
    <cellStyle name="Comma 4 2 2 3 2 3 3 2" xfId="14758" xr:uid="{CD9C13EA-711E-4ADC-A1E2-02F4A03BD121}"/>
    <cellStyle name="Comma 4 2 2 3 2 3 4" xfId="10541" xr:uid="{92894441-2384-4126-9A2D-75149E87C8A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7ECA8E89-7266-4816-91CD-58FAF042DDD6}"/>
    <cellStyle name="Comma 4 2 2 3 2 4 2 3" xfId="13099" xr:uid="{73E3320D-97C3-4D62-83E7-6F949F6626F3}"/>
    <cellStyle name="Comma 4 2 2 3 2 4 3" xfId="5845" xr:uid="{00000000-0005-0000-0000-00000A080000}"/>
    <cellStyle name="Comma 4 2 2 3 2 4 3 2" xfId="15171" xr:uid="{C4FDBA0B-C03D-499D-8099-1030EF215326}"/>
    <cellStyle name="Comma 4 2 2 3 2 4 4" xfId="10954" xr:uid="{5919E8DA-8427-42E0-90E9-3B816D89B4C3}"/>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188D440D-DCD0-43FE-AE02-FE45CE6481D0}"/>
    <cellStyle name="Comma 4 2 2 3 2 5 2 3" xfId="13512" xr:uid="{C99C9A37-6043-482C-8481-CEF395D5F927}"/>
    <cellStyle name="Comma 4 2 2 3 2 5 3" xfId="6258" xr:uid="{00000000-0005-0000-0000-00000E080000}"/>
    <cellStyle name="Comma 4 2 2 3 2 5 3 2" xfId="15584" xr:uid="{A07AA973-63AC-438E-AEF9-2C69E3B3C920}"/>
    <cellStyle name="Comma 4 2 2 3 2 5 4" xfId="11367" xr:uid="{1A747F1E-5FF4-4F0C-9512-941D180DA006}"/>
    <cellStyle name="Comma 4 2 2 3 2 6" xfId="2387" xr:uid="{00000000-0005-0000-0000-00000F080000}"/>
    <cellStyle name="Comma 4 2 2 3 2 6 2" xfId="6671" xr:uid="{00000000-0005-0000-0000-000010080000}"/>
    <cellStyle name="Comma 4 2 2 3 2 6 2 2" xfId="15997" xr:uid="{C5F376D3-216A-4012-AAB2-4A063393BBDD}"/>
    <cellStyle name="Comma 4 2 2 3 2 6 3" xfId="11780" xr:uid="{F8DC2089-E9CD-4F6E-9099-7797A79097A7}"/>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231161C2-6327-4EDF-B783-E50C719852AB}"/>
    <cellStyle name="Comma 4 2 2 3 2 8 3" xfId="12097" xr:uid="{8F88F63E-6214-4ABF-9CF7-215AC9D2803F}"/>
    <cellStyle name="Comma 4 2 2 3 2 9" xfId="4605" xr:uid="{00000000-0005-0000-0000-000014080000}"/>
    <cellStyle name="Comma 4 2 2 3 2 9 2" xfId="13931" xr:uid="{79A2E57F-ACF2-4CED-B9C1-BEAF0A0E6FB5}"/>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97882DEA-5FBA-4AAF-BBAF-C7C3A69B6ABA}"/>
    <cellStyle name="Comma 4 2 2 3 3 2 3" xfId="12272" xr:uid="{EF9EC0CA-46B9-41B4-BCD6-18EDEE5E7BAE}"/>
    <cellStyle name="Comma 4 2 2 3 3 3" xfId="5018" xr:uid="{00000000-0005-0000-0000-000018080000}"/>
    <cellStyle name="Comma 4 2 2 3 3 3 2" xfId="14344" xr:uid="{D332D9A6-4393-4C36-AA43-A3E5B1660DA2}"/>
    <cellStyle name="Comma 4 2 2 3 3 4" xfId="9314" xr:uid="{A74197AE-1229-40FC-8212-8FB289D74FF6}"/>
    <cellStyle name="Comma 4 2 2 3 3 4 2" xfId="18627" xr:uid="{92E8D381-69E5-460B-81D5-E153B6CAD8B7}"/>
    <cellStyle name="Comma 4 2 2 3 3 5" xfId="10127" xr:uid="{F3BC9F8B-5C77-45AA-8790-73F48D04F0D8}"/>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726AA506-7E04-4901-BEA3-4BB053981DBE}"/>
    <cellStyle name="Comma 4 2 2 3 4 2 3" xfId="12685" xr:uid="{6C0BDA6F-5BD8-4F9C-80EB-9EC575D104A5}"/>
    <cellStyle name="Comma 4 2 2 3 4 3" xfId="5431" xr:uid="{00000000-0005-0000-0000-00001C080000}"/>
    <cellStyle name="Comma 4 2 2 3 4 3 2" xfId="14757" xr:uid="{F20F6DF8-617B-4482-8780-75F8224151B7}"/>
    <cellStyle name="Comma 4 2 2 3 4 4" xfId="10540" xr:uid="{1E3AC85B-33D4-4E2D-A9FF-CBDBC1EA811E}"/>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9B82EFB3-136D-45AE-B937-4F9CB472B3BE}"/>
    <cellStyle name="Comma 4 2 2 3 5 2 3" xfId="13098" xr:uid="{77420B68-9FC6-455E-9FD2-EC870A53AF3F}"/>
    <cellStyle name="Comma 4 2 2 3 5 3" xfId="5844" xr:uid="{00000000-0005-0000-0000-000020080000}"/>
    <cellStyle name="Comma 4 2 2 3 5 3 2" xfId="15170" xr:uid="{8F7B162A-7084-4662-8067-B0E65F74EA1B}"/>
    <cellStyle name="Comma 4 2 2 3 5 4" xfId="10953" xr:uid="{A694E6D6-BEDF-4DD2-A932-38A912F182BF}"/>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902BAA8C-9182-4F0C-BC73-15E9ECEAB471}"/>
    <cellStyle name="Comma 4 2 2 3 6 2 3" xfId="13511" xr:uid="{75D64A9D-2BE1-4FF0-A29A-BE8D2E9C6669}"/>
    <cellStyle name="Comma 4 2 2 3 6 3" xfId="6257" xr:uid="{00000000-0005-0000-0000-000024080000}"/>
    <cellStyle name="Comma 4 2 2 3 6 3 2" xfId="15583" xr:uid="{033216B5-C2B6-4475-AB16-92BE793A17E5}"/>
    <cellStyle name="Comma 4 2 2 3 6 4" xfId="11366" xr:uid="{892B6256-831D-43B7-801C-A06A7A23AA28}"/>
    <cellStyle name="Comma 4 2 2 3 7" xfId="2386" xr:uid="{00000000-0005-0000-0000-000025080000}"/>
    <cellStyle name="Comma 4 2 2 3 7 2" xfId="6670" xr:uid="{00000000-0005-0000-0000-000026080000}"/>
    <cellStyle name="Comma 4 2 2 3 7 2 2" xfId="15996" xr:uid="{0EFC567D-C647-4259-A2A8-5AB8F54B9758}"/>
    <cellStyle name="Comma 4 2 2 3 7 3" xfId="11779" xr:uid="{64904B41-911E-47E3-9847-CAA47A212EAD}"/>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344EFA67-0A05-4935-980A-982EC8C7F919}"/>
    <cellStyle name="Comma 4 2 2 3 9 3" xfId="12096" xr:uid="{5E2FBEA9-E70B-476C-8881-68D3AE167CF6}"/>
    <cellStyle name="Comma 4 2 2 4" xfId="134" xr:uid="{00000000-0005-0000-0000-00002A080000}"/>
    <cellStyle name="Comma 4 2 2 4 10" xfId="8993" xr:uid="{2969CB69-37C4-4C43-BC9D-87F92556F829}"/>
    <cellStyle name="Comma 4 2 2 4 10 2" xfId="18316" xr:uid="{CAF7E991-B874-4C53-ABE8-74F4FFFDC514}"/>
    <cellStyle name="Comma 4 2 2 4 11" xfId="9715" xr:uid="{6E48BE39-4691-49A6-8BCA-A3CAC32EE3D0}"/>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364DE597-6BE6-475A-9CE2-0976971544BD}"/>
    <cellStyle name="Comma 4 2 2 4 2 2 3" xfId="12274" xr:uid="{356D726B-B52C-4F86-A2ED-B339D3856142}"/>
    <cellStyle name="Comma 4 2 2 4 2 3" xfId="5020" xr:uid="{00000000-0005-0000-0000-00002E080000}"/>
    <cellStyle name="Comma 4 2 2 4 2 3 2" xfId="14346" xr:uid="{8E38B698-43DA-47B1-B6E0-96E293536F39}"/>
    <cellStyle name="Comma 4 2 2 4 2 4" xfId="9418" xr:uid="{F2EB07B7-2227-485D-9411-A8F75EC2F9DA}"/>
    <cellStyle name="Comma 4 2 2 4 2 4 2" xfId="18731" xr:uid="{06643205-CE96-4973-9281-1011A9B16883}"/>
    <cellStyle name="Comma 4 2 2 4 2 5" xfId="10129" xr:uid="{931CDF8C-FD81-4279-9952-198D22FDD041}"/>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B63D61B2-1771-4427-829A-8D221733AFED}"/>
    <cellStyle name="Comma 4 2 2 4 3 2 3" xfId="12687" xr:uid="{5045F5E3-0094-4F09-936A-06DB56982E97}"/>
    <cellStyle name="Comma 4 2 2 4 3 3" xfId="5433" xr:uid="{00000000-0005-0000-0000-000032080000}"/>
    <cellStyle name="Comma 4 2 2 4 3 3 2" xfId="14759" xr:uid="{C241ECCE-91EA-4D5A-A9C0-A8B25289CBC3}"/>
    <cellStyle name="Comma 4 2 2 4 3 4" xfId="10542" xr:uid="{D3AB481A-7B31-4BCB-8656-8BFC997EE140}"/>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D2417D45-CE69-4514-BB05-74D6A0357B83}"/>
    <cellStyle name="Comma 4 2 2 4 4 2 3" xfId="13100" xr:uid="{5660E233-625B-4FD2-8A36-77E4F7BCB99F}"/>
    <cellStyle name="Comma 4 2 2 4 4 3" xfId="5846" xr:uid="{00000000-0005-0000-0000-000036080000}"/>
    <cellStyle name="Comma 4 2 2 4 4 3 2" xfId="15172" xr:uid="{EA295DD2-97D6-400C-9A59-E7E0D51E7377}"/>
    <cellStyle name="Comma 4 2 2 4 4 4" xfId="10955" xr:uid="{6227D6D5-3556-4F40-B533-DD114CCA3851}"/>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FDBBE29D-7475-41CB-836A-F2A955B9AFC9}"/>
    <cellStyle name="Comma 4 2 2 4 5 2 3" xfId="13513" xr:uid="{FEF41DB1-94F7-4D50-A10B-0EBEA87F97E9}"/>
    <cellStyle name="Comma 4 2 2 4 5 3" xfId="6259" xr:uid="{00000000-0005-0000-0000-00003A080000}"/>
    <cellStyle name="Comma 4 2 2 4 5 3 2" xfId="15585" xr:uid="{3CD30793-380A-448D-BCF9-11DD27B7B421}"/>
    <cellStyle name="Comma 4 2 2 4 5 4" xfId="11368" xr:uid="{FDF88186-7CD3-414C-8F10-73198B17B0E4}"/>
    <cellStyle name="Comma 4 2 2 4 6" xfId="2388" xr:uid="{00000000-0005-0000-0000-00003B080000}"/>
    <cellStyle name="Comma 4 2 2 4 6 2" xfId="6672" xr:uid="{00000000-0005-0000-0000-00003C080000}"/>
    <cellStyle name="Comma 4 2 2 4 6 2 2" xfId="15998" xr:uid="{40025ADC-48B7-4081-90E4-6B00074FBB36}"/>
    <cellStyle name="Comma 4 2 2 4 6 3" xfId="11781" xr:uid="{6A3910D9-C5C5-4219-9B23-64391B1A5162}"/>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8A8623F0-DA45-408E-88C0-DF7275C1DEE7}"/>
    <cellStyle name="Comma 4 2 2 4 8 3" xfId="12098" xr:uid="{48749F74-2B80-4AA0-946A-45C1C0191831}"/>
    <cellStyle name="Comma 4 2 2 4 9" xfId="4606" xr:uid="{00000000-0005-0000-0000-000040080000}"/>
    <cellStyle name="Comma 4 2 2 4 9 2" xfId="13932" xr:uid="{C0522D04-2ED4-4C8C-B2B7-82981F9FF16D}"/>
    <cellStyle name="Comma 4 2 2 5" xfId="135" xr:uid="{00000000-0005-0000-0000-000041080000}"/>
    <cellStyle name="Comma 4 2 2 5 10" xfId="9210" xr:uid="{C1F9418B-EF96-4063-883D-A983E131C6A4}"/>
    <cellStyle name="Comma 4 2 2 5 10 2" xfId="18524" xr:uid="{CD6D0A86-27D0-43CC-B463-29FFC942E9EC}"/>
    <cellStyle name="Comma 4 2 2 5 11" xfId="9716" xr:uid="{4463C816-E31C-4705-BF14-95E230BA173F}"/>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5264571F-3150-4B20-99EC-1F2FB225C292}"/>
    <cellStyle name="Comma 4 2 2 5 2 2 3" xfId="12275" xr:uid="{0E64A41B-28B0-41CD-8C9B-B1C1C3648826}"/>
    <cellStyle name="Comma 4 2 2 5 2 3" xfId="5021" xr:uid="{00000000-0005-0000-0000-000045080000}"/>
    <cellStyle name="Comma 4 2 2 5 2 3 2" xfId="14347" xr:uid="{F04F87F0-A264-4EB2-9E61-46B52DCA7871}"/>
    <cellStyle name="Comma 4 2 2 5 2 4" xfId="9593" xr:uid="{3B41C66E-2108-4CBE-9776-211459781E55}"/>
    <cellStyle name="Comma 4 2 2 5 2 4 2" xfId="18895" xr:uid="{E6855EC6-8313-4064-A055-94EB27B6EB29}"/>
    <cellStyle name="Comma 4 2 2 5 2 5" xfId="10130" xr:uid="{7958D333-3855-47E0-82EC-5189FAEA5D9E}"/>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3B0565C7-FE16-43C3-9BA3-76E1905F737B}"/>
    <cellStyle name="Comma 4 2 2 5 3 2 3" xfId="12688" xr:uid="{CF61C522-0D0E-4D91-A63C-CBB11A4CA28F}"/>
    <cellStyle name="Comma 4 2 2 5 3 3" xfId="5434" xr:uid="{00000000-0005-0000-0000-000049080000}"/>
    <cellStyle name="Comma 4 2 2 5 3 3 2" xfId="14760" xr:uid="{923D0C85-AF74-4492-ACD6-46BA056D8F6D}"/>
    <cellStyle name="Comma 4 2 2 5 3 4" xfId="10543" xr:uid="{8B436573-4A3A-4268-BFF8-0131856E79E9}"/>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F9E43327-BD6C-41D9-8D12-4C43A6DB348F}"/>
    <cellStyle name="Comma 4 2 2 5 4 2 3" xfId="13101" xr:uid="{B3A1251B-7A63-40CB-93A1-87934FE658C3}"/>
    <cellStyle name="Comma 4 2 2 5 4 3" xfId="5847" xr:uid="{00000000-0005-0000-0000-00004D080000}"/>
    <cellStyle name="Comma 4 2 2 5 4 3 2" xfId="15173" xr:uid="{6C4DC00B-9C08-4F75-8F2F-F819E8B6EE8A}"/>
    <cellStyle name="Comma 4 2 2 5 4 4" xfId="10956" xr:uid="{904EF7E3-A4CE-4167-A725-FA3DD0008FF6}"/>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EA50D51C-10DB-4D93-8AAB-0C00C4D22183}"/>
    <cellStyle name="Comma 4 2 2 5 5 2 3" xfId="13514" xr:uid="{E1B927EB-F361-40E7-8C37-FF5EE7CC0A3D}"/>
    <cellStyle name="Comma 4 2 2 5 5 3" xfId="6260" xr:uid="{00000000-0005-0000-0000-000051080000}"/>
    <cellStyle name="Comma 4 2 2 5 5 3 2" xfId="15586" xr:uid="{81CF4EBA-C9D8-4BCC-A3C3-7A73786E4F5C}"/>
    <cellStyle name="Comma 4 2 2 5 5 4" xfId="11369" xr:uid="{6D82DE06-167F-4DE1-A51B-791938B834B7}"/>
    <cellStyle name="Comma 4 2 2 5 6" xfId="2389" xr:uid="{00000000-0005-0000-0000-000052080000}"/>
    <cellStyle name="Comma 4 2 2 5 6 2" xfId="6673" xr:uid="{00000000-0005-0000-0000-000053080000}"/>
    <cellStyle name="Comma 4 2 2 5 6 2 2" xfId="15999" xr:uid="{35A518B0-DB4A-441A-A2FE-7C39D35F19E5}"/>
    <cellStyle name="Comma 4 2 2 5 6 3" xfId="11782" xr:uid="{581BEC6F-BAAA-491B-9BE5-37E3CEC58971}"/>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AD812FCB-C5A7-4072-B610-977652A99140}"/>
    <cellStyle name="Comma 4 2 2 5 8 3" xfId="12099" xr:uid="{6B917516-9141-4868-A40F-730F1F4E6B2D}"/>
    <cellStyle name="Comma 4 2 2 5 9" xfId="4607" xr:uid="{00000000-0005-0000-0000-000057080000}"/>
    <cellStyle name="Comma 4 2 2 5 9 2" xfId="13933" xr:uid="{4B0DD638-E1B5-493C-B0F4-10CD3E0EC69C}"/>
    <cellStyle name="Comma 4 2 2 6" xfId="9228" xr:uid="{49D8FCED-23A7-48B2-8D10-F90787B2F62D}"/>
    <cellStyle name="Comma 4 2 2 7" xfId="8786" xr:uid="{8FDBE9F4-5F27-4B1B-A262-D62BF874EF16}"/>
    <cellStyle name="Comma 4 2 2 7 2" xfId="18109" xr:uid="{7CE12127-FA99-4727-990A-A003D987B971}"/>
    <cellStyle name="Comma 4 2 3" xfId="136" xr:uid="{00000000-0005-0000-0000-000058080000}"/>
    <cellStyle name="Comma 4 2 3 10" xfId="2768" xr:uid="{00000000-0005-0000-0000-000059080000}"/>
    <cellStyle name="Comma 4 2 3 10 2" xfId="6991" xr:uid="{00000000-0005-0000-0000-00005A080000}"/>
    <cellStyle name="Comma 4 2 3 10 2 2" xfId="16317" xr:uid="{21CE33F8-86D0-4CBE-83A4-4F5549499432}"/>
    <cellStyle name="Comma 4 2 3 10 3" xfId="12100" xr:uid="{4F677D6E-FB2B-4967-B772-F0BAFCAC5759}"/>
    <cellStyle name="Comma 4 2 3 11" xfId="4608" xr:uid="{00000000-0005-0000-0000-00005B080000}"/>
    <cellStyle name="Comma 4 2 3 11 2" xfId="13934" xr:uid="{9BD7B6FD-7FC2-4D1E-9F96-CFE05B6E348C}"/>
    <cellStyle name="Comma 4 2 3 12" xfId="8805" xr:uid="{C45527F6-07B7-4887-BAF3-A6424444BA3B}"/>
    <cellStyle name="Comma 4 2 3 12 2" xfId="18128" xr:uid="{953996B6-E8F3-48AE-973F-DB221ED50937}"/>
    <cellStyle name="Comma 4 2 3 13" xfId="9717" xr:uid="{961DE291-0E05-44B8-A0AD-855D31B0235D}"/>
    <cellStyle name="Comma 4 2 3 2" xfId="137" xr:uid="{00000000-0005-0000-0000-00005C080000}"/>
    <cellStyle name="Comma 4 2 3 2 10" xfId="4609" xr:uid="{00000000-0005-0000-0000-00005D080000}"/>
    <cellStyle name="Comma 4 2 3 2 10 2" xfId="13935" xr:uid="{5F04BFF9-23CE-4861-80CB-A96C992645E9}"/>
    <cellStyle name="Comma 4 2 3 2 11" xfId="8908" xr:uid="{E7021C11-E6EB-4392-A0AD-2A78F42B4BB7}"/>
    <cellStyle name="Comma 4 2 3 2 11 2" xfId="18231" xr:uid="{24340CFA-8443-4832-BB24-8ADB6B107FAE}"/>
    <cellStyle name="Comma 4 2 3 2 12" xfId="9718" xr:uid="{BC454FCF-B2C8-449D-9E5B-5BF1E89BC7EA}"/>
    <cellStyle name="Comma 4 2 3 2 2" xfId="138" xr:uid="{00000000-0005-0000-0000-00005E080000}"/>
    <cellStyle name="Comma 4 2 3 2 2 10" xfId="9115" xr:uid="{1A31CCC4-B2C0-4E0C-B714-855521500FE8}"/>
    <cellStyle name="Comma 4 2 3 2 2 10 2" xfId="18438" xr:uid="{E9140729-579A-4EA3-8AD3-EA2053B319DE}"/>
    <cellStyle name="Comma 4 2 3 2 2 11" xfId="9719" xr:uid="{B090C175-70DF-4E1C-A418-C349E43AB957}"/>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FD3A4A2E-5E5F-4465-B7B1-768E3EDCF654}"/>
    <cellStyle name="Comma 4 2 3 2 2 2 2 3" xfId="12278" xr:uid="{37E18387-218B-4C31-9BC4-61DB09FB31C7}"/>
    <cellStyle name="Comma 4 2 3 2 2 2 3" xfId="5024" xr:uid="{00000000-0005-0000-0000-000062080000}"/>
    <cellStyle name="Comma 4 2 3 2 2 2 3 2" xfId="14350" xr:uid="{75D770F8-29E4-43AB-BE8D-3172BC33C76B}"/>
    <cellStyle name="Comma 4 2 3 2 2 2 4" xfId="9540" xr:uid="{F922DD27-FEAE-4DB6-894F-26CD58815668}"/>
    <cellStyle name="Comma 4 2 3 2 2 2 4 2" xfId="18853" xr:uid="{579E291A-B155-415C-8AAC-E553A5496553}"/>
    <cellStyle name="Comma 4 2 3 2 2 2 5" xfId="10133" xr:uid="{52D4FE61-E41A-45D2-A2C6-18D28A365E70}"/>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D5F6BF6F-E499-40D1-BA93-B3EB6513B86E}"/>
    <cellStyle name="Comma 4 2 3 2 2 3 2 3" xfId="12691" xr:uid="{45DB2ABC-EF02-48A6-9A41-F9E482BAF42F}"/>
    <cellStyle name="Comma 4 2 3 2 2 3 3" xfId="5437" xr:uid="{00000000-0005-0000-0000-000066080000}"/>
    <cellStyle name="Comma 4 2 3 2 2 3 3 2" xfId="14763" xr:uid="{8CBD2626-FB88-4A93-BDD0-563155F1D806}"/>
    <cellStyle name="Comma 4 2 3 2 2 3 4" xfId="10546" xr:uid="{854AB7F8-FF02-422E-A8F5-2535E0E31F4D}"/>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498D1703-0A8C-45F5-85E7-398BBD94B23B}"/>
    <cellStyle name="Comma 4 2 3 2 2 4 2 3" xfId="13104" xr:uid="{4DED01B3-2981-4950-B279-CC09DF01B560}"/>
    <cellStyle name="Comma 4 2 3 2 2 4 3" xfId="5850" xr:uid="{00000000-0005-0000-0000-00006A080000}"/>
    <cellStyle name="Comma 4 2 3 2 2 4 3 2" xfId="15176" xr:uid="{9F052BB0-A7D5-4078-A3EB-0715D46677B6}"/>
    <cellStyle name="Comma 4 2 3 2 2 4 4" xfId="10959" xr:uid="{CFA98BF4-890C-4518-AEAC-D43DD094280C}"/>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01D48E2B-1E47-4503-9268-B5BD63653000}"/>
    <cellStyle name="Comma 4 2 3 2 2 5 2 3" xfId="13517" xr:uid="{6EA1CEEE-7C52-4807-881F-F64C7114F0CC}"/>
    <cellStyle name="Comma 4 2 3 2 2 5 3" xfId="6263" xr:uid="{00000000-0005-0000-0000-00006E080000}"/>
    <cellStyle name="Comma 4 2 3 2 2 5 3 2" xfId="15589" xr:uid="{E9578B19-7CE3-408C-BB7D-4BE67FBDB932}"/>
    <cellStyle name="Comma 4 2 3 2 2 5 4" xfId="11372" xr:uid="{BF65244C-2596-47B5-9021-CA9C4AE63BC2}"/>
    <cellStyle name="Comma 4 2 3 2 2 6" xfId="2392" xr:uid="{00000000-0005-0000-0000-00006F080000}"/>
    <cellStyle name="Comma 4 2 3 2 2 6 2" xfId="6676" xr:uid="{00000000-0005-0000-0000-000070080000}"/>
    <cellStyle name="Comma 4 2 3 2 2 6 2 2" xfId="16002" xr:uid="{FEFCCCFC-2147-4FCB-BABC-4BEACE0FBB52}"/>
    <cellStyle name="Comma 4 2 3 2 2 6 3" xfId="11785" xr:uid="{48FBA207-C694-425D-917E-D7C34A5FE767}"/>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BFD6D155-6957-4523-A0BD-8E1B483882D9}"/>
    <cellStyle name="Comma 4 2 3 2 2 8 3" xfId="12102" xr:uid="{8B867C66-5894-496E-8E48-101D69D5AEA2}"/>
    <cellStyle name="Comma 4 2 3 2 2 9" xfId="4610" xr:uid="{00000000-0005-0000-0000-000074080000}"/>
    <cellStyle name="Comma 4 2 3 2 2 9 2" xfId="13936" xr:uid="{C3D49B77-E694-45DD-99BE-790BC3E7A110}"/>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9E4B2E3F-9D7A-4276-BAC6-9A9EC373D9B2}"/>
    <cellStyle name="Comma 4 2 3 2 3 2 3" xfId="12277" xr:uid="{8C8FF104-27B0-409B-8243-4B5D130F5DB7}"/>
    <cellStyle name="Comma 4 2 3 2 3 3" xfId="5023" xr:uid="{00000000-0005-0000-0000-000078080000}"/>
    <cellStyle name="Comma 4 2 3 2 3 3 2" xfId="14349" xr:uid="{D8BC930C-13D6-4C62-A3B6-2A0A804411F3}"/>
    <cellStyle name="Comma 4 2 3 2 3 4" xfId="9333" xr:uid="{5C974796-1B06-4FA8-AB2A-F6B34628ACD4}"/>
    <cellStyle name="Comma 4 2 3 2 3 4 2" xfId="18646" xr:uid="{24733AFC-BED1-4E75-9AD5-F8A2A152E52E}"/>
    <cellStyle name="Comma 4 2 3 2 3 5" xfId="10132" xr:uid="{4A018AAE-3CE7-4FDC-AE89-2677A6866520}"/>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59835553-D130-4F35-AC7D-7CEF23FFA353}"/>
    <cellStyle name="Comma 4 2 3 2 4 2 3" xfId="12690" xr:uid="{76B7E200-0815-4F3C-93F2-6BF167E4E163}"/>
    <cellStyle name="Comma 4 2 3 2 4 3" xfId="5436" xr:uid="{00000000-0005-0000-0000-00007C080000}"/>
    <cellStyle name="Comma 4 2 3 2 4 3 2" xfId="14762" xr:uid="{1D65D50A-D84F-4422-94B7-F6B5F94FDA77}"/>
    <cellStyle name="Comma 4 2 3 2 4 4" xfId="10545" xr:uid="{F4A89AD0-AE7C-4BD4-857E-F94DDF618341}"/>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8F7253BF-DB63-4DDB-993A-47168E00E30F}"/>
    <cellStyle name="Comma 4 2 3 2 5 2 3" xfId="13103" xr:uid="{47526DE4-1609-4DD9-B129-0D66C88CD1FD}"/>
    <cellStyle name="Comma 4 2 3 2 5 3" xfId="5849" xr:uid="{00000000-0005-0000-0000-000080080000}"/>
    <cellStyle name="Comma 4 2 3 2 5 3 2" xfId="15175" xr:uid="{CA28A8C6-75D9-4E05-9135-C25810B770EE}"/>
    <cellStyle name="Comma 4 2 3 2 5 4" xfId="10958" xr:uid="{CB0CAE98-5574-4B4F-983E-4EA2D5E1EE7E}"/>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4A281406-A132-4DF9-8D7D-C7FA06D1E69E}"/>
    <cellStyle name="Comma 4 2 3 2 6 2 3" xfId="13516" xr:uid="{9A15B12A-6F7C-4C85-82AF-A1F792A14AFE}"/>
    <cellStyle name="Comma 4 2 3 2 6 3" xfId="6262" xr:uid="{00000000-0005-0000-0000-000084080000}"/>
    <cellStyle name="Comma 4 2 3 2 6 3 2" xfId="15588" xr:uid="{FE881F8E-958B-4A37-A746-90D4589F29CA}"/>
    <cellStyle name="Comma 4 2 3 2 6 4" xfId="11371" xr:uid="{269E4BD7-C8E1-4728-9A7D-B67ED36A3786}"/>
    <cellStyle name="Comma 4 2 3 2 7" xfId="2391" xr:uid="{00000000-0005-0000-0000-000085080000}"/>
    <cellStyle name="Comma 4 2 3 2 7 2" xfId="6675" xr:uid="{00000000-0005-0000-0000-000086080000}"/>
    <cellStyle name="Comma 4 2 3 2 7 2 2" xfId="16001" xr:uid="{4D4A2517-C45E-471B-B611-D71306B399EB}"/>
    <cellStyle name="Comma 4 2 3 2 7 3" xfId="11784" xr:uid="{1DAC34C5-B2F0-414D-ABD1-0DC3B32B5576}"/>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89BB08E5-9DC4-4812-AAE8-34AAD949FC4A}"/>
    <cellStyle name="Comma 4 2 3 2 9 3" xfId="12101" xr:uid="{099FCB2A-DD20-4848-8833-FE9EB120FEDD}"/>
    <cellStyle name="Comma 4 2 3 3" xfId="139" xr:uid="{00000000-0005-0000-0000-00008A080000}"/>
    <cellStyle name="Comma 4 2 3 3 10" xfId="9012" xr:uid="{61C0F117-76A9-43CA-B381-88B2CFF6294C}"/>
    <cellStyle name="Comma 4 2 3 3 10 2" xfId="18335" xr:uid="{415C6AF6-EF68-4557-92DE-2745014BA564}"/>
    <cellStyle name="Comma 4 2 3 3 11" xfId="9720" xr:uid="{6C2702EF-7DB4-4A32-8F3B-87584A655D93}"/>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698494EB-E7AF-43B4-BFFD-31CE402B9A35}"/>
    <cellStyle name="Comma 4 2 3 3 2 2 3" xfId="12279" xr:uid="{4C6E266D-DC97-44AA-90BF-95E88C9E14A2}"/>
    <cellStyle name="Comma 4 2 3 3 2 3" xfId="5025" xr:uid="{00000000-0005-0000-0000-00008E080000}"/>
    <cellStyle name="Comma 4 2 3 3 2 3 2" xfId="14351" xr:uid="{96984066-0E7E-4788-8CA8-9B104CC3BAEB}"/>
    <cellStyle name="Comma 4 2 3 3 2 4" xfId="9437" xr:uid="{35C6809B-E49F-4A7F-8CB1-650474E72B0A}"/>
    <cellStyle name="Comma 4 2 3 3 2 4 2" xfId="18750" xr:uid="{7443A5EE-155A-4D03-BB3B-2A536B3314C9}"/>
    <cellStyle name="Comma 4 2 3 3 2 5" xfId="10134" xr:uid="{07A851AA-1890-45E6-B590-EAA72FEC1513}"/>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CFE7C671-F0EB-4C5C-B001-ED3C01E0E0E0}"/>
    <cellStyle name="Comma 4 2 3 3 3 2 3" xfId="12692" xr:uid="{AB129107-1664-44EA-A367-C74D13125064}"/>
    <cellStyle name="Comma 4 2 3 3 3 3" xfId="5438" xr:uid="{00000000-0005-0000-0000-000092080000}"/>
    <cellStyle name="Comma 4 2 3 3 3 3 2" xfId="14764" xr:uid="{7081CEFA-9E6D-47C7-859E-B44D7BF0D006}"/>
    <cellStyle name="Comma 4 2 3 3 3 4" xfId="10547" xr:uid="{727B2FCF-F29A-4C76-B708-CC611E7B4653}"/>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44C92B22-DFAB-4387-82C2-1CAD1D562F05}"/>
    <cellStyle name="Comma 4 2 3 3 4 2 3" xfId="13105" xr:uid="{A0281F29-4EEB-4F66-AB6C-8EF8B69ECB9B}"/>
    <cellStyle name="Comma 4 2 3 3 4 3" xfId="5851" xr:uid="{00000000-0005-0000-0000-000096080000}"/>
    <cellStyle name="Comma 4 2 3 3 4 3 2" xfId="15177" xr:uid="{8BF46EED-945B-4CE9-9113-4A7D04C77AFA}"/>
    <cellStyle name="Comma 4 2 3 3 4 4" xfId="10960" xr:uid="{F0D52C3E-25F4-4348-A556-AA6F7D65206B}"/>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5DA605F9-C4E1-4FC8-9CEC-78B1E2A58D52}"/>
    <cellStyle name="Comma 4 2 3 3 5 2 3" xfId="13518" xr:uid="{A4BE2AA3-7F9D-4930-A8D4-2EE30C87696F}"/>
    <cellStyle name="Comma 4 2 3 3 5 3" xfId="6264" xr:uid="{00000000-0005-0000-0000-00009A080000}"/>
    <cellStyle name="Comma 4 2 3 3 5 3 2" xfId="15590" xr:uid="{0CA83CF4-D7E6-4093-BCDA-238B88C8584A}"/>
    <cellStyle name="Comma 4 2 3 3 5 4" xfId="11373" xr:uid="{4CFF1E50-088C-435B-8CD5-3F4AE8331F7A}"/>
    <cellStyle name="Comma 4 2 3 3 6" xfId="2393" xr:uid="{00000000-0005-0000-0000-00009B080000}"/>
    <cellStyle name="Comma 4 2 3 3 6 2" xfId="6677" xr:uid="{00000000-0005-0000-0000-00009C080000}"/>
    <cellStyle name="Comma 4 2 3 3 6 2 2" xfId="16003" xr:uid="{D4404AED-F02B-45C5-85DD-A9D7CE222D7D}"/>
    <cellStyle name="Comma 4 2 3 3 6 3" xfId="11786" xr:uid="{3144659F-711D-4335-B57C-BBE3EA756CCB}"/>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82B716A8-0A3E-4E79-B0AC-8FD4EF76A794}"/>
    <cellStyle name="Comma 4 2 3 3 8 3" xfId="12103" xr:uid="{A8D4CAC3-5528-4201-92F7-C1B688B30F77}"/>
    <cellStyle name="Comma 4 2 3 3 9" xfId="4611" xr:uid="{00000000-0005-0000-0000-0000A0080000}"/>
    <cellStyle name="Comma 4 2 3 3 9 2" xfId="13937" xr:uid="{BCCC7B6E-E116-4908-BC5E-7B5B36E33D27}"/>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2A19A4D1-C1F4-4114-8A75-9776A5C8FB3C}"/>
    <cellStyle name="Comma 4 2 3 4 2 3" xfId="12276" xr:uid="{BE56D0FC-7441-49D0-BD2C-58581C2C7272}"/>
    <cellStyle name="Comma 4 2 3 4 3" xfId="5022" xr:uid="{00000000-0005-0000-0000-0000A4080000}"/>
    <cellStyle name="Comma 4 2 3 4 3 2" xfId="14348" xr:uid="{AF382FB6-AA7E-4D18-A4D9-E5A0E0F301C1}"/>
    <cellStyle name="Comma 4 2 3 4 4" xfId="9230" xr:uid="{24B6B749-023F-4009-8785-C6CFE1098E24}"/>
    <cellStyle name="Comma 4 2 3 4 4 2" xfId="18543" xr:uid="{B115F919-6A2B-4975-91FF-75ACB618F833}"/>
    <cellStyle name="Comma 4 2 3 4 5" xfId="10131" xr:uid="{9424DA77-D84A-499B-BA5B-66BE77525C7E}"/>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CA60B110-4748-409E-AAC3-1B5D624DC035}"/>
    <cellStyle name="Comma 4 2 3 5 2 3" xfId="12689" xr:uid="{07D1E7CE-9869-4602-9F9A-88B6AAB3C2B8}"/>
    <cellStyle name="Comma 4 2 3 5 3" xfId="5435" xr:uid="{00000000-0005-0000-0000-0000A8080000}"/>
    <cellStyle name="Comma 4 2 3 5 3 2" xfId="14761" xr:uid="{07B75017-79BA-4ADF-AB2E-F5C0875E8710}"/>
    <cellStyle name="Comma 4 2 3 5 4" xfId="10544" xr:uid="{9D513DCD-3142-443A-8F76-B62E40642087}"/>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C5D3C808-188F-4357-BE4E-03AD79B0BFF2}"/>
    <cellStyle name="Comma 4 2 3 6 2 3" xfId="13102" xr:uid="{2324EEE8-D970-4BE3-99E8-593822E875E6}"/>
    <cellStyle name="Comma 4 2 3 6 3" xfId="5848" xr:uid="{00000000-0005-0000-0000-0000AC080000}"/>
    <cellStyle name="Comma 4 2 3 6 3 2" xfId="15174" xr:uid="{3B59A07D-C1CB-4A7F-8AB0-AF0C1A0B0CD1}"/>
    <cellStyle name="Comma 4 2 3 6 4" xfId="10957" xr:uid="{0646EE0B-9D54-4999-BA7D-BE2231E7F834}"/>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4626B724-2A26-44AC-A1EE-18E2ECA769C0}"/>
    <cellStyle name="Comma 4 2 3 7 2 3" xfId="13515" xr:uid="{6A77D957-3F49-4374-9C8A-9D47D7C815E2}"/>
    <cellStyle name="Comma 4 2 3 7 3" xfId="6261" xr:uid="{00000000-0005-0000-0000-0000B0080000}"/>
    <cellStyle name="Comma 4 2 3 7 3 2" xfId="15587" xr:uid="{2E6C30D0-92BB-4E05-82E1-81989B953EB2}"/>
    <cellStyle name="Comma 4 2 3 7 4" xfId="11370" xr:uid="{E9BF635A-9BC3-43DC-B136-0A263A7B251B}"/>
    <cellStyle name="Comma 4 2 3 8" xfId="2390" xr:uid="{00000000-0005-0000-0000-0000B1080000}"/>
    <cellStyle name="Comma 4 2 3 8 2" xfId="6674" xr:uid="{00000000-0005-0000-0000-0000B2080000}"/>
    <cellStyle name="Comma 4 2 3 8 2 2" xfId="16000" xr:uid="{F61483D3-C1CE-425D-A16B-E59BCDF1A8DC}"/>
    <cellStyle name="Comma 4 2 3 8 3" xfId="11783" xr:uid="{948996C5-0D28-42A5-A385-908AA51BE7BA}"/>
    <cellStyle name="Comma 4 2 3 9" xfId="2373" xr:uid="{00000000-0005-0000-0000-0000B3080000}"/>
    <cellStyle name="Comma 4 2 4" xfId="140" xr:uid="{00000000-0005-0000-0000-0000B4080000}"/>
    <cellStyle name="Comma 4 2 4 10" xfId="4612" xr:uid="{00000000-0005-0000-0000-0000B5080000}"/>
    <cellStyle name="Comma 4 2 4 10 2" xfId="13938" xr:uid="{BB363E0F-2DA2-4971-8574-3829C0521834}"/>
    <cellStyle name="Comma 4 2 4 11" xfId="8858" xr:uid="{B6A00C95-D04C-44B2-B8AF-67540882256C}"/>
    <cellStyle name="Comma 4 2 4 11 2" xfId="18181" xr:uid="{4B23DBCF-8D98-4396-A064-BC624200984A}"/>
    <cellStyle name="Comma 4 2 4 12" xfId="9721" xr:uid="{D8F7AF18-FE81-4644-A4B8-81EC19CCF3E2}"/>
    <cellStyle name="Comma 4 2 4 2" xfId="141" xr:uid="{00000000-0005-0000-0000-0000B6080000}"/>
    <cellStyle name="Comma 4 2 4 2 10" xfId="9065" xr:uid="{961AA06A-D943-447E-AADB-49B440E7E7CE}"/>
    <cellStyle name="Comma 4 2 4 2 10 2" xfId="18388" xr:uid="{C6BE654A-F3B0-4E70-B262-2AD92C18C09E}"/>
    <cellStyle name="Comma 4 2 4 2 11" xfId="9722" xr:uid="{14E6558E-3661-4E3B-AF2C-ACF926999830}"/>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A838DF68-F6C2-4D50-BB91-CEE6F989816C}"/>
    <cellStyle name="Comma 4 2 4 2 2 2 3" xfId="12281" xr:uid="{70750DBD-9256-43AF-84C7-369CDA80A6DF}"/>
    <cellStyle name="Comma 4 2 4 2 2 3" xfId="5027" xr:uid="{00000000-0005-0000-0000-0000BA080000}"/>
    <cellStyle name="Comma 4 2 4 2 2 3 2" xfId="14353" xr:uid="{A797D663-7592-4DFB-819A-35628754E359}"/>
    <cellStyle name="Comma 4 2 4 2 2 4" xfId="9490" xr:uid="{2FAEB1E6-7B41-437B-B2A9-4352AB4F4B98}"/>
    <cellStyle name="Comma 4 2 4 2 2 4 2" xfId="18803" xr:uid="{5BB92333-B9F0-4D94-934E-12D759EACA47}"/>
    <cellStyle name="Comma 4 2 4 2 2 5" xfId="10136" xr:uid="{1980FE84-A1C6-45EA-99CE-4BF3BEC67AF2}"/>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41699675-C292-4E2C-8C36-55545C20199F}"/>
    <cellStyle name="Comma 4 2 4 2 3 2 3" xfId="12694" xr:uid="{9E2F7226-659A-4BC5-BAC2-54BA1835A5DD}"/>
    <cellStyle name="Comma 4 2 4 2 3 3" xfId="5440" xr:uid="{00000000-0005-0000-0000-0000BE080000}"/>
    <cellStyle name="Comma 4 2 4 2 3 3 2" xfId="14766" xr:uid="{E59CF32F-C66D-49C9-99F9-40B1DDC43542}"/>
    <cellStyle name="Comma 4 2 4 2 3 4" xfId="10549" xr:uid="{ADA879A4-7457-4365-A513-031EE250211D}"/>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00E5742A-A5AE-451D-B9EB-9AD8759B6E1D}"/>
    <cellStyle name="Comma 4 2 4 2 4 2 3" xfId="13107" xr:uid="{9D04965E-FF5A-4887-A382-3B5C2202F501}"/>
    <cellStyle name="Comma 4 2 4 2 4 3" xfId="5853" xr:uid="{00000000-0005-0000-0000-0000C2080000}"/>
    <cellStyle name="Comma 4 2 4 2 4 3 2" xfId="15179" xr:uid="{EFE5367B-4A0D-40FE-AC6D-6B06E822786B}"/>
    <cellStyle name="Comma 4 2 4 2 4 4" xfId="10962" xr:uid="{0DFA903D-17D6-46DF-B0BD-374E6F3DB4A7}"/>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89C1E73D-008B-4DE8-BAB1-20858CD20E3E}"/>
    <cellStyle name="Comma 4 2 4 2 5 2 3" xfId="13520" xr:uid="{5686F3E5-DBEC-4046-9A82-A945BD9087D9}"/>
    <cellStyle name="Comma 4 2 4 2 5 3" xfId="6266" xr:uid="{00000000-0005-0000-0000-0000C6080000}"/>
    <cellStyle name="Comma 4 2 4 2 5 3 2" xfId="15592" xr:uid="{2508EDAA-E5C2-49C5-BAB9-9286E24FF17D}"/>
    <cellStyle name="Comma 4 2 4 2 5 4" xfId="11375" xr:uid="{0ECEF66E-F688-4F73-9C65-519664991111}"/>
    <cellStyle name="Comma 4 2 4 2 6" xfId="2395" xr:uid="{00000000-0005-0000-0000-0000C7080000}"/>
    <cellStyle name="Comma 4 2 4 2 6 2" xfId="6679" xr:uid="{00000000-0005-0000-0000-0000C8080000}"/>
    <cellStyle name="Comma 4 2 4 2 6 2 2" xfId="16005" xr:uid="{9BA25871-B752-4DE1-8884-0B3EB002058D}"/>
    <cellStyle name="Comma 4 2 4 2 6 3" xfId="11788" xr:uid="{F410FF4F-7058-4A61-88C3-E539128E333D}"/>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6326F0F3-3BED-4ED6-B24B-EEBB210E34E8}"/>
    <cellStyle name="Comma 4 2 4 2 8 3" xfId="12105" xr:uid="{751F8F9B-2C7F-41E0-AF7C-47F96DA427C3}"/>
    <cellStyle name="Comma 4 2 4 2 9" xfId="4613" xr:uid="{00000000-0005-0000-0000-0000CC080000}"/>
    <cellStyle name="Comma 4 2 4 2 9 2" xfId="13939" xr:uid="{F45B24D6-894A-4A36-929C-5CEF69A78E05}"/>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410454C2-A9B0-41BA-AAE8-8756CD1973C4}"/>
    <cellStyle name="Comma 4 2 4 3 2 3" xfId="12280" xr:uid="{66BFB16D-68F7-41A4-9278-79560DD8B6A5}"/>
    <cellStyle name="Comma 4 2 4 3 3" xfId="5026" xr:uid="{00000000-0005-0000-0000-0000D0080000}"/>
    <cellStyle name="Comma 4 2 4 3 3 2" xfId="14352" xr:uid="{DF79677D-82D0-4DA0-8AA5-1B44D43A4194}"/>
    <cellStyle name="Comma 4 2 4 3 4" xfId="9283" xr:uid="{7E46ED3C-A8F4-4512-93D9-5F41F1AC397C}"/>
    <cellStyle name="Comma 4 2 4 3 4 2" xfId="18596" xr:uid="{75D48C9D-CAF7-48D7-A1FD-78D1B0C4D2FB}"/>
    <cellStyle name="Comma 4 2 4 3 5" xfId="10135" xr:uid="{A3895887-0692-4E4B-B1D9-91C4EDB59EF0}"/>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62422FE0-BF6C-4A84-99DF-B1F078919DFD}"/>
    <cellStyle name="Comma 4 2 4 4 2 3" xfId="12693" xr:uid="{FE9C90C2-ABB0-43C9-A76B-BE907000991F}"/>
    <cellStyle name="Comma 4 2 4 4 3" xfId="5439" xr:uid="{00000000-0005-0000-0000-0000D4080000}"/>
    <cellStyle name="Comma 4 2 4 4 3 2" xfId="14765" xr:uid="{BAF26816-F577-4958-93E6-1AE391766F5B}"/>
    <cellStyle name="Comma 4 2 4 4 4" xfId="10548" xr:uid="{8A39FA8A-4DD0-4B45-B220-EBDC4B5FD14A}"/>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BA7CE5AA-D09E-44BA-8E12-26C5E9FAAC54}"/>
    <cellStyle name="Comma 4 2 4 5 2 3" xfId="13106" xr:uid="{987E408D-AA4D-4091-A1D0-DF308D7AD722}"/>
    <cellStyle name="Comma 4 2 4 5 3" xfId="5852" xr:uid="{00000000-0005-0000-0000-0000D8080000}"/>
    <cellStyle name="Comma 4 2 4 5 3 2" xfId="15178" xr:uid="{A836A54F-89C3-4E20-96F9-EEE512F561BE}"/>
    <cellStyle name="Comma 4 2 4 5 4" xfId="10961" xr:uid="{F624E501-D9D5-4D75-A897-ACF2CB9CC15C}"/>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0E761459-CF95-471F-A122-42E34E8973AA}"/>
    <cellStyle name="Comma 4 2 4 6 2 3" xfId="13519" xr:uid="{1A99D778-17D2-4C98-BA60-67293B23CB5A}"/>
    <cellStyle name="Comma 4 2 4 6 3" xfId="6265" xr:uid="{00000000-0005-0000-0000-0000DC080000}"/>
    <cellStyle name="Comma 4 2 4 6 3 2" xfId="15591" xr:uid="{9489F421-A415-4C0F-A06E-FDC225092FA8}"/>
    <cellStyle name="Comma 4 2 4 6 4" xfId="11374" xr:uid="{E426C785-59EB-4463-ADFF-77812DCE354A}"/>
    <cellStyle name="Comma 4 2 4 7" xfId="2394" xr:uid="{00000000-0005-0000-0000-0000DD080000}"/>
    <cellStyle name="Comma 4 2 4 7 2" xfId="6678" xr:uid="{00000000-0005-0000-0000-0000DE080000}"/>
    <cellStyle name="Comma 4 2 4 7 2 2" xfId="16004" xr:uid="{20974E7E-4DA2-41BC-9C3D-9BF4EFC1EC44}"/>
    <cellStyle name="Comma 4 2 4 7 3" xfId="11787" xr:uid="{53BAC920-A824-4AF8-AE8C-6E421BA4E9C1}"/>
    <cellStyle name="Comma 4 2 4 8" xfId="2369" xr:uid="{00000000-0005-0000-0000-0000DF080000}"/>
    <cellStyle name="Comma 4 2 4 9" xfId="2772" xr:uid="{00000000-0005-0000-0000-0000E0080000}"/>
    <cellStyle name="Comma 4 2 4 9 2" xfId="6995" xr:uid="{00000000-0005-0000-0000-0000E1080000}"/>
    <cellStyle name="Comma 4 2 4 9 2 2" xfId="16321" xr:uid="{14A54B3F-5A54-49BB-8EED-08033291E2A1}"/>
    <cellStyle name="Comma 4 2 4 9 3" xfId="12104" xr:uid="{1CCA1DE9-4572-4BAB-A002-00D7490A1D49}"/>
    <cellStyle name="Comma 4 2 5" xfId="142" xr:uid="{00000000-0005-0000-0000-0000E2080000}"/>
    <cellStyle name="Comma 4 2 5 10" xfId="8974" xr:uid="{86B0C89A-8A2D-4755-B15D-84E412E1D380}"/>
    <cellStyle name="Comma 4 2 5 10 2" xfId="18297" xr:uid="{1B035A77-37C2-44D0-B81C-B4A30CC027B9}"/>
    <cellStyle name="Comma 4 2 5 11" xfId="9723" xr:uid="{BDABBE4D-7B11-4D00-A67E-F8086D3728FD}"/>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9449E73A-3D24-454B-A60F-B1D46A5C0CFD}"/>
    <cellStyle name="Comma 4 2 5 2 2 3" xfId="12282" xr:uid="{00865812-E826-4193-B5C9-823E03DC2359}"/>
    <cellStyle name="Comma 4 2 5 2 3" xfId="5028" xr:uid="{00000000-0005-0000-0000-0000E6080000}"/>
    <cellStyle name="Comma 4 2 5 2 3 2" xfId="14354" xr:uid="{F8469E7E-2726-4258-BA73-E9BF70B22E0C}"/>
    <cellStyle name="Comma 4 2 5 2 4" xfId="9399" xr:uid="{1B388BC7-1FC6-4DC3-B345-755F61B57864}"/>
    <cellStyle name="Comma 4 2 5 2 4 2" xfId="18712" xr:uid="{661700DE-C251-4E4C-8771-3EF51B27FA03}"/>
    <cellStyle name="Comma 4 2 5 2 5" xfId="10137" xr:uid="{0C48C178-E1A5-4406-953A-CBE5F0007D75}"/>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CCF3F526-14AB-4BB1-A707-ACF0C478E654}"/>
    <cellStyle name="Comma 4 2 5 3 2 3" xfId="12695" xr:uid="{4AC9FF90-011B-43C5-A294-35D304D3DAB0}"/>
    <cellStyle name="Comma 4 2 5 3 3" xfId="5441" xr:uid="{00000000-0005-0000-0000-0000EA080000}"/>
    <cellStyle name="Comma 4 2 5 3 3 2" xfId="14767" xr:uid="{23169B8B-1D7C-48D9-9DBA-33DCBCC35C40}"/>
    <cellStyle name="Comma 4 2 5 3 4" xfId="10550" xr:uid="{01621337-C0E6-4602-AAD5-8C1E8A4C7A39}"/>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B7DAB497-758E-4012-8CDD-F222E79ED545}"/>
    <cellStyle name="Comma 4 2 5 4 2 3" xfId="13108" xr:uid="{00398E73-2D66-4EC4-9039-2438E63E1482}"/>
    <cellStyle name="Comma 4 2 5 4 3" xfId="5854" xr:uid="{00000000-0005-0000-0000-0000EE080000}"/>
    <cellStyle name="Comma 4 2 5 4 3 2" xfId="15180" xr:uid="{AE362A0C-CFAF-495F-9ABA-04A13AA884C5}"/>
    <cellStyle name="Comma 4 2 5 4 4" xfId="10963" xr:uid="{3EA74313-1C33-4C47-A904-93D85EFD3652}"/>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B13A7791-8E0F-46BF-9EB4-D92CA37E12BA}"/>
    <cellStyle name="Comma 4 2 5 5 2 3" xfId="13521" xr:uid="{CFC5B3C9-23BA-4BEA-ACAC-04848109D851}"/>
    <cellStyle name="Comma 4 2 5 5 3" xfId="6267" xr:uid="{00000000-0005-0000-0000-0000F2080000}"/>
    <cellStyle name="Comma 4 2 5 5 3 2" xfId="15593" xr:uid="{35057A7C-682F-4229-A4F0-A1B654C918FF}"/>
    <cellStyle name="Comma 4 2 5 5 4" xfId="11376" xr:uid="{D9500651-1847-46B4-9883-28ABE85C7D3C}"/>
    <cellStyle name="Comma 4 2 5 6" xfId="2396" xr:uid="{00000000-0005-0000-0000-0000F3080000}"/>
    <cellStyle name="Comma 4 2 5 6 2" xfId="6680" xr:uid="{00000000-0005-0000-0000-0000F4080000}"/>
    <cellStyle name="Comma 4 2 5 6 2 2" xfId="16006" xr:uid="{DD1B8ABF-3E19-4B37-A4BA-0688E81FB139}"/>
    <cellStyle name="Comma 4 2 5 6 3" xfId="11789" xr:uid="{F84877FA-A700-4E91-B0E0-1AF42A72CA89}"/>
    <cellStyle name="Comma 4 2 5 7" xfId="2367" xr:uid="{00000000-0005-0000-0000-0000F5080000}"/>
    <cellStyle name="Comma 4 2 5 8" xfId="2774" xr:uid="{00000000-0005-0000-0000-0000F6080000}"/>
    <cellStyle name="Comma 4 2 5 8 2" xfId="6997" xr:uid="{00000000-0005-0000-0000-0000F7080000}"/>
    <cellStyle name="Comma 4 2 5 8 2 2" xfId="16323" xr:uid="{C7BEF52B-9CCE-4ED9-8D4F-E87F528A58BA}"/>
    <cellStyle name="Comma 4 2 5 8 3" xfId="12106" xr:uid="{EAE4617C-9692-47D7-A4DD-415C3315AD8D}"/>
    <cellStyle name="Comma 4 2 5 9" xfId="4614" xr:uid="{00000000-0005-0000-0000-0000F8080000}"/>
    <cellStyle name="Comma 4 2 5 9 2" xfId="13940" xr:uid="{6A74A251-DA4F-4A50-B81E-95F565558906}"/>
    <cellStyle name="Comma 4 2 6" xfId="143" xr:uid="{00000000-0005-0000-0000-0000F9080000}"/>
    <cellStyle name="Comma 4 2 6 10" xfId="9177" xr:uid="{A20A3B72-7630-464F-8E57-DA2B9D6E44FB}"/>
    <cellStyle name="Comma 4 2 6 10 2" xfId="18493" xr:uid="{536FC4B8-A06F-49F3-AC6F-1E574A510E29}"/>
    <cellStyle name="Comma 4 2 6 11" xfId="9724" xr:uid="{63D84ECD-C7C9-4A8C-B4D6-6C2F809B0FCA}"/>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BB756C5A-7A73-4DEB-8E14-6545EF832E3A}"/>
    <cellStyle name="Comma 4 2 6 2 2 3" xfId="12283" xr:uid="{ECEA8161-AE42-4DAA-877A-DDCD5415C7AB}"/>
    <cellStyle name="Comma 4 2 6 2 3" xfId="5029" xr:uid="{00000000-0005-0000-0000-0000FD080000}"/>
    <cellStyle name="Comma 4 2 6 2 3 2" xfId="14355" xr:uid="{60BD9F04-11E4-457C-A286-3C69395E9B02}"/>
    <cellStyle name="Comma 4 2 6 2 4" xfId="9594" xr:uid="{CCB8D3FE-19FC-4F7F-9966-44FD23A1A32A}"/>
    <cellStyle name="Comma 4 2 6 2 4 2" xfId="18896" xr:uid="{2CEEBAB4-2914-4092-9360-422AA0EA0ED8}"/>
    <cellStyle name="Comma 4 2 6 2 5" xfId="10138" xr:uid="{D5C39B1D-4A42-4BAE-843C-AB8D24FA61A8}"/>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58506BA6-DE03-496B-8B51-87FEF225CA76}"/>
    <cellStyle name="Comma 4 2 6 3 2 3" xfId="12696" xr:uid="{462AAA12-3620-4AFE-BB1E-BD6EBABC762F}"/>
    <cellStyle name="Comma 4 2 6 3 3" xfId="5442" xr:uid="{00000000-0005-0000-0000-000001090000}"/>
    <cellStyle name="Comma 4 2 6 3 3 2" xfId="14768" xr:uid="{F1485F00-5E4E-4726-BC20-C5C491F08390}"/>
    <cellStyle name="Comma 4 2 6 3 4" xfId="10551" xr:uid="{04E2BDA1-0D04-474E-9D19-0B807E6E8533}"/>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F70F3E22-67C5-4697-B8B4-67BA81C17831}"/>
    <cellStyle name="Comma 4 2 6 4 2 3" xfId="13109" xr:uid="{766676FC-868A-4547-8DE1-E6C861DE5DD4}"/>
    <cellStyle name="Comma 4 2 6 4 3" xfId="5855" xr:uid="{00000000-0005-0000-0000-000005090000}"/>
    <cellStyle name="Comma 4 2 6 4 3 2" xfId="15181" xr:uid="{2FCB4CBE-2DA7-47F5-8954-4830C4F47204}"/>
    <cellStyle name="Comma 4 2 6 4 4" xfId="10964" xr:uid="{ECF2DF60-0CA8-432C-8FF2-924824FD79CA}"/>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52DE34FB-B02D-47B6-B7E7-7DEFA1F6CA57}"/>
    <cellStyle name="Comma 4 2 6 5 2 3" xfId="13522" xr:uid="{1BBC87E6-9B75-4F0F-972E-CD07F60B19F8}"/>
    <cellStyle name="Comma 4 2 6 5 3" xfId="6268" xr:uid="{00000000-0005-0000-0000-000009090000}"/>
    <cellStyle name="Comma 4 2 6 5 3 2" xfId="15594" xr:uid="{0ABED8C8-7453-4068-ADE4-76A761D496A9}"/>
    <cellStyle name="Comma 4 2 6 5 4" xfId="11377" xr:uid="{3F0505C8-9E89-450C-AB20-6B2E764962D4}"/>
    <cellStyle name="Comma 4 2 6 6" xfId="2397" xr:uid="{00000000-0005-0000-0000-00000A090000}"/>
    <cellStyle name="Comma 4 2 6 6 2" xfId="6681" xr:uid="{00000000-0005-0000-0000-00000B090000}"/>
    <cellStyle name="Comma 4 2 6 6 2 2" xfId="16007" xr:uid="{3195F9A4-CFB4-45AF-A5A1-C3E8283F9560}"/>
    <cellStyle name="Comma 4 2 6 6 3" xfId="11790" xr:uid="{047D56C0-3CF3-4228-8996-8D4C3E385549}"/>
    <cellStyle name="Comma 4 2 6 7" xfId="2366" xr:uid="{00000000-0005-0000-0000-00000C090000}"/>
    <cellStyle name="Comma 4 2 6 8" xfId="2775" xr:uid="{00000000-0005-0000-0000-00000D090000}"/>
    <cellStyle name="Comma 4 2 6 8 2" xfId="6998" xr:uid="{00000000-0005-0000-0000-00000E090000}"/>
    <cellStyle name="Comma 4 2 6 8 2 2" xfId="16324" xr:uid="{B0BD408A-AD12-43E0-8C13-A19F0128B4F5}"/>
    <cellStyle name="Comma 4 2 6 8 3" xfId="12107" xr:uid="{F01069C4-C205-4FD5-B814-59050197567C}"/>
    <cellStyle name="Comma 4 2 6 9" xfId="4615" xr:uid="{00000000-0005-0000-0000-00000F090000}"/>
    <cellStyle name="Comma 4 2 6 9 2" xfId="13941" xr:uid="{44F83947-3004-467A-AA56-55DCD10C89FF}"/>
    <cellStyle name="Comma 4 2 7" xfId="9190" xr:uid="{C8B7F6BD-E2DD-41C7-A6AF-A5C7B900A7ED}"/>
    <cellStyle name="Comma 4 2 8" xfId="8755" xr:uid="{40286204-C766-4116-8542-387551AD6364}"/>
    <cellStyle name="Comma 4 2 8 2" xfId="18078" xr:uid="{0036C8DD-8541-4736-84FF-3A3BC589216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6994E43B-E32D-4E80-A20B-745B7A66B1B9}"/>
    <cellStyle name="Comma 4 3 2 10 3" xfId="12108" xr:uid="{88DC2C9F-32A0-483E-81F5-7051C93CCC3A}"/>
    <cellStyle name="Comma 4 3 2 11" xfId="4616" xr:uid="{00000000-0005-0000-0000-000014090000}"/>
    <cellStyle name="Comma 4 3 2 11 2" xfId="13942" xr:uid="{90361A91-188B-48F5-8046-7505DBBC3EDC}"/>
    <cellStyle name="Comma 4 3 2 12" xfId="8807" xr:uid="{5C5EF314-D0DB-425B-AE7D-D52FEEE90EC1}"/>
    <cellStyle name="Comma 4 3 2 12 2" xfId="18130" xr:uid="{F2686EF3-AF3F-4B80-820D-3E05F8758135}"/>
    <cellStyle name="Comma 4 3 2 13" xfId="9725" xr:uid="{59AF175B-9640-4F39-89C2-31079E45D055}"/>
    <cellStyle name="Comma 4 3 2 2" xfId="146" xr:uid="{00000000-0005-0000-0000-000015090000}"/>
    <cellStyle name="Comma 4 3 2 2 10" xfId="4617" xr:uid="{00000000-0005-0000-0000-000016090000}"/>
    <cellStyle name="Comma 4 3 2 2 10 2" xfId="13943" xr:uid="{3EABB521-77FC-4AAD-B3E4-9020CDFF0DBB}"/>
    <cellStyle name="Comma 4 3 2 2 11" xfId="8910" xr:uid="{15019DD0-71A0-438D-B796-68DE42B22692}"/>
    <cellStyle name="Comma 4 3 2 2 11 2" xfId="18233" xr:uid="{A2FA694C-EC67-43E7-A04F-BDB69CD3DF9D}"/>
    <cellStyle name="Comma 4 3 2 2 12" xfId="9726" xr:uid="{BB63BAFB-B2C6-4CC9-A15A-690FA3CDB669}"/>
    <cellStyle name="Comma 4 3 2 2 2" xfId="147" xr:uid="{00000000-0005-0000-0000-000017090000}"/>
    <cellStyle name="Comma 4 3 2 2 2 10" xfId="9117" xr:uid="{1409F531-DBF2-41E0-9C74-F9317358BA15}"/>
    <cellStyle name="Comma 4 3 2 2 2 10 2" xfId="18440" xr:uid="{55EBE436-2584-4963-B152-C2AF74B449EC}"/>
    <cellStyle name="Comma 4 3 2 2 2 11" xfId="9727" xr:uid="{515F0392-5FD5-415F-BBD7-6577E96068DE}"/>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9F1692CE-DCF4-4B51-91D5-38913BE004F5}"/>
    <cellStyle name="Comma 4 3 2 2 2 2 2 3" xfId="12286" xr:uid="{420630C0-9C5C-4DB5-B7D3-C092400DE9B7}"/>
    <cellStyle name="Comma 4 3 2 2 2 2 3" xfId="5032" xr:uid="{00000000-0005-0000-0000-00001B090000}"/>
    <cellStyle name="Comma 4 3 2 2 2 2 3 2" xfId="14358" xr:uid="{926C4F91-D62F-4D3F-AAAA-F80476817000}"/>
    <cellStyle name="Comma 4 3 2 2 2 2 4" xfId="9542" xr:uid="{26CD77CC-F017-4839-8245-BBF245D45E53}"/>
    <cellStyle name="Comma 4 3 2 2 2 2 4 2" xfId="18855" xr:uid="{346F9518-6381-449B-9492-2B36C036547A}"/>
    <cellStyle name="Comma 4 3 2 2 2 2 5" xfId="10141" xr:uid="{8C966500-7417-475B-8607-0B27588F5062}"/>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ECC1351A-1603-44D0-AF56-7077DDD5045A}"/>
    <cellStyle name="Comma 4 3 2 2 2 3 2 3" xfId="12699" xr:uid="{7E852B6E-513B-4052-B4C3-DB2EE824CF95}"/>
    <cellStyle name="Comma 4 3 2 2 2 3 3" xfId="5445" xr:uid="{00000000-0005-0000-0000-00001F090000}"/>
    <cellStyle name="Comma 4 3 2 2 2 3 3 2" xfId="14771" xr:uid="{E25CA46C-8656-402D-B048-C916B1C78497}"/>
    <cellStyle name="Comma 4 3 2 2 2 3 4" xfId="10554" xr:uid="{AB15747E-92FF-4695-A3D3-05F176E83C23}"/>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27AB742D-3C13-45C2-8BD4-F406959BA387}"/>
    <cellStyle name="Comma 4 3 2 2 2 4 2 3" xfId="13112" xr:uid="{794BA14A-ED0C-40FB-A59F-B51B64D206C5}"/>
    <cellStyle name="Comma 4 3 2 2 2 4 3" xfId="5858" xr:uid="{00000000-0005-0000-0000-000023090000}"/>
    <cellStyle name="Comma 4 3 2 2 2 4 3 2" xfId="15184" xr:uid="{2671BE40-B55A-4717-8971-89E5E6512345}"/>
    <cellStyle name="Comma 4 3 2 2 2 4 4" xfId="10967" xr:uid="{BFFAE159-1C54-48B6-A537-877F3C4E2C05}"/>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564DA991-7C80-47D3-A652-794E73165D11}"/>
    <cellStyle name="Comma 4 3 2 2 2 5 2 3" xfId="13525" xr:uid="{6E823CBB-198C-45FA-920C-D5465BB1AA5A}"/>
    <cellStyle name="Comma 4 3 2 2 2 5 3" xfId="6271" xr:uid="{00000000-0005-0000-0000-000027090000}"/>
    <cellStyle name="Comma 4 3 2 2 2 5 3 2" xfId="15597" xr:uid="{EF3FD483-CFFF-4FCC-8C5B-98F012591D31}"/>
    <cellStyle name="Comma 4 3 2 2 2 5 4" xfId="11380" xr:uid="{D3F44736-C24D-4701-97A9-C2A01CCC4B09}"/>
    <cellStyle name="Comma 4 3 2 2 2 6" xfId="2400" xr:uid="{00000000-0005-0000-0000-000028090000}"/>
    <cellStyle name="Comma 4 3 2 2 2 6 2" xfId="6684" xr:uid="{00000000-0005-0000-0000-000029090000}"/>
    <cellStyle name="Comma 4 3 2 2 2 6 2 2" xfId="16010" xr:uid="{49EA5F18-7F67-49E1-9F56-BE199A7FC6A9}"/>
    <cellStyle name="Comma 4 3 2 2 2 6 3" xfId="11793" xr:uid="{D871B26A-6ADC-44E6-9668-213D3470CF7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21001B81-892E-4355-8F5C-9432BAD739F3}"/>
    <cellStyle name="Comma 4 3 2 2 2 8 3" xfId="12110" xr:uid="{D3DF682B-47C1-4A43-BF5A-DDFDC9E927E9}"/>
    <cellStyle name="Comma 4 3 2 2 2 9" xfId="4618" xr:uid="{00000000-0005-0000-0000-00002D090000}"/>
    <cellStyle name="Comma 4 3 2 2 2 9 2" xfId="13944" xr:uid="{73B8B864-9CC2-418F-9042-908A75557501}"/>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C233F80C-1CFE-4351-8B68-E437804542B2}"/>
    <cellStyle name="Comma 4 3 2 2 3 2 3" xfId="12285" xr:uid="{8F25021B-C037-4C73-9294-ABC5A2D77416}"/>
    <cellStyle name="Comma 4 3 2 2 3 3" xfId="5031" xr:uid="{00000000-0005-0000-0000-000031090000}"/>
    <cellStyle name="Comma 4 3 2 2 3 3 2" xfId="14357" xr:uid="{6D633A9B-5986-4C77-B1B7-B9606B4032AE}"/>
    <cellStyle name="Comma 4 3 2 2 3 4" xfId="9335" xr:uid="{BACD532B-C811-4076-B107-03E74D1B7113}"/>
    <cellStyle name="Comma 4 3 2 2 3 4 2" xfId="18648" xr:uid="{D8F1AFEC-EB8C-490A-B892-8C4F550647BD}"/>
    <cellStyle name="Comma 4 3 2 2 3 5" xfId="10140" xr:uid="{180129FE-B200-4B70-ABC5-40A81CD8174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1B6D5360-1E8A-4CC1-A18E-E917ACED275C}"/>
    <cellStyle name="Comma 4 3 2 2 4 2 3" xfId="12698" xr:uid="{121814AA-E049-454A-98E8-15F6D4BB13FA}"/>
    <cellStyle name="Comma 4 3 2 2 4 3" xfId="5444" xr:uid="{00000000-0005-0000-0000-000035090000}"/>
    <cellStyle name="Comma 4 3 2 2 4 3 2" xfId="14770" xr:uid="{884E73A7-E20F-478B-B1A1-48BE73A78087}"/>
    <cellStyle name="Comma 4 3 2 2 4 4" xfId="10553" xr:uid="{4D2505C3-0BD3-4B51-B8E3-EABEF8B18528}"/>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0A266A42-4C6A-40E0-B5AF-48AB5571D4C5}"/>
    <cellStyle name="Comma 4 3 2 2 5 2 3" xfId="13111" xr:uid="{84AF452F-5849-44EB-BA90-9E162B2237B4}"/>
    <cellStyle name="Comma 4 3 2 2 5 3" xfId="5857" xr:uid="{00000000-0005-0000-0000-000039090000}"/>
    <cellStyle name="Comma 4 3 2 2 5 3 2" xfId="15183" xr:uid="{5B22546D-03EE-42A0-9635-0F717C2FAC70}"/>
    <cellStyle name="Comma 4 3 2 2 5 4" xfId="10966" xr:uid="{4D6A0E14-4C82-481A-BFF6-DBD83CF2AFB4}"/>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42BE1061-0AEB-4345-BB57-D286CB64F122}"/>
    <cellStyle name="Comma 4 3 2 2 6 2 3" xfId="13524" xr:uid="{E3FFD2AD-396D-45CF-B258-4F7F973F8EFC}"/>
    <cellStyle name="Comma 4 3 2 2 6 3" xfId="6270" xr:uid="{00000000-0005-0000-0000-00003D090000}"/>
    <cellStyle name="Comma 4 3 2 2 6 3 2" xfId="15596" xr:uid="{F0AA67BF-FA70-41A4-BE78-322CA62DB3A2}"/>
    <cellStyle name="Comma 4 3 2 2 6 4" xfId="11379" xr:uid="{64F20CA6-610A-4410-A9D4-CC445A03C44F}"/>
    <cellStyle name="Comma 4 3 2 2 7" xfId="2399" xr:uid="{00000000-0005-0000-0000-00003E090000}"/>
    <cellStyle name="Comma 4 3 2 2 7 2" xfId="6683" xr:uid="{00000000-0005-0000-0000-00003F090000}"/>
    <cellStyle name="Comma 4 3 2 2 7 2 2" xfId="16009" xr:uid="{7EEA6168-8C47-4B42-9D68-C163F8F43597}"/>
    <cellStyle name="Comma 4 3 2 2 7 3" xfId="11792" xr:uid="{8FBFA0E7-CABF-4AEB-BF75-73D31162D390}"/>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49DF90A6-4C32-4A76-93B6-CD80DB8A1110}"/>
    <cellStyle name="Comma 4 3 2 2 9 3" xfId="12109" xr:uid="{1D3FE8A6-6362-4479-980E-2C755E91C588}"/>
    <cellStyle name="Comma 4 3 2 3" xfId="148" xr:uid="{00000000-0005-0000-0000-000043090000}"/>
    <cellStyle name="Comma 4 3 2 3 10" xfId="9014" xr:uid="{46568903-2C47-4BC3-8E78-5A47F62B319C}"/>
    <cellStyle name="Comma 4 3 2 3 10 2" xfId="18337" xr:uid="{3D21C69D-5A88-4E1A-B16C-6AFA23E2EB03}"/>
    <cellStyle name="Comma 4 3 2 3 11" xfId="9728" xr:uid="{9657D63D-5D5C-4977-B721-664D161A82FD}"/>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6CEEE409-4B3A-4855-B9CA-A1EB494CF036}"/>
    <cellStyle name="Comma 4 3 2 3 2 2 3" xfId="12287" xr:uid="{3AF91363-77A6-4D03-8DC0-4BA23DCB4BC5}"/>
    <cellStyle name="Comma 4 3 2 3 2 3" xfId="5033" xr:uid="{00000000-0005-0000-0000-000047090000}"/>
    <cellStyle name="Comma 4 3 2 3 2 3 2" xfId="14359" xr:uid="{644C80EA-47D9-4466-80C2-0DE8E2255846}"/>
    <cellStyle name="Comma 4 3 2 3 2 4" xfId="9439" xr:uid="{2FD116B5-6902-4630-AFC5-CC8B06C5F457}"/>
    <cellStyle name="Comma 4 3 2 3 2 4 2" xfId="18752" xr:uid="{683C1623-C8A1-4C2A-8853-5DF5CF14937C}"/>
    <cellStyle name="Comma 4 3 2 3 2 5" xfId="10142" xr:uid="{62AC75F9-6954-4EBB-B7F4-23347C5C77C3}"/>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D3F4841A-2492-44E8-9237-DF188AA68700}"/>
    <cellStyle name="Comma 4 3 2 3 3 2 3" xfId="12700" xr:uid="{EF12FCFE-D691-4F20-B2E7-88C12C7D5133}"/>
    <cellStyle name="Comma 4 3 2 3 3 3" xfId="5446" xr:uid="{00000000-0005-0000-0000-00004B090000}"/>
    <cellStyle name="Comma 4 3 2 3 3 3 2" xfId="14772" xr:uid="{9DD4BE13-8650-4F1A-ADF2-882DD1F7BE0B}"/>
    <cellStyle name="Comma 4 3 2 3 3 4" xfId="10555" xr:uid="{87AD772A-217D-46FF-A0D1-18B6ACB046EA}"/>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CBA4E4CB-3C2E-45BA-9964-E1135627E4B4}"/>
    <cellStyle name="Comma 4 3 2 3 4 2 3" xfId="13113" xr:uid="{5B046DB2-ECD5-49EA-845B-B083143537CB}"/>
    <cellStyle name="Comma 4 3 2 3 4 3" xfId="5859" xr:uid="{00000000-0005-0000-0000-00004F090000}"/>
    <cellStyle name="Comma 4 3 2 3 4 3 2" xfId="15185" xr:uid="{8408B52A-EAAD-4028-AB00-C8C5F2F1D4F3}"/>
    <cellStyle name="Comma 4 3 2 3 4 4" xfId="10968" xr:uid="{70D8ED19-99ED-438A-A2B2-A58997A95CAE}"/>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25420DF6-6EE5-40F2-8DD3-AF163EDDCDFF}"/>
    <cellStyle name="Comma 4 3 2 3 5 2 3" xfId="13526" xr:uid="{67B1ABA1-5946-4D62-A915-B44E3D547B49}"/>
    <cellStyle name="Comma 4 3 2 3 5 3" xfId="6272" xr:uid="{00000000-0005-0000-0000-000053090000}"/>
    <cellStyle name="Comma 4 3 2 3 5 3 2" xfId="15598" xr:uid="{9126B722-623A-413B-9E05-DBC48F615A97}"/>
    <cellStyle name="Comma 4 3 2 3 5 4" xfId="11381" xr:uid="{28F6F688-3BFB-4BA6-B29A-E593FB768E00}"/>
    <cellStyle name="Comma 4 3 2 3 6" xfId="2401" xr:uid="{00000000-0005-0000-0000-000054090000}"/>
    <cellStyle name="Comma 4 3 2 3 6 2" xfId="6685" xr:uid="{00000000-0005-0000-0000-000055090000}"/>
    <cellStyle name="Comma 4 3 2 3 6 2 2" xfId="16011" xr:uid="{610F4F36-2A72-46F3-83C9-98402A2A5B56}"/>
    <cellStyle name="Comma 4 3 2 3 6 3" xfId="11794" xr:uid="{1F1C40E9-8B61-41E5-804C-CEEE62CC038C}"/>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7ACC41C0-7BE9-4ABF-A82D-DE6EA099458A}"/>
    <cellStyle name="Comma 4 3 2 3 8 3" xfId="12111" xr:uid="{9711C1C5-597D-4868-B82E-7FFE7360A369}"/>
    <cellStyle name="Comma 4 3 2 3 9" xfId="4619" xr:uid="{00000000-0005-0000-0000-000059090000}"/>
    <cellStyle name="Comma 4 3 2 3 9 2" xfId="13945" xr:uid="{DD0F73A6-CA61-427B-A65E-BFAB7F14BA0F}"/>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1761B45B-67CE-46A1-9E5B-FF40163AAC8A}"/>
    <cellStyle name="Comma 4 3 2 4 2 3" xfId="12284" xr:uid="{365F7D8E-45AD-4BE0-8DB6-1D8294FFF0F1}"/>
    <cellStyle name="Comma 4 3 2 4 3" xfId="5030" xr:uid="{00000000-0005-0000-0000-00005D090000}"/>
    <cellStyle name="Comma 4 3 2 4 3 2" xfId="14356" xr:uid="{596047BF-A3BF-4BE5-A448-8F8DAC11C8DA}"/>
    <cellStyle name="Comma 4 3 2 4 4" xfId="9232" xr:uid="{8193451B-D8F0-40BD-91ED-34E7041117F6}"/>
    <cellStyle name="Comma 4 3 2 4 4 2" xfId="18545" xr:uid="{F4E5D78A-CBE9-4EAC-99D1-286DA7D2B605}"/>
    <cellStyle name="Comma 4 3 2 4 5" xfId="10139" xr:uid="{1383FB8A-D45A-4CEB-80AB-D1B0C001B20A}"/>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601C9323-2AFA-4D80-BFDE-688A9BB7889E}"/>
    <cellStyle name="Comma 4 3 2 5 2 3" xfId="12697" xr:uid="{7CF78345-51BE-4685-A20E-3F448CB5E9BB}"/>
    <cellStyle name="Comma 4 3 2 5 3" xfId="5443" xr:uid="{00000000-0005-0000-0000-000061090000}"/>
    <cellStyle name="Comma 4 3 2 5 3 2" xfId="14769" xr:uid="{EAA77D10-CD1B-45C8-B491-DDC282A7322E}"/>
    <cellStyle name="Comma 4 3 2 5 4" xfId="10552" xr:uid="{0EB82314-FF8F-4E35-B1F5-296005A3C7B3}"/>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F8F648A9-AED5-4D9A-B0A9-C016F7144757}"/>
    <cellStyle name="Comma 4 3 2 6 2 3" xfId="13110" xr:uid="{F1C45CB9-EBFE-4CC8-8D5E-3AB44BF3FAD2}"/>
    <cellStyle name="Comma 4 3 2 6 3" xfId="5856" xr:uid="{00000000-0005-0000-0000-000065090000}"/>
    <cellStyle name="Comma 4 3 2 6 3 2" xfId="15182" xr:uid="{B7F4F770-272F-435C-98C5-9390619B0DC0}"/>
    <cellStyle name="Comma 4 3 2 6 4" xfId="10965" xr:uid="{E9067E43-169B-44F5-9A62-F74457336491}"/>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CF0B6A8C-4448-4972-9D7E-B77A9B442E4E}"/>
    <cellStyle name="Comma 4 3 2 7 2 3" xfId="13523" xr:uid="{B597680D-9D18-4F6B-BEDB-F64956BBCB5A}"/>
    <cellStyle name="Comma 4 3 2 7 3" xfId="6269" xr:uid="{00000000-0005-0000-0000-000069090000}"/>
    <cellStyle name="Comma 4 3 2 7 3 2" xfId="15595" xr:uid="{9F6B1A48-35D3-461C-A8BA-D586D93F2FD3}"/>
    <cellStyle name="Comma 4 3 2 7 4" xfId="11378" xr:uid="{056913DB-8313-40D3-BE9C-290EF059C904}"/>
    <cellStyle name="Comma 4 3 2 8" xfId="2398" xr:uid="{00000000-0005-0000-0000-00006A090000}"/>
    <cellStyle name="Comma 4 3 2 8 2" xfId="6682" xr:uid="{00000000-0005-0000-0000-00006B090000}"/>
    <cellStyle name="Comma 4 3 2 8 2 2" xfId="16008" xr:uid="{EDF144AF-74E5-415E-8108-94775B46BD9A}"/>
    <cellStyle name="Comma 4 3 2 8 3" xfId="11791" xr:uid="{F658DA92-4E2C-4A02-A4AB-ADA57AED8D28}"/>
    <cellStyle name="Comma 4 3 2 9" xfId="2365" xr:uid="{00000000-0005-0000-0000-00006C090000}"/>
    <cellStyle name="Comma 4 3 3" xfId="149" xr:uid="{00000000-0005-0000-0000-00006D090000}"/>
    <cellStyle name="Comma 4 3 3 10" xfId="4620" xr:uid="{00000000-0005-0000-0000-00006E090000}"/>
    <cellStyle name="Comma 4 3 3 10 2" xfId="13946" xr:uid="{618650BF-0FD9-4400-8919-9487434DA687}"/>
    <cellStyle name="Comma 4 3 3 11" xfId="8881" xr:uid="{ACA3BC7C-CED7-49C2-9DC3-E2A3989962E9}"/>
    <cellStyle name="Comma 4 3 3 11 2" xfId="18204" xr:uid="{8D7D71EF-183C-4334-9869-55A6957A876C}"/>
    <cellStyle name="Comma 4 3 3 12" xfId="9729" xr:uid="{F6B1E8C2-D8A3-4341-821F-1D155314AAF5}"/>
    <cellStyle name="Comma 4 3 3 2" xfId="150" xr:uid="{00000000-0005-0000-0000-00006F090000}"/>
    <cellStyle name="Comma 4 3 3 2 10" xfId="9088" xr:uid="{D40CFC42-DEA3-4A4C-8532-2B6CFC29229D}"/>
    <cellStyle name="Comma 4 3 3 2 10 2" xfId="18411" xr:uid="{EB0C9223-E42B-4858-B396-E9668A52D65C}"/>
    <cellStyle name="Comma 4 3 3 2 11" xfId="9730" xr:uid="{A4F3B078-3826-4739-93F5-545FCC73A927}"/>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2A375CE6-DADE-4856-BBDA-E8D47AEEDD57}"/>
    <cellStyle name="Comma 4 3 3 2 2 2 3" xfId="12289" xr:uid="{8733C53F-5A58-4F27-BB8F-F31B5DD627C9}"/>
    <cellStyle name="Comma 4 3 3 2 2 3" xfId="5035" xr:uid="{00000000-0005-0000-0000-000073090000}"/>
    <cellStyle name="Comma 4 3 3 2 2 3 2" xfId="14361" xr:uid="{69945149-6AB1-4FC3-A41A-FD923F119958}"/>
    <cellStyle name="Comma 4 3 3 2 2 4" xfId="9513" xr:uid="{986E0DAD-8ABC-4DAC-9C56-EF87B6B3B829}"/>
    <cellStyle name="Comma 4 3 3 2 2 4 2" xfId="18826" xr:uid="{B31C89B7-E932-4A4B-A506-CAC2772096EC}"/>
    <cellStyle name="Comma 4 3 3 2 2 5" xfId="10144" xr:uid="{E0951FDD-712E-40CB-A00B-6E44EEEFF61B}"/>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D75E4040-0040-4B29-BECE-883A6F53FDF9}"/>
    <cellStyle name="Comma 4 3 3 2 3 2 3" xfId="12702" xr:uid="{E8CC62B3-552A-4BD0-A477-509566339F68}"/>
    <cellStyle name="Comma 4 3 3 2 3 3" xfId="5448" xr:uid="{00000000-0005-0000-0000-000077090000}"/>
    <cellStyle name="Comma 4 3 3 2 3 3 2" xfId="14774" xr:uid="{35E99DB8-FD9F-42F9-B89F-F0651BEEF3BC}"/>
    <cellStyle name="Comma 4 3 3 2 3 4" xfId="10557" xr:uid="{B1A0935E-AFE5-44B0-9DCA-33F53385C2F4}"/>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A2644148-9627-4489-B41B-D27429AA519B}"/>
    <cellStyle name="Comma 4 3 3 2 4 2 3" xfId="13115" xr:uid="{085F5455-62AD-4BBC-99C9-F7D3AEE61D91}"/>
    <cellStyle name="Comma 4 3 3 2 4 3" xfId="5861" xr:uid="{00000000-0005-0000-0000-00007B090000}"/>
    <cellStyle name="Comma 4 3 3 2 4 3 2" xfId="15187" xr:uid="{59C17B7C-2659-4D43-9BEF-84FCE9B178B4}"/>
    <cellStyle name="Comma 4 3 3 2 4 4" xfId="10970" xr:uid="{36D98AD1-BE29-4D69-A577-EF94E6F43A9E}"/>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3B7C1B2C-9DDE-4215-83B4-46D78382BF01}"/>
    <cellStyle name="Comma 4 3 3 2 5 2 3" xfId="13528" xr:uid="{BE0DFEA2-1DAE-454D-BCEA-6B137B2CAE06}"/>
    <cellStyle name="Comma 4 3 3 2 5 3" xfId="6274" xr:uid="{00000000-0005-0000-0000-00007F090000}"/>
    <cellStyle name="Comma 4 3 3 2 5 3 2" xfId="15600" xr:uid="{A7D5BA30-FF9B-434B-A8BC-5881172A4691}"/>
    <cellStyle name="Comma 4 3 3 2 5 4" xfId="11383" xr:uid="{4004B627-E912-4A2A-ABAC-47A8C5DBF6D9}"/>
    <cellStyle name="Comma 4 3 3 2 6" xfId="2403" xr:uid="{00000000-0005-0000-0000-000080090000}"/>
    <cellStyle name="Comma 4 3 3 2 6 2" xfId="6687" xr:uid="{00000000-0005-0000-0000-000081090000}"/>
    <cellStyle name="Comma 4 3 3 2 6 2 2" xfId="16013" xr:uid="{0C772BAB-75B4-4A7C-8223-762CEA9E3EF7}"/>
    <cellStyle name="Comma 4 3 3 2 6 3" xfId="11796" xr:uid="{FFF53478-508C-4616-8F90-B98D213F039D}"/>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A05C0099-7278-4F99-A5C6-7A245C9E7A00}"/>
    <cellStyle name="Comma 4 3 3 2 8 3" xfId="12113" xr:uid="{CE360235-A601-431E-97E7-EE3688FFAE87}"/>
    <cellStyle name="Comma 4 3 3 2 9" xfId="4621" xr:uid="{00000000-0005-0000-0000-000085090000}"/>
    <cellStyle name="Comma 4 3 3 2 9 2" xfId="13947" xr:uid="{066E7FAD-1193-4500-8B9E-F308B00E01B9}"/>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834DB3BA-CF23-4197-8FF4-02580485FB9C}"/>
    <cellStyle name="Comma 4 3 3 3 2 3" xfId="12288" xr:uid="{FC11D19E-F7B7-46E0-8FBA-C4F60B9D1984}"/>
    <cellStyle name="Comma 4 3 3 3 3" xfId="5034" xr:uid="{00000000-0005-0000-0000-000089090000}"/>
    <cellStyle name="Comma 4 3 3 3 3 2" xfId="14360" xr:uid="{93AE2641-2836-467D-853C-EF51299242AB}"/>
    <cellStyle name="Comma 4 3 3 3 4" xfId="9306" xr:uid="{6AC2749B-EC1D-4760-AD4B-F36381A669B6}"/>
    <cellStyle name="Comma 4 3 3 3 4 2" xfId="18619" xr:uid="{2B26AF7D-D945-4CD7-8362-5D8E8F9509CD}"/>
    <cellStyle name="Comma 4 3 3 3 5" xfId="10143" xr:uid="{5C83B6C1-F0C6-46FE-BAC7-62B6AF9D7D61}"/>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AE540039-7F17-4CD1-AF97-EBBB359BE0E0}"/>
    <cellStyle name="Comma 4 3 3 4 2 3" xfId="12701" xr:uid="{86BF600F-7B81-447C-89BC-2ACF27F9E215}"/>
    <cellStyle name="Comma 4 3 3 4 3" xfId="5447" xr:uid="{00000000-0005-0000-0000-00008D090000}"/>
    <cellStyle name="Comma 4 3 3 4 3 2" xfId="14773" xr:uid="{0C42E758-4DD3-4804-A926-D17CB0D0AA41}"/>
    <cellStyle name="Comma 4 3 3 4 4" xfId="10556" xr:uid="{EC9BC951-B5CF-4A44-A3A3-8C27F3B0C308}"/>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44133A36-452B-4F5A-B1CD-6F0A3FB19A47}"/>
    <cellStyle name="Comma 4 3 3 5 2 3" xfId="13114" xr:uid="{D73A41EA-6811-4D1C-9BFA-12E8232C89D8}"/>
    <cellStyle name="Comma 4 3 3 5 3" xfId="5860" xr:uid="{00000000-0005-0000-0000-000091090000}"/>
    <cellStyle name="Comma 4 3 3 5 3 2" xfId="15186" xr:uid="{F117EA87-F729-4987-9F05-15CB2A11004F}"/>
    <cellStyle name="Comma 4 3 3 5 4" xfId="10969" xr:uid="{3E28FAFA-B18C-4BAA-8FC5-A4A2F2139400}"/>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CAF4A5BB-9016-4DEE-A345-D4A4DBE4204D}"/>
    <cellStyle name="Comma 4 3 3 6 2 3" xfId="13527" xr:uid="{B692EFF0-5FF0-440D-96A2-B984C425173B}"/>
    <cellStyle name="Comma 4 3 3 6 3" xfId="6273" xr:uid="{00000000-0005-0000-0000-000095090000}"/>
    <cellStyle name="Comma 4 3 3 6 3 2" xfId="15599" xr:uid="{10852C48-A199-45DC-B479-1914068A4BAA}"/>
    <cellStyle name="Comma 4 3 3 6 4" xfId="11382" xr:uid="{27E78F10-2009-4E43-B452-5B250E1145D1}"/>
    <cellStyle name="Comma 4 3 3 7" xfId="2402" xr:uid="{00000000-0005-0000-0000-000096090000}"/>
    <cellStyle name="Comma 4 3 3 7 2" xfId="6686" xr:uid="{00000000-0005-0000-0000-000097090000}"/>
    <cellStyle name="Comma 4 3 3 7 2 2" xfId="16012" xr:uid="{A8D4F382-D893-4886-82E8-4C1B96D5E1B1}"/>
    <cellStyle name="Comma 4 3 3 7 3" xfId="11795" xr:uid="{DC76C53B-43E8-4B05-8CC2-4150953D7522}"/>
    <cellStyle name="Comma 4 3 3 8" xfId="2361" xr:uid="{00000000-0005-0000-0000-000098090000}"/>
    <cellStyle name="Comma 4 3 3 9" xfId="2780" xr:uid="{00000000-0005-0000-0000-000099090000}"/>
    <cellStyle name="Comma 4 3 3 9 2" xfId="7003" xr:uid="{00000000-0005-0000-0000-00009A090000}"/>
    <cellStyle name="Comma 4 3 3 9 2 2" xfId="16329" xr:uid="{C3EC7FA6-EB5C-4B07-B22D-AE12C2CF8E4A}"/>
    <cellStyle name="Comma 4 3 3 9 3" xfId="12112" xr:uid="{D87A5027-3207-48AB-B160-84963D3D59F6}"/>
    <cellStyle name="Comma 4 3 4" xfId="151" xr:uid="{00000000-0005-0000-0000-00009B090000}"/>
    <cellStyle name="Comma 4 3 4 10" xfId="8985" xr:uid="{E965CEC1-A932-4F91-9E18-794CBF7DC7FC}"/>
    <cellStyle name="Comma 4 3 4 10 2" xfId="18308" xr:uid="{C6ED8B1B-3CEF-409A-B8B0-FBE1BC1F6D58}"/>
    <cellStyle name="Comma 4 3 4 11" xfId="9731" xr:uid="{36D1E50B-8F44-484A-9D64-082EBA092751}"/>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89B49197-31B5-45F3-BADA-505FAAC5F4E0}"/>
    <cellStyle name="Comma 4 3 4 2 2 3" xfId="12290" xr:uid="{20B865DF-A07B-41C0-AFDD-89F13632BC3D}"/>
    <cellStyle name="Comma 4 3 4 2 3" xfId="5036" xr:uid="{00000000-0005-0000-0000-00009F090000}"/>
    <cellStyle name="Comma 4 3 4 2 3 2" xfId="14362" xr:uid="{BFE339EB-1479-4D19-BD5E-5BE2CA891B98}"/>
    <cellStyle name="Comma 4 3 4 2 4" xfId="9410" xr:uid="{54DEC146-6204-4AAF-A15F-BAC0A12B5984}"/>
    <cellStyle name="Comma 4 3 4 2 4 2" xfId="18723" xr:uid="{2C9E90AC-4478-46A4-BED6-82FA0E2C338C}"/>
    <cellStyle name="Comma 4 3 4 2 5" xfId="10145" xr:uid="{2A9BFCE8-B917-447B-B629-129E61E8D09F}"/>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02449B47-4759-41C5-BA6A-DCD9B0FFAA52}"/>
    <cellStyle name="Comma 4 3 4 3 2 3" xfId="12703" xr:uid="{705D7A9D-F673-4DF7-B5BD-530AF2A59B7E}"/>
    <cellStyle name="Comma 4 3 4 3 3" xfId="5449" xr:uid="{00000000-0005-0000-0000-0000A3090000}"/>
    <cellStyle name="Comma 4 3 4 3 3 2" xfId="14775" xr:uid="{EB03CDA1-5BDC-4845-B566-D304419A5A7B}"/>
    <cellStyle name="Comma 4 3 4 3 4" xfId="10558" xr:uid="{AB85ACDC-8919-4CC0-8641-2AE58D2F6516}"/>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38BE8BE1-4EBA-497F-B1C8-B47CAA39DDC9}"/>
    <cellStyle name="Comma 4 3 4 4 2 3" xfId="13116" xr:uid="{CA2FB5E5-DAE9-4C0C-8233-80864ABC678E}"/>
    <cellStyle name="Comma 4 3 4 4 3" xfId="5862" xr:uid="{00000000-0005-0000-0000-0000A7090000}"/>
    <cellStyle name="Comma 4 3 4 4 3 2" xfId="15188" xr:uid="{93F25F80-4DB9-4E95-A0AB-A1A81BDE6E5A}"/>
    <cellStyle name="Comma 4 3 4 4 4" xfId="10971" xr:uid="{02C2CA2D-6C06-4FDE-B46D-44C3686BF5F5}"/>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266EAF2D-EFBE-4F0B-BC9C-0CE480409A86}"/>
    <cellStyle name="Comma 4 3 4 5 2 3" xfId="13529" xr:uid="{5F2AF93B-5435-45A0-808B-6553FFEAFBFF}"/>
    <cellStyle name="Comma 4 3 4 5 3" xfId="6275" xr:uid="{00000000-0005-0000-0000-0000AB090000}"/>
    <cellStyle name="Comma 4 3 4 5 3 2" xfId="15601" xr:uid="{3E1E9B9E-993A-4FF0-8866-D62F17CC63D2}"/>
    <cellStyle name="Comma 4 3 4 5 4" xfId="11384" xr:uid="{F0F9DCB0-D0B3-4A75-837D-C74C71003D1C}"/>
    <cellStyle name="Comma 4 3 4 6" xfId="2404" xr:uid="{00000000-0005-0000-0000-0000AC090000}"/>
    <cellStyle name="Comma 4 3 4 6 2" xfId="6688" xr:uid="{00000000-0005-0000-0000-0000AD090000}"/>
    <cellStyle name="Comma 4 3 4 6 2 2" xfId="16014" xr:uid="{9056DEA2-2463-441F-854A-BB6584086FBE}"/>
    <cellStyle name="Comma 4 3 4 6 3" xfId="11797" xr:uid="{BC6CE91C-5CBF-4784-88D0-F2E9FD53B006}"/>
    <cellStyle name="Comma 4 3 4 7" xfId="2700" xr:uid="{00000000-0005-0000-0000-0000AE090000}"/>
    <cellStyle name="Comma 4 3 4 8" xfId="2782" xr:uid="{00000000-0005-0000-0000-0000AF090000}"/>
    <cellStyle name="Comma 4 3 4 8 2" xfId="7005" xr:uid="{00000000-0005-0000-0000-0000B0090000}"/>
    <cellStyle name="Comma 4 3 4 8 2 2" xfId="16331" xr:uid="{46805E12-3529-47AF-A494-1B482E38E6D8}"/>
    <cellStyle name="Comma 4 3 4 8 3" xfId="12114" xr:uid="{D72D02DE-1BAC-43A1-8304-420E276B7465}"/>
    <cellStyle name="Comma 4 3 4 9" xfId="4622" xr:uid="{00000000-0005-0000-0000-0000B1090000}"/>
    <cellStyle name="Comma 4 3 4 9 2" xfId="13948" xr:uid="{B78708E9-7E76-44C7-A37F-3ADC4BE8905D}"/>
    <cellStyle name="Comma 4 3 5" xfId="152" xr:uid="{00000000-0005-0000-0000-0000B2090000}"/>
    <cellStyle name="Comma 4 3 5 10" xfId="9202" xr:uid="{BF5456DA-E11C-47BD-8210-21F45D9E5F79}"/>
    <cellStyle name="Comma 4 3 5 10 2" xfId="18516" xr:uid="{C83E69C3-21F1-4935-AD62-427CFDA3D35A}"/>
    <cellStyle name="Comma 4 3 5 11" xfId="9732" xr:uid="{26C383C9-D33F-4BDF-8035-FB3744582930}"/>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9DF5F3A8-4617-4941-9DE3-86421B5AB32B}"/>
    <cellStyle name="Comma 4 3 5 2 2 3" xfId="12291" xr:uid="{57B92AEF-9E46-43B8-9C07-11EF22B00287}"/>
    <cellStyle name="Comma 4 3 5 2 3" xfId="5037" xr:uid="{00000000-0005-0000-0000-0000B6090000}"/>
    <cellStyle name="Comma 4 3 5 2 3 2" xfId="14363" xr:uid="{94101078-03B8-4C43-88CD-460E42DC3E91}"/>
    <cellStyle name="Comma 4 3 5 2 4" xfId="9595" xr:uid="{3E6BF710-D2EA-4AFB-83F1-C6BF1C2192FF}"/>
    <cellStyle name="Comma 4 3 5 2 4 2" xfId="18897" xr:uid="{BE1FF192-6337-4156-A88E-EC41A9F89B7C}"/>
    <cellStyle name="Comma 4 3 5 2 5" xfId="10146" xr:uid="{09F9A05E-FF1B-48E5-8D79-E252F8C0F15A}"/>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D1096322-7FF6-4742-82A2-F94E25084CB8}"/>
    <cellStyle name="Comma 4 3 5 3 2 3" xfId="12704" xr:uid="{7809C7CE-E783-4342-A44A-D51158E49D86}"/>
    <cellStyle name="Comma 4 3 5 3 3" xfId="5450" xr:uid="{00000000-0005-0000-0000-0000BA090000}"/>
    <cellStyle name="Comma 4 3 5 3 3 2" xfId="14776" xr:uid="{68EE3297-B556-41A4-BEEA-FDFCFE1FE79E}"/>
    <cellStyle name="Comma 4 3 5 3 4" xfId="10559" xr:uid="{F693A25A-1040-4B93-9E8F-764F5C22EE3F}"/>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65277042-13B4-4FEE-BAD9-A9ADE50BC21F}"/>
    <cellStyle name="Comma 4 3 5 4 2 3" xfId="13117" xr:uid="{59C3393D-1D65-4B4D-9908-C296A53A8EBA}"/>
    <cellStyle name="Comma 4 3 5 4 3" xfId="5863" xr:uid="{00000000-0005-0000-0000-0000BE090000}"/>
    <cellStyle name="Comma 4 3 5 4 3 2" xfId="15189" xr:uid="{E853F399-C921-4C04-884B-7BBD5E8B24CF}"/>
    <cellStyle name="Comma 4 3 5 4 4" xfId="10972" xr:uid="{9F9C0C24-D3B5-4020-8137-73B1F3EF804F}"/>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F3E354D3-7461-468D-BE93-6A2A00869690}"/>
    <cellStyle name="Comma 4 3 5 5 2 3" xfId="13530" xr:uid="{B06AEB8A-8D2F-4ECC-85A6-0D5A16A860F5}"/>
    <cellStyle name="Comma 4 3 5 5 3" xfId="6276" xr:uid="{00000000-0005-0000-0000-0000C2090000}"/>
    <cellStyle name="Comma 4 3 5 5 3 2" xfId="15602" xr:uid="{F7E45F8C-6C55-4A4B-AAFB-26B0A76303F1}"/>
    <cellStyle name="Comma 4 3 5 5 4" xfId="11385" xr:uid="{579D4C36-99F2-4CDF-82EA-726E4E59BE28}"/>
    <cellStyle name="Comma 4 3 5 6" xfId="2405" xr:uid="{00000000-0005-0000-0000-0000C3090000}"/>
    <cellStyle name="Comma 4 3 5 6 2" xfId="6689" xr:uid="{00000000-0005-0000-0000-0000C4090000}"/>
    <cellStyle name="Comma 4 3 5 6 2 2" xfId="16015" xr:uid="{8AACFB3D-CE77-4EE9-8A92-077C420246CD}"/>
    <cellStyle name="Comma 4 3 5 6 3" xfId="11798" xr:uid="{7EF1673C-CDD3-48EA-BA59-8D6A05BEC261}"/>
    <cellStyle name="Comma 4 3 5 7" xfId="2701" xr:uid="{00000000-0005-0000-0000-0000C5090000}"/>
    <cellStyle name="Comma 4 3 5 8" xfId="2783" xr:uid="{00000000-0005-0000-0000-0000C6090000}"/>
    <cellStyle name="Comma 4 3 5 8 2" xfId="7006" xr:uid="{00000000-0005-0000-0000-0000C7090000}"/>
    <cellStyle name="Comma 4 3 5 8 2 2" xfId="16332" xr:uid="{E1957A02-1116-4550-AD04-F0F4CF3AA2AC}"/>
    <cellStyle name="Comma 4 3 5 8 3" xfId="12115" xr:uid="{2ACB438F-A345-4BB9-B814-2E72F59EC623}"/>
    <cellStyle name="Comma 4 3 5 9" xfId="4623" xr:uid="{00000000-0005-0000-0000-0000C8090000}"/>
    <cellStyle name="Comma 4 3 5 9 2" xfId="13949" xr:uid="{1AB487B2-D2BD-4A40-95C8-9C2081AD51E4}"/>
    <cellStyle name="Comma 4 3 6" xfId="9582" xr:uid="{F1B74700-6F25-44D3-B4B6-1EFC63A6078B}"/>
    <cellStyle name="Comma 4 3 7" xfId="8778" xr:uid="{01CB0168-3495-42C5-9A13-F25D4D0EF35E}"/>
    <cellStyle name="Comma 4 3 7 2" xfId="18101" xr:uid="{A5E8978C-5505-4BC6-BB95-1CD40C299DF6}"/>
    <cellStyle name="Comma 4 4" xfId="153" xr:uid="{00000000-0005-0000-0000-0000C9090000}"/>
    <cellStyle name="Comma 4 4 10" xfId="2784" xr:uid="{00000000-0005-0000-0000-0000CA090000}"/>
    <cellStyle name="Comma 4 4 10 2" xfId="7007" xr:uid="{00000000-0005-0000-0000-0000CB090000}"/>
    <cellStyle name="Comma 4 4 10 2 2" xfId="16333" xr:uid="{DD9A1640-2F1D-4B90-BE50-67502772A51D}"/>
    <cellStyle name="Comma 4 4 10 3" xfId="12116" xr:uid="{77348DAF-E19E-4E1A-9EE3-ADCFF43BB05B}"/>
    <cellStyle name="Comma 4 4 11" xfId="4624" xr:uid="{00000000-0005-0000-0000-0000CC090000}"/>
    <cellStyle name="Comma 4 4 11 2" xfId="13950" xr:uid="{CF51CBED-9924-45DE-AE18-7821C4EF9467}"/>
    <cellStyle name="Comma 4 4 12" xfId="8804" xr:uid="{A2BB6322-7771-45CD-845C-77E2FE03AC7A}"/>
    <cellStyle name="Comma 4 4 12 2" xfId="18127" xr:uid="{B46C3A1D-EE30-40BA-A5B3-AAA2B7AC88F4}"/>
    <cellStyle name="Comma 4 4 13" xfId="9733" xr:uid="{11DE2E71-A6E6-49FE-A304-AA20CBAD9314}"/>
    <cellStyle name="Comma 4 4 2" xfId="154" xr:uid="{00000000-0005-0000-0000-0000CD090000}"/>
    <cellStyle name="Comma 4 4 2 10" xfId="4625" xr:uid="{00000000-0005-0000-0000-0000CE090000}"/>
    <cellStyle name="Comma 4 4 2 10 2" xfId="13951" xr:uid="{29ACBF24-E84C-483F-9185-51B7B2B80A3D}"/>
    <cellStyle name="Comma 4 4 2 11" xfId="8907" xr:uid="{F9F87618-3BA1-4211-A686-62CF5BBA5770}"/>
    <cellStyle name="Comma 4 4 2 11 2" xfId="18230" xr:uid="{EBD41CA4-16AF-488B-B55E-617BE5499049}"/>
    <cellStyle name="Comma 4 4 2 12" xfId="9734" xr:uid="{08448A5F-4FA6-40DD-A9B0-CF1140D440CF}"/>
    <cellStyle name="Comma 4 4 2 2" xfId="155" xr:uid="{00000000-0005-0000-0000-0000CF090000}"/>
    <cellStyle name="Comma 4 4 2 2 10" xfId="9114" xr:uid="{871FAC03-A44E-4C24-806C-3CC0605FD124}"/>
    <cellStyle name="Comma 4 4 2 2 10 2" xfId="18437" xr:uid="{B93B6D95-3F78-4352-A6C5-92D81BDFB610}"/>
    <cellStyle name="Comma 4 4 2 2 11" xfId="9735" xr:uid="{5A804D93-A213-486C-BB11-7D9B1D657F3E}"/>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44508B9B-2E6A-480D-930E-2DE6C337603D}"/>
    <cellStyle name="Comma 4 4 2 2 2 2 3" xfId="12294" xr:uid="{8A541156-382B-439D-96D9-FC444A2315B8}"/>
    <cellStyle name="Comma 4 4 2 2 2 3" xfId="5040" xr:uid="{00000000-0005-0000-0000-0000D3090000}"/>
    <cellStyle name="Comma 4 4 2 2 2 3 2" xfId="14366" xr:uid="{5CADFA66-97BA-4E86-BC46-39A92218F546}"/>
    <cellStyle name="Comma 4 4 2 2 2 4" xfId="9539" xr:uid="{6209A471-8158-46C6-9ADA-C828BB6621B2}"/>
    <cellStyle name="Comma 4 4 2 2 2 4 2" xfId="18852" xr:uid="{3BCD3C3C-8EA5-4D81-9BAF-C31923B98F1D}"/>
    <cellStyle name="Comma 4 4 2 2 2 5" xfId="10149" xr:uid="{A2E45173-D85D-4996-9CDC-34E3F86A8280}"/>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E0946A4A-6710-4850-A669-F39DD133F42D}"/>
    <cellStyle name="Comma 4 4 2 2 3 2 3" xfId="12707" xr:uid="{20EDDA82-1C78-421A-87C0-2C1659603C65}"/>
    <cellStyle name="Comma 4 4 2 2 3 3" xfId="5453" xr:uid="{00000000-0005-0000-0000-0000D7090000}"/>
    <cellStyle name="Comma 4 4 2 2 3 3 2" xfId="14779" xr:uid="{F05E292D-E55E-4CF3-92E9-2AA8AB45B48A}"/>
    <cellStyle name="Comma 4 4 2 2 3 4" xfId="10562" xr:uid="{12308574-3925-4AF3-9955-D992DA8C8AD9}"/>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0C6E7780-4738-4930-B193-44B1A4933CAF}"/>
    <cellStyle name="Comma 4 4 2 2 4 2 3" xfId="13120" xr:uid="{9342E28B-FF72-47F3-8535-FF23021F0D84}"/>
    <cellStyle name="Comma 4 4 2 2 4 3" xfId="5866" xr:uid="{00000000-0005-0000-0000-0000DB090000}"/>
    <cellStyle name="Comma 4 4 2 2 4 3 2" xfId="15192" xr:uid="{682D92E1-FFBD-4FE1-A3B6-93DB681FC813}"/>
    <cellStyle name="Comma 4 4 2 2 4 4" xfId="10975" xr:uid="{B08EAA10-7D0E-4E0F-87A7-ED597DC92E6B}"/>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21C1866D-12BD-44BD-9A6F-232EB9B5FE52}"/>
    <cellStyle name="Comma 4 4 2 2 5 2 3" xfId="13533" xr:uid="{1B0309E5-E3AF-49C3-AC14-2F8EA9158962}"/>
    <cellStyle name="Comma 4 4 2 2 5 3" xfId="6279" xr:uid="{00000000-0005-0000-0000-0000DF090000}"/>
    <cellStyle name="Comma 4 4 2 2 5 3 2" xfId="15605" xr:uid="{7C0FC2EE-84F9-4397-8950-754EBFB2CAB8}"/>
    <cellStyle name="Comma 4 4 2 2 5 4" xfId="11388" xr:uid="{372A4814-9F1E-4135-8989-B34D9D92ACF0}"/>
    <cellStyle name="Comma 4 4 2 2 6" xfId="2408" xr:uid="{00000000-0005-0000-0000-0000E0090000}"/>
    <cellStyle name="Comma 4 4 2 2 6 2" xfId="6692" xr:uid="{00000000-0005-0000-0000-0000E1090000}"/>
    <cellStyle name="Comma 4 4 2 2 6 2 2" xfId="16018" xr:uid="{A739EB44-6974-4E2C-91A3-14A9956443F3}"/>
    <cellStyle name="Comma 4 4 2 2 6 3" xfId="11801" xr:uid="{DAAA8281-C57D-4842-A703-6AEB264B71E9}"/>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FECC0C6C-8CED-4924-A3AD-0D1A85922F84}"/>
    <cellStyle name="Comma 4 4 2 2 8 3" xfId="12118" xr:uid="{5DB493BA-C8B7-4FD2-878A-C00BCADB8AD6}"/>
    <cellStyle name="Comma 4 4 2 2 9" xfId="4626" xr:uid="{00000000-0005-0000-0000-0000E5090000}"/>
    <cellStyle name="Comma 4 4 2 2 9 2" xfId="13952" xr:uid="{ED59CAEA-3C11-488E-98FB-19A628B0D081}"/>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6536EE81-1E7D-4D1C-9915-9D5A71A02D56}"/>
    <cellStyle name="Comma 4 4 2 3 2 3" xfId="12293" xr:uid="{16901788-BC18-4DD7-8805-B902F897F6C9}"/>
    <cellStyle name="Comma 4 4 2 3 3" xfId="5039" xr:uid="{00000000-0005-0000-0000-0000E9090000}"/>
    <cellStyle name="Comma 4 4 2 3 3 2" xfId="14365" xr:uid="{5471C8E8-89F4-4BF6-855D-67AF485FAD9E}"/>
    <cellStyle name="Comma 4 4 2 3 4" xfId="9332" xr:uid="{00F59ECD-64D7-476B-90FD-CD86F054AE4D}"/>
    <cellStyle name="Comma 4 4 2 3 4 2" xfId="18645" xr:uid="{D17B84D0-7334-43FE-9D89-D5677F724D4D}"/>
    <cellStyle name="Comma 4 4 2 3 5" xfId="10148" xr:uid="{17215783-B0D0-4DE6-A571-3E4024462DC7}"/>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B5164AB6-6928-4E55-B5C6-F5350897B6F9}"/>
    <cellStyle name="Comma 4 4 2 4 2 3" xfId="12706" xr:uid="{078C22FA-FE8D-4650-8988-03D341145F4C}"/>
    <cellStyle name="Comma 4 4 2 4 3" xfId="5452" xr:uid="{00000000-0005-0000-0000-0000ED090000}"/>
    <cellStyle name="Comma 4 4 2 4 3 2" xfId="14778" xr:uid="{EA7C9AF3-49FC-4577-9ADB-C1670DE2CEAD}"/>
    <cellStyle name="Comma 4 4 2 4 4" xfId="10561" xr:uid="{B0426003-8D59-4FAA-A93A-0F4D6557D499}"/>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AEE8D0AC-C4AB-46DE-A3E6-DA3CE480E01C}"/>
    <cellStyle name="Comma 4 4 2 5 2 3" xfId="13119" xr:uid="{7D4AD192-EF11-4E46-9CD4-8B2C56E97D9A}"/>
    <cellStyle name="Comma 4 4 2 5 3" xfId="5865" xr:uid="{00000000-0005-0000-0000-0000F1090000}"/>
    <cellStyle name="Comma 4 4 2 5 3 2" xfId="15191" xr:uid="{BD815878-2366-4539-93D4-C5B401783DCB}"/>
    <cellStyle name="Comma 4 4 2 5 4" xfId="10974" xr:uid="{BCD5AEA2-AED4-407F-8DC2-75F799138DEF}"/>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408EBF4A-864C-4017-8F1F-517A23BB4587}"/>
    <cellStyle name="Comma 4 4 2 6 2 3" xfId="13532" xr:uid="{8DC892C9-1537-458F-A11F-377C2D153620}"/>
    <cellStyle name="Comma 4 4 2 6 3" xfId="6278" xr:uid="{00000000-0005-0000-0000-0000F5090000}"/>
    <cellStyle name="Comma 4 4 2 6 3 2" xfId="15604" xr:uid="{A6DE27AF-E760-4343-9BF3-EB5DC97C65EB}"/>
    <cellStyle name="Comma 4 4 2 6 4" xfId="11387" xr:uid="{43DDD69E-21CF-407C-8ACB-A179DCBA3D49}"/>
    <cellStyle name="Comma 4 4 2 7" xfId="2407" xr:uid="{00000000-0005-0000-0000-0000F6090000}"/>
    <cellStyle name="Comma 4 4 2 7 2" xfId="6691" xr:uid="{00000000-0005-0000-0000-0000F7090000}"/>
    <cellStyle name="Comma 4 4 2 7 2 2" xfId="16017" xr:uid="{747DD4D8-52A3-4AE2-A402-E0AE2F81C5EA}"/>
    <cellStyle name="Comma 4 4 2 7 3" xfId="11800" xr:uid="{A360E5B9-D76F-4233-81B4-518E1CF5CA14}"/>
    <cellStyle name="Comma 4 4 2 8" xfId="2703" xr:uid="{00000000-0005-0000-0000-0000F8090000}"/>
    <cellStyle name="Comma 4 4 2 9" xfId="2785" xr:uid="{00000000-0005-0000-0000-0000F9090000}"/>
    <cellStyle name="Comma 4 4 2 9 2" xfId="7008" xr:uid="{00000000-0005-0000-0000-0000FA090000}"/>
    <cellStyle name="Comma 4 4 2 9 2 2" xfId="16334" xr:uid="{EB0CC589-4883-4B4E-B372-1A8A60497178}"/>
    <cellStyle name="Comma 4 4 2 9 3" xfId="12117" xr:uid="{4FDE7424-1A18-4126-98E7-9925345FB1A8}"/>
    <cellStyle name="Comma 4 4 3" xfId="156" xr:uid="{00000000-0005-0000-0000-0000FB090000}"/>
    <cellStyle name="Comma 4 4 3 10" xfId="9011" xr:uid="{31ED03AD-AB12-49AF-9AD4-B783F0BF7322}"/>
    <cellStyle name="Comma 4 4 3 10 2" xfId="18334" xr:uid="{C754A690-C752-45DB-85BD-BF88C57DEA17}"/>
    <cellStyle name="Comma 4 4 3 11" xfId="9736" xr:uid="{2BA6D16D-1547-4491-9BAE-593AE99E838B}"/>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3A1CCF57-1EB6-42EF-92AD-98AA3ACB5225}"/>
    <cellStyle name="Comma 4 4 3 2 2 3" xfId="12295" xr:uid="{C7A7A58E-6445-43D5-930D-2C79AACA6C16}"/>
    <cellStyle name="Comma 4 4 3 2 3" xfId="5041" xr:uid="{00000000-0005-0000-0000-0000FF090000}"/>
    <cellStyle name="Comma 4 4 3 2 3 2" xfId="14367" xr:uid="{2495422B-BCF1-44B4-BCFE-186727799EA3}"/>
    <cellStyle name="Comma 4 4 3 2 4" xfId="9436" xr:uid="{5B7DDC25-9095-4E8E-BD31-668F46BBD33F}"/>
    <cellStyle name="Comma 4 4 3 2 4 2" xfId="18749" xr:uid="{0B0DA228-AEE1-4868-BD34-9F3BE2630EBE}"/>
    <cellStyle name="Comma 4 4 3 2 5" xfId="10150" xr:uid="{2D30AF54-3CAB-4854-B1BD-C3290EB63ABC}"/>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A9E9DE3B-782B-46E9-9AD9-5A98A83238CD}"/>
    <cellStyle name="Comma 4 4 3 3 2 3" xfId="12708" xr:uid="{19E16DF1-8990-49FE-AAFF-E706C9BC785D}"/>
    <cellStyle name="Comma 4 4 3 3 3" xfId="5454" xr:uid="{00000000-0005-0000-0000-0000030A0000}"/>
    <cellStyle name="Comma 4 4 3 3 3 2" xfId="14780" xr:uid="{D8DCCC1C-9942-4D88-8424-A9DE7C316B66}"/>
    <cellStyle name="Comma 4 4 3 3 4" xfId="10563" xr:uid="{2021817F-7406-4E78-A137-D69AE4AB2D2B}"/>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FA8BC014-05DB-4F21-B0F1-ADE30FC06527}"/>
    <cellStyle name="Comma 4 4 3 4 2 3" xfId="13121" xr:uid="{1BF986EB-C890-4AA4-B45C-B51F3DD4C7E9}"/>
    <cellStyle name="Comma 4 4 3 4 3" xfId="5867" xr:uid="{00000000-0005-0000-0000-0000070A0000}"/>
    <cellStyle name="Comma 4 4 3 4 3 2" xfId="15193" xr:uid="{B2736B50-2C4A-4F9C-BE84-DBB66F9C68A3}"/>
    <cellStyle name="Comma 4 4 3 4 4" xfId="10976" xr:uid="{B509E236-966E-4FD7-8574-6493345E074B}"/>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4A3C98B0-FD71-4AEF-83EE-ADFAFBAE5185}"/>
    <cellStyle name="Comma 4 4 3 5 2 3" xfId="13534" xr:uid="{8CC8041B-F364-4D34-A3F9-9DD9CD3E989D}"/>
    <cellStyle name="Comma 4 4 3 5 3" xfId="6280" xr:uid="{00000000-0005-0000-0000-00000B0A0000}"/>
    <cellStyle name="Comma 4 4 3 5 3 2" xfId="15606" xr:uid="{2B06B73C-7165-4EEE-93A3-CD5ED12D6C71}"/>
    <cellStyle name="Comma 4 4 3 5 4" xfId="11389" xr:uid="{BF0F8607-045C-4A01-BECD-CD00063BCD51}"/>
    <cellStyle name="Comma 4 4 3 6" xfId="2409" xr:uid="{00000000-0005-0000-0000-00000C0A0000}"/>
    <cellStyle name="Comma 4 4 3 6 2" xfId="6693" xr:uid="{00000000-0005-0000-0000-00000D0A0000}"/>
    <cellStyle name="Comma 4 4 3 6 2 2" xfId="16019" xr:uid="{11306D0B-AB46-4BA7-B254-F00F5902F2FA}"/>
    <cellStyle name="Comma 4 4 3 6 3" xfId="11802" xr:uid="{557F838D-24F3-4DCD-BCCE-E4F338E8E8D8}"/>
    <cellStyle name="Comma 4 4 3 7" xfId="2705" xr:uid="{00000000-0005-0000-0000-00000E0A0000}"/>
    <cellStyle name="Comma 4 4 3 8" xfId="2787" xr:uid="{00000000-0005-0000-0000-00000F0A0000}"/>
    <cellStyle name="Comma 4 4 3 8 2" xfId="7010" xr:uid="{00000000-0005-0000-0000-0000100A0000}"/>
    <cellStyle name="Comma 4 4 3 8 2 2" xfId="16336" xr:uid="{25B0CDB4-78DE-48DA-BE4D-CAC3476F74AB}"/>
    <cellStyle name="Comma 4 4 3 8 3" xfId="12119" xr:uid="{3265E23D-4453-4D49-88A9-B8F1163C67B4}"/>
    <cellStyle name="Comma 4 4 3 9" xfId="4627" xr:uid="{00000000-0005-0000-0000-0000110A0000}"/>
    <cellStyle name="Comma 4 4 3 9 2" xfId="13953" xr:uid="{52843F6D-3E4E-47D8-B6A8-CE9328570C65}"/>
    <cellStyle name="Comma 4 4 4" xfId="690" xr:uid="{00000000-0005-0000-0000-0000120A0000}"/>
    <cellStyle name="Comma 4 4 4 2" xfId="2961" xr:uid="{00000000-0005-0000-0000-0000130A0000}"/>
    <cellStyle name="Comma 4 4 4 2 2" xfId="7183" xr:uid="{00000000-0005-0000-0000-0000140A0000}"/>
    <cellStyle name="Comma 4 4 4 2 2 2" xfId="16509" xr:uid="{BD58707E-5D1C-4053-AA53-5A8173B9E700}"/>
    <cellStyle name="Comma 4 4 4 2 3" xfId="12292" xr:uid="{61DEFEF0-3FC9-4CA9-818D-8F8608D5165F}"/>
    <cellStyle name="Comma 4 4 4 3" xfId="5038" xr:uid="{00000000-0005-0000-0000-0000150A0000}"/>
    <cellStyle name="Comma 4 4 4 3 2" xfId="14364" xr:uid="{D12FBB4D-05C9-43E8-97D2-E554C4440EB3}"/>
    <cellStyle name="Comma 4 4 4 4" xfId="9229" xr:uid="{5D655A80-2199-4116-9BF2-7327D5827395}"/>
    <cellStyle name="Comma 4 4 4 4 2" xfId="18542" xr:uid="{AB016444-8B1E-408B-8948-57A9D10A09C8}"/>
    <cellStyle name="Comma 4 4 4 5" xfId="10147" xr:uid="{F120A1D5-6003-474F-81C8-5ACE2F9D8201}"/>
    <cellStyle name="Comma 4 4 5" xfId="1143" xr:uid="{00000000-0005-0000-0000-0000160A0000}"/>
    <cellStyle name="Comma 4 4 5 2" xfId="3374" xr:uid="{00000000-0005-0000-0000-0000170A0000}"/>
    <cellStyle name="Comma 4 4 5 2 2" xfId="7596" xr:uid="{00000000-0005-0000-0000-0000180A0000}"/>
    <cellStyle name="Comma 4 4 5 2 2 2" xfId="16922" xr:uid="{EBF5FF15-F844-4887-9A8C-232FDBC51A4B}"/>
    <cellStyle name="Comma 4 4 5 2 3" xfId="12705" xr:uid="{A101FC44-20BB-44A5-9DD9-B0B2F75C7219}"/>
    <cellStyle name="Comma 4 4 5 3" xfId="5451" xr:uid="{00000000-0005-0000-0000-0000190A0000}"/>
    <cellStyle name="Comma 4 4 5 3 2" xfId="14777" xr:uid="{EEDF3D4F-6D1A-417D-AEA3-9FDA1E1E94EF}"/>
    <cellStyle name="Comma 4 4 5 4" xfId="10560" xr:uid="{CABEFD9A-00AC-4858-B172-E6C8823A90BC}"/>
    <cellStyle name="Comma 4 4 6" xfId="1557" xr:uid="{00000000-0005-0000-0000-00001A0A0000}"/>
    <cellStyle name="Comma 4 4 6 2" xfId="3787" xr:uid="{00000000-0005-0000-0000-00001B0A0000}"/>
    <cellStyle name="Comma 4 4 6 2 2" xfId="8009" xr:uid="{00000000-0005-0000-0000-00001C0A0000}"/>
    <cellStyle name="Comma 4 4 6 2 2 2" xfId="17335" xr:uid="{A3E64201-E184-4B83-B525-31AB9B4F1031}"/>
    <cellStyle name="Comma 4 4 6 2 3" xfId="13118" xr:uid="{6C0F7207-6384-4813-8659-5A58035E81DD}"/>
    <cellStyle name="Comma 4 4 6 3" xfId="5864" xr:uid="{00000000-0005-0000-0000-00001D0A0000}"/>
    <cellStyle name="Comma 4 4 6 3 2" xfId="15190" xr:uid="{B748F908-0C34-4BA5-A7B5-AF2FFF6CCE31}"/>
    <cellStyle name="Comma 4 4 6 4" xfId="10973" xr:uid="{3C76B264-88CB-4F6D-A35C-211A030D8D51}"/>
    <cellStyle name="Comma 4 4 7" xfId="1971" xr:uid="{00000000-0005-0000-0000-00001E0A0000}"/>
    <cellStyle name="Comma 4 4 7 2" xfId="4200" xr:uid="{00000000-0005-0000-0000-00001F0A0000}"/>
    <cellStyle name="Comma 4 4 7 2 2" xfId="8422" xr:uid="{00000000-0005-0000-0000-0000200A0000}"/>
    <cellStyle name="Comma 4 4 7 2 2 2" xfId="17748" xr:uid="{331F3521-1364-4E0B-89E3-BAF1AD9AE083}"/>
    <cellStyle name="Comma 4 4 7 2 3" xfId="13531" xr:uid="{EF8F6BFA-7BB4-470F-88C2-5B49D47705B8}"/>
    <cellStyle name="Comma 4 4 7 3" xfId="6277" xr:uid="{00000000-0005-0000-0000-0000210A0000}"/>
    <cellStyle name="Comma 4 4 7 3 2" xfId="15603" xr:uid="{D9418D09-D965-466B-91A7-1F9D9762B2E8}"/>
    <cellStyle name="Comma 4 4 7 4" xfId="11386" xr:uid="{FC988A1A-87B5-4EDA-8021-3597C6A4A5AE}"/>
    <cellStyle name="Comma 4 4 8" xfId="2406" xr:uid="{00000000-0005-0000-0000-0000220A0000}"/>
    <cellStyle name="Comma 4 4 8 2" xfId="6690" xr:uid="{00000000-0005-0000-0000-0000230A0000}"/>
    <cellStyle name="Comma 4 4 8 2 2" xfId="16016" xr:uid="{58289D23-4885-444B-8563-2D0538582077}"/>
    <cellStyle name="Comma 4 4 8 3" xfId="11799" xr:uid="{8102D7FF-07AC-475B-9B03-80D86DF838A0}"/>
    <cellStyle name="Comma 4 4 9" xfId="2702" xr:uid="{00000000-0005-0000-0000-0000240A0000}"/>
    <cellStyle name="Comma 4 5" xfId="157" xr:uid="{00000000-0005-0000-0000-0000250A0000}"/>
    <cellStyle name="Comma 4 5 10" xfId="4628" xr:uid="{00000000-0005-0000-0000-0000260A0000}"/>
    <cellStyle name="Comma 4 5 10 2" xfId="13954" xr:uid="{642AAF54-7E33-44E0-8833-733EA59CCC7C}"/>
    <cellStyle name="Comma 4 5 11" xfId="8849" xr:uid="{344CCE08-63E3-41E8-B38A-00347480820F}"/>
    <cellStyle name="Comma 4 5 11 2" xfId="18172" xr:uid="{2E98F5A7-BF8C-465B-B5C1-AC1789EF41A4}"/>
    <cellStyle name="Comma 4 5 12" xfId="9737" xr:uid="{BF56DCE9-B96C-4D9A-BAFC-34F6EE4B250A}"/>
    <cellStyle name="Comma 4 5 2" xfId="158" xr:uid="{00000000-0005-0000-0000-0000270A0000}"/>
    <cellStyle name="Comma 4 5 2 10" xfId="9056" xr:uid="{C7C2153B-7EAA-4A13-9C28-1151ACD100A8}"/>
    <cellStyle name="Comma 4 5 2 10 2" xfId="18379" xr:uid="{7B4C0230-738D-44E3-A9C0-63BEEBEDE50B}"/>
    <cellStyle name="Comma 4 5 2 11" xfId="9738" xr:uid="{58D325D9-A3F4-430F-B078-C4B96C2A0E64}"/>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D148EFE3-800B-444F-93AD-F5FA503D2B4D}"/>
    <cellStyle name="Comma 4 5 2 2 2 3" xfId="12297" xr:uid="{234433E6-8C42-49D3-A472-541E2E7B878F}"/>
    <cellStyle name="Comma 4 5 2 2 3" xfId="5043" xr:uid="{00000000-0005-0000-0000-00002B0A0000}"/>
    <cellStyle name="Comma 4 5 2 2 3 2" xfId="14369" xr:uid="{E652B503-4AAE-48CA-BE17-FD60AC4B6EEB}"/>
    <cellStyle name="Comma 4 5 2 2 4" xfId="9481" xr:uid="{47C88F6D-21B1-4457-908C-FFAB8FF83BD1}"/>
    <cellStyle name="Comma 4 5 2 2 4 2" xfId="18794" xr:uid="{FD2E139C-C584-4866-AAA6-6084C93574E8}"/>
    <cellStyle name="Comma 4 5 2 2 5" xfId="10152" xr:uid="{E4A7E884-A1A0-433D-90AC-2BAECD055E38}"/>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5EBC134F-F9A9-4A65-AA34-A0689FDB46DE}"/>
    <cellStyle name="Comma 4 5 2 3 2 3" xfId="12710" xr:uid="{6C36BD1A-BE1A-441B-B0C9-B89DFCFBBE90}"/>
    <cellStyle name="Comma 4 5 2 3 3" xfId="5456" xr:uid="{00000000-0005-0000-0000-00002F0A0000}"/>
    <cellStyle name="Comma 4 5 2 3 3 2" xfId="14782" xr:uid="{7C903A71-B772-46C1-B685-B6CC96E9D697}"/>
    <cellStyle name="Comma 4 5 2 3 4" xfId="10565" xr:uid="{358F4C9C-4509-41EE-B649-A802CB5A3BC6}"/>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6DE72DF8-4153-43FC-A3BD-6C797FF32FD1}"/>
    <cellStyle name="Comma 4 5 2 4 2 3" xfId="13123" xr:uid="{6824AE6E-D8F4-4A1E-8C81-81BCEB6B589D}"/>
    <cellStyle name="Comma 4 5 2 4 3" xfId="5869" xr:uid="{00000000-0005-0000-0000-0000330A0000}"/>
    <cellStyle name="Comma 4 5 2 4 3 2" xfId="15195" xr:uid="{AD65D78A-7142-4B07-AEFB-C52A148CF9F7}"/>
    <cellStyle name="Comma 4 5 2 4 4" xfId="10978" xr:uid="{E339743D-D10D-4F9F-AFF5-9C6773970CD9}"/>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ABDA2AFD-6935-44D2-A96B-2DC709684659}"/>
    <cellStyle name="Comma 4 5 2 5 2 3" xfId="13536" xr:uid="{E63B1E8D-B0FF-4642-8852-1725039694CD}"/>
    <cellStyle name="Comma 4 5 2 5 3" xfId="6282" xr:uid="{00000000-0005-0000-0000-0000370A0000}"/>
    <cellStyle name="Comma 4 5 2 5 3 2" xfId="15608" xr:uid="{98767591-1E82-4BAE-99D8-F366E35F7396}"/>
    <cellStyle name="Comma 4 5 2 5 4" xfId="11391" xr:uid="{5CD61F35-CFA2-4CB0-A67A-F4E3C6D6AA13}"/>
    <cellStyle name="Comma 4 5 2 6" xfId="2411" xr:uid="{00000000-0005-0000-0000-0000380A0000}"/>
    <cellStyle name="Comma 4 5 2 6 2" xfId="6695" xr:uid="{00000000-0005-0000-0000-0000390A0000}"/>
    <cellStyle name="Comma 4 5 2 6 2 2" xfId="16021" xr:uid="{FE03CC42-AF35-44F0-B4A5-DD0782ED4854}"/>
    <cellStyle name="Comma 4 5 2 6 3" xfId="11804" xr:uid="{09A1801B-0A47-4164-BF66-2B2F401D7D2D}"/>
    <cellStyle name="Comma 4 5 2 7" xfId="2707" xr:uid="{00000000-0005-0000-0000-00003A0A0000}"/>
    <cellStyle name="Comma 4 5 2 8" xfId="2789" xr:uid="{00000000-0005-0000-0000-00003B0A0000}"/>
    <cellStyle name="Comma 4 5 2 8 2" xfId="7012" xr:uid="{00000000-0005-0000-0000-00003C0A0000}"/>
    <cellStyle name="Comma 4 5 2 8 2 2" xfId="16338" xr:uid="{C82C7BE4-3EBF-40A6-BE99-6618DFCD5545}"/>
    <cellStyle name="Comma 4 5 2 8 3" xfId="12121" xr:uid="{C79D82E9-7482-4CD6-A2BE-D78B6333E42C}"/>
    <cellStyle name="Comma 4 5 2 9" xfId="4629" xr:uid="{00000000-0005-0000-0000-00003D0A0000}"/>
    <cellStyle name="Comma 4 5 2 9 2" xfId="13955" xr:uid="{212DDD3E-9DE1-415C-BBE7-774817A5B6B8}"/>
    <cellStyle name="Comma 4 5 3" xfId="694" xr:uid="{00000000-0005-0000-0000-00003E0A0000}"/>
    <cellStyle name="Comma 4 5 3 2" xfId="2965" xr:uid="{00000000-0005-0000-0000-00003F0A0000}"/>
    <cellStyle name="Comma 4 5 3 2 2" xfId="7187" xr:uid="{00000000-0005-0000-0000-0000400A0000}"/>
    <cellStyle name="Comma 4 5 3 2 2 2" xfId="16513" xr:uid="{B2229B07-765F-4CEB-910A-8309C1A523DE}"/>
    <cellStyle name="Comma 4 5 3 2 3" xfId="12296" xr:uid="{24178AD3-055C-4DF4-867F-91D321F764FC}"/>
    <cellStyle name="Comma 4 5 3 3" xfId="5042" xr:uid="{00000000-0005-0000-0000-0000410A0000}"/>
    <cellStyle name="Comma 4 5 3 3 2" xfId="14368" xr:uid="{6EA73136-44F2-4FAB-B143-3273A1D06AFE}"/>
    <cellStyle name="Comma 4 5 3 4" xfId="9274" xr:uid="{04AC3EF2-4A78-4DC5-BAB4-87936023C7E5}"/>
    <cellStyle name="Comma 4 5 3 4 2" xfId="18587" xr:uid="{4D9EED0D-2ABD-4C27-98EA-33867B623FBD}"/>
    <cellStyle name="Comma 4 5 3 5" xfId="10151" xr:uid="{4D53D16A-5B6D-47F4-9F26-1A696F1FDD96}"/>
    <cellStyle name="Comma 4 5 4" xfId="1147" xr:uid="{00000000-0005-0000-0000-0000420A0000}"/>
    <cellStyle name="Comma 4 5 4 2" xfId="3378" xr:uid="{00000000-0005-0000-0000-0000430A0000}"/>
    <cellStyle name="Comma 4 5 4 2 2" xfId="7600" xr:uid="{00000000-0005-0000-0000-0000440A0000}"/>
    <cellStyle name="Comma 4 5 4 2 2 2" xfId="16926" xr:uid="{6F83C99B-1D7B-4F83-A3E0-A8CE9B13F0C3}"/>
    <cellStyle name="Comma 4 5 4 2 3" xfId="12709" xr:uid="{7D067BBA-7F1E-47B3-8067-F1F0F4782874}"/>
    <cellStyle name="Comma 4 5 4 3" xfId="5455" xr:uid="{00000000-0005-0000-0000-0000450A0000}"/>
    <cellStyle name="Comma 4 5 4 3 2" xfId="14781" xr:uid="{B1CC99BB-3591-4243-B2D8-999D7023CAAE}"/>
    <cellStyle name="Comma 4 5 4 4" xfId="10564" xr:uid="{A13B3C76-CDF4-46A8-A446-1C0104816217}"/>
    <cellStyle name="Comma 4 5 5" xfId="1561" xr:uid="{00000000-0005-0000-0000-0000460A0000}"/>
    <cellStyle name="Comma 4 5 5 2" xfId="3791" xr:uid="{00000000-0005-0000-0000-0000470A0000}"/>
    <cellStyle name="Comma 4 5 5 2 2" xfId="8013" xr:uid="{00000000-0005-0000-0000-0000480A0000}"/>
    <cellStyle name="Comma 4 5 5 2 2 2" xfId="17339" xr:uid="{B4C7CB68-3BE4-4E22-9D82-9052A96FD1B9}"/>
    <cellStyle name="Comma 4 5 5 2 3" xfId="13122" xr:uid="{A38F04C8-A2A2-4543-AB81-364443A266E4}"/>
    <cellStyle name="Comma 4 5 5 3" xfId="5868" xr:uid="{00000000-0005-0000-0000-0000490A0000}"/>
    <cellStyle name="Comma 4 5 5 3 2" xfId="15194" xr:uid="{D1F91BF8-516F-434C-B523-AFB1976A054B}"/>
    <cellStyle name="Comma 4 5 5 4" xfId="10977" xr:uid="{D1AD3D90-2319-46FA-8A3F-EA4D57B53392}"/>
    <cellStyle name="Comma 4 5 6" xfId="1975" xr:uid="{00000000-0005-0000-0000-00004A0A0000}"/>
    <cellStyle name="Comma 4 5 6 2" xfId="4204" xr:uid="{00000000-0005-0000-0000-00004B0A0000}"/>
    <cellStyle name="Comma 4 5 6 2 2" xfId="8426" xr:uid="{00000000-0005-0000-0000-00004C0A0000}"/>
    <cellStyle name="Comma 4 5 6 2 2 2" xfId="17752" xr:uid="{2E592F4E-259F-4488-8C51-16EDA486E8C6}"/>
    <cellStyle name="Comma 4 5 6 2 3" xfId="13535" xr:uid="{A3C912BC-CAA2-4BA0-8F41-C2225227C479}"/>
    <cellStyle name="Comma 4 5 6 3" xfId="6281" xr:uid="{00000000-0005-0000-0000-00004D0A0000}"/>
    <cellStyle name="Comma 4 5 6 3 2" xfId="15607" xr:uid="{3242F94F-9121-4AAC-BAB2-5DDBE1F2E516}"/>
    <cellStyle name="Comma 4 5 6 4" xfId="11390" xr:uid="{7ECA60C1-EB3E-46FA-B803-F38DF7B6E37E}"/>
    <cellStyle name="Comma 4 5 7" xfId="2410" xr:uid="{00000000-0005-0000-0000-00004E0A0000}"/>
    <cellStyle name="Comma 4 5 7 2" xfId="6694" xr:uid="{00000000-0005-0000-0000-00004F0A0000}"/>
    <cellStyle name="Comma 4 5 7 2 2" xfId="16020" xr:uid="{795EDE30-9B92-40E9-8B39-0203C980E761}"/>
    <cellStyle name="Comma 4 5 7 3" xfId="11803" xr:uid="{DBEE0648-6A22-4BDF-A0CD-88B6D65B0C69}"/>
    <cellStyle name="Comma 4 5 8" xfId="2706" xr:uid="{00000000-0005-0000-0000-0000500A0000}"/>
    <cellStyle name="Comma 4 5 9" xfId="2788" xr:uid="{00000000-0005-0000-0000-0000510A0000}"/>
    <cellStyle name="Comma 4 5 9 2" xfId="7011" xr:uid="{00000000-0005-0000-0000-0000520A0000}"/>
    <cellStyle name="Comma 4 5 9 2 2" xfId="16337" xr:uid="{853CB6E2-1355-4B5D-85A2-582FAD17723A}"/>
    <cellStyle name="Comma 4 5 9 3" xfId="12120" xr:uid="{919B15C6-E8DB-467A-91E6-450C0E9981A0}"/>
    <cellStyle name="Comma 4 6" xfId="159" xr:uid="{00000000-0005-0000-0000-0000530A0000}"/>
    <cellStyle name="Comma 4 6 10" xfId="8965" xr:uid="{FDA33E7D-96B8-46F2-87D8-5CB6C30A4CC6}"/>
    <cellStyle name="Comma 4 6 10 2" xfId="18288" xr:uid="{F2921D74-3285-442E-A708-19B1D800E635}"/>
    <cellStyle name="Comma 4 6 11" xfId="9739" xr:uid="{7A3BD1FC-4F1F-4EB1-A6DC-0A634AE0A859}"/>
    <cellStyle name="Comma 4 6 2" xfId="696" xr:uid="{00000000-0005-0000-0000-0000540A0000}"/>
    <cellStyle name="Comma 4 6 2 2" xfId="2967" xr:uid="{00000000-0005-0000-0000-0000550A0000}"/>
    <cellStyle name="Comma 4 6 2 2 2" xfId="7189" xr:uid="{00000000-0005-0000-0000-0000560A0000}"/>
    <cellStyle name="Comma 4 6 2 2 2 2" xfId="16515" xr:uid="{58E01CA8-F4A6-4AC9-AE8B-DCC981196E0C}"/>
    <cellStyle name="Comma 4 6 2 2 3" xfId="12298" xr:uid="{1ACB755B-8FAB-4FFB-9F2E-EC1D71D1BAF3}"/>
    <cellStyle name="Comma 4 6 2 3" xfId="5044" xr:uid="{00000000-0005-0000-0000-0000570A0000}"/>
    <cellStyle name="Comma 4 6 2 3 2" xfId="14370" xr:uid="{8A610BF1-BFE3-4975-A6F7-6D20A66674CB}"/>
    <cellStyle name="Comma 4 6 2 4" xfId="9390" xr:uid="{F8012948-A58F-476A-B4CF-A63C8F36D5B6}"/>
    <cellStyle name="Comma 4 6 2 4 2" xfId="18703" xr:uid="{3FE4E1BB-26BF-4F5B-8A92-5D76DE8DB863}"/>
    <cellStyle name="Comma 4 6 2 5" xfId="10153" xr:uid="{DFD00227-4727-4678-ACFB-8D99E0DC1A41}"/>
    <cellStyle name="Comma 4 6 3" xfId="1149" xr:uid="{00000000-0005-0000-0000-0000580A0000}"/>
    <cellStyle name="Comma 4 6 3 2" xfId="3380" xr:uid="{00000000-0005-0000-0000-0000590A0000}"/>
    <cellStyle name="Comma 4 6 3 2 2" xfId="7602" xr:uid="{00000000-0005-0000-0000-00005A0A0000}"/>
    <cellStyle name="Comma 4 6 3 2 2 2" xfId="16928" xr:uid="{B74D4338-5657-4B20-9B53-E008D09539D8}"/>
    <cellStyle name="Comma 4 6 3 2 3" xfId="12711" xr:uid="{8E0EAF6A-0FC8-4C86-B58A-0BAF409D5B75}"/>
    <cellStyle name="Comma 4 6 3 3" xfId="5457" xr:uid="{00000000-0005-0000-0000-00005B0A0000}"/>
    <cellStyle name="Comma 4 6 3 3 2" xfId="14783" xr:uid="{DD1438D5-3DED-422E-B565-C38C32D98CB7}"/>
    <cellStyle name="Comma 4 6 3 4" xfId="10566" xr:uid="{7A4EA258-A296-4E73-A510-59AE14AFF343}"/>
    <cellStyle name="Comma 4 6 4" xfId="1563" xr:uid="{00000000-0005-0000-0000-00005C0A0000}"/>
    <cellStyle name="Comma 4 6 4 2" xfId="3793" xr:uid="{00000000-0005-0000-0000-00005D0A0000}"/>
    <cellStyle name="Comma 4 6 4 2 2" xfId="8015" xr:uid="{00000000-0005-0000-0000-00005E0A0000}"/>
    <cellStyle name="Comma 4 6 4 2 2 2" xfId="17341" xr:uid="{ADC39821-AA21-44B3-9AB1-205B42E28FA0}"/>
    <cellStyle name="Comma 4 6 4 2 3" xfId="13124" xr:uid="{B1817A39-8D9C-417E-9A19-770538F1E55A}"/>
    <cellStyle name="Comma 4 6 4 3" xfId="5870" xr:uid="{00000000-0005-0000-0000-00005F0A0000}"/>
    <cellStyle name="Comma 4 6 4 3 2" xfId="15196" xr:uid="{3C0F1DE1-BC3A-4291-BCB3-32F8D2F4ADD6}"/>
    <cellStyle name="Comma 4 6 4 4" xfId="10979" xr:uid="{00AFA1D8-BDAF-42F2-98F0-59EA077B0040}"/>
    <cellStyle name="Comma 4 6 5" xfId="1977" xr:uid="{00000000-0005-0000-0000-0000600A0000}"/>
    <cellStyle name="Comma 4 6 5 2" xfId="4206" xr:uid="{00000000-0005-0000-0000-0000610A0000}"/>
    <cellStyle name="Comma 4 6 5 2 2" xfId="8428" xr:uid="{00000000-0005-0000-0000-0000620A0000}"/>
    <cellStyle name="Comma 4 6 5 2 2 2" xfId="17754" xr:uid="{52871822-B7CE-4C32-BD1F-9E15C4F4E906}"/>
    <cellStyle name="Comma 4 6 5 2 3" xfId="13537" xr:uid="{A4A3FF6D-D343-4163-8782-7F9D4D5C5F81}"/>
    <cellStyle name="Comma 4 6 5 3" xfId="6283" xr:uid="{00000000-0005-0000-0000-0000630A0000}"/>
    <cellStyle name="Comma 4 6 5 3 2" xfId="15609" xr:uid="{51A778FD-E021-4994-B763-E5346419B259}"/>
    <cellStyle name="Comma 4 6 5 4" xfId="11392" xr:uid="{C8FD2754-DA00-448D-8993-E6EC6B8A3E69}"/>
    <cellStyle name="Comma 4 6 6" xfId="2412" xr:uid="{00000000-0005-0000-0000-0000640A0000}"/>
    <cellStyle name="Comma 4 6 6 2" xfId="6696" xr:uid="{00000000-0005-0000-0000-0000650A0000}"/>
    <cellStyle name="Comma 4 6 6 2 2" xfId="16022" xr:uid="{46C598E7-BCE2-495F-96A1-FB2C911E5F4B}"/>
    <cellStyle name="Comma 4 6 6 3" xfId="11805" xr:uid="{5CC12689-D775-49D7-8C81-727810AF122F}"/>
    <cellStyle name="Comma 4 6 7" xfId="2708" xr:uid="{00000000-0005-0000-0000-0000660A0000}"/>
    <cellStyle name="Comma 4 6 8" xfId="2790" xr:uid="{00000000-0005-0000-0000-0000670A0000}"/>
    <cellStyle name="Comma 4 6 8 2" xfId="7013" xr:uid="{00000000-0005-0000-0000-0000680A0000}"/>
    <cellStyle name="Comma 4 6 8 2 2" xfId="16339" xr:uid="{C796C0D0-A213-4287-A5B5-5BEC1C10824E}"/>
    <cellStyle name="Comma 4 6 8 3" xfId="12122" xr:uid="{11E8F61F-7023-4BE5-A905-FDDE1D705B79}"/>
    <cellStyle name="Comma 4 6 9" xfId="4630" xr:uid="{00000000-0005-0000-0000-0000690A0000}"/>
    <cellStyle name="Comma 4 6 9 2" xfId="13956" xr:uid="{F202726A-62FE-4A2E-BFD8-88EBC8F6CE44}"/>
    <cellStyle name="Comma 4 7" xfId="160" xr:uid="{00000000-0005-0000-0000-00006A0A0000}"/>
    <cellStyle name="Comma 4 7 10" xfId="9168" xr:uid="{C5EF0C72-87BD-43A9-8A23-92F9D9423F50}"/>
    <cellStyle name="Comma 4 7 10 2" xfId="18484" xr:uid="{170F3427-EDD3-4ABD-99DD-62BF84317425}"/>
    <cellStyle name="Comma 4 7 11" xfId="9740" xr:uid="{0D30AC37-D7FD-4270-A115-B87361D5E46E}"/>
    <cellStyle name="Comma 4 7 2" xfId="697" xr:uid="{00000000-0005-0000-0000-00006B0A0000}"/>
    <cellStyle name="Comma 4 7 2 2" xfId="2968" xr:uid="{00000000-0005-0000-0000-00006C0A0000}"/>
    <cellStyle name="Comma 4 7 2 2 2" xfId="7190" xr:uid="{00000000-0005-0000-0000-00006D0A0000}"/>
    <cellStyle name="Comma 4 7 2 2 2 2" xfId="16516" xr:uid="{9876BF3B-9224-4738-BFCA-D3F0FA84B4B8}"/>
    <cellStyle name="Comma 4 7 2 2 3" xfId="12299" xr:uid="{C2E2A728-CCBC-4FAA-8188-2B199502A640}"/>
    <cellStyle name="Comma 4 7 2 3" xfId="5045" xr:uid="{00000000-0005-0000-0000-00006E0A0000}"/>
    <cellStyle name="Comma 4 7 2 3 2" xfId="14371" xr:uid="{DD2AEE1C-3ED9-4076-B818-3277FAEE98CD}"/>
    <cellStyle name="Comma 4 7 2 4" xfId="9596" xr:uid="{F4A1C070-02C1-4F2A-89F2-15465D9BEBB2}"/>
    <cellStyle name="Comma 4 7 2 4 2" xfId="18898" xr:uid="{3409CB88-2D72-4B63-BE77-9D968CC69797}"/>
    <cellStyle name="Comma 4 7 2 5" xfId="10154" xr:uid="{3F0C5FA4-4EA2-46DB-8B6C-6FC8F7A345BC}"/>
    <cellStyle name="Comma 4 7 3" xfId="1150" xr:uid="{00000000-0005-0000-0000-00006F0A0000}"/>
    <cellStyle name="Comma 4 7 3 2" xfId="3381" xr:uid="{00000000-0005-0000-0000-0000700A0000}"/>
    <cellStyle name="Comma 4 7 3 2 2" xfId="7603" xr:uid="{00000000-0005-0000-0000-0000710A0000}"/>
    <cellStyle name="Comma 4 7 3 2 2 2" xfId="16929" xr:uid="{74908448-372B-4AA0-AE62-EB1A159C7B70}"/>
    <cellStyle name="Comma 4 7 3 2 3" xfId="12712" xr:uid="{3DEE06A2-DC69-4DD9-B2D8-E65E75ABA177}"/>
    <cellStyle name="Comma 4 7 3 3" xfId="5458" xr:uid="{00000000-0005-0000-0000-0000720A0000}"/>
    <cellStyle name="Comma 4 7 3 3 2" xfId="14784" xr:uid="{7D9440E6-EF0D-495E-B31A-D87F4244C0F3}"/>
    <cellStyle name="Comma 4 7 3 4" xfId="10567" xr:uid="{BBB79B7A-AF45-45F0-A896-2995D66FA6D1}"/>
    <cellStyle name="Comma 4 7 4" xfId="1564" xr:uid="{00000000-0005-0000-0000-0000730A0000}"/>
    <cellStyle name="Comma 4 7 4 2" xfId="3794" xr:uid="{00000000-0005-0000-0000-0000740A0000}"/>
    <cellStyle name="Comma 4 7 4 2 2" xfId="8016" xr:uid="{00000000-0005-0000-0000-0000750A0000}"/>
    <cellStyle name="Comma 4 7 4 2 2 2" xfId="17342" xr:uid="{18E34A02-D83D-491C-80DC-D864481D8358}"/>
    <cellStyle name="Comma 4 7 4 2 3" xfId="13125" xr:uid="{FEF13833-AD91-48F1-892D-FCD33D490A37}"/>
    <cellStyle name="Comma 4 7 4 3" xfId="5871" xr:uid="{00000000-0005-0000-0000-0000760A0000}"/>
    <cellStyle name="Comma 4 7 4 3 2" xfId="15197" xr:uid="{D39DEE50-4CB5-4B74-A3A4-5908CFEF1781}"/>
    <cellStyle name="Comma 4 7 4 4" xfId="10980" xr:uid="{141AFA2C-EA49-4C20-8405-1E390105E088}"/>
    <cellStyle name="Comma 4 7 5" xfId="1978" xr:uid="{00000000-0005-0000-0000-0000770A0000}"/>
    <cellStyle name="Comma 4 7 5 2" xfId="4207" xr:uid="{00000000-0005-0000-0000-0000780A0000}"/>
    <cellStyle name="Comma 4 7 5 2 2" xfId="8429" xr:uid="{00000000-0005-0000-0000-0000790A0000}"/>
    <cellStyle name="Comma 4 7 5 2 2 2" xfId="17755" xr:uid="{2916A1C2-BA17-4B9F-8F12-F3D80B6A1F3F}"/>
    <cellStyle name="Comma 4 7 5 2 3" xfId="13538" xr:uid="{0BDC58D2-1338-4043-90A0-EAD66525D31B}"/>
    <cellStyle name="Comma 4 7 5 3" xfId="6284" xr:uid="{00000000-0005-0000-0000-00007A0A0000}"/>
    <cellStyle name="Comma 4 7 5 3 2" xfId="15610" xr:uid="{AA4112CF-54CF-4EA0-A3BB-08B58BAF25F9}"/>
    <cellStyle name="Comma 4 7 5 4" xfId="11393" xr:uid="{CE63F1C0-DE86-472E-9D58-287604226410}"/>
    <cellStyle name="Comma 4 7 6" xfId="2413" xr:uid="{00000000-0005-0000-0000-00007B0A0000}"/>
    <cellStyle name="Comma 4 7 6 2" xfId="6697" xr:uid="{00000000-0005-0000-0000-00007C0A0000}"/>
    <cellStyle name="Comma 4 7 6 2 2" xfId="16023" xr:uid="{A3573728-B3A7-4F8D-89C6-C80C4CC3740B}"/>
    <cellStyle name="Comma 4 7 6 3" xfId="11806" xr:uid="{44652597-27D6-4833-814E-2F23AF262748}"/>
    <cellStyle name="Comma 4 7 7" xfId="2709" xr:uid="{00000000-0005-0000-0000-00007D0A0000}"/>
    <cellStyle name="Comma 4 7 8" xfId="2791" xr:uid="{00000000-0005-0000-0000-00007E0A0000}"/>
    <cellStyle name="Comma 4 7 8 2" xfId="7014" xr:uid="{00000000-0005-0000-0000-00007F0A0000}"/>
    <cellStyle name="Comma 4 7 8 2 2" xfId="16340" xr:uid="{986786E9-9664-441A-9396-27DD8155D7E8}"/>
    <cellStyle name="Comma 4 7 8 3" xfId="12123" xr:uid="{5D38778F-072C-4DFC-8F79-4F9F1A7F2E23}"/>
    <cellStyle name="Comma 4 7 9" xfId="4631" xr:uid="{00000000-0005-0000-0000-0000800A0000}"/>
    <cellStyle name="Comma 4 7 9 2" xfId="13957" xr:uid="{49685312-3249-4535-9A09-698DC15D6A65}"/>
    <cellStyle name="Comma 4 8" xfId="9193" xr:uid="{D2F7B7D5-1187-4B94-96D8-1D61B28E4E34}"/>
    <cellStyle name="Comma 4 9" xfId="8746" xr:uid="{EB6F8E1D-15EE-4A1C-A7FF-36C2A43F5A26}"/>
    <cellStyle name="Comma 4 9 2" xfId="18069" xr:uid="{6A066913-B223-4D7F-B2FE-D43AD368713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3" xr:uid="{CC60175F-BAC2-462D-820D-BE11AFB96BBF}"/>
    <cellStyle name="Comma 7 3" xfId="9589" xr:uid="{E5FB568C-33F4-49EE-BE6E-4022B43BCBB9}"/>
    <cellStyle name="Comma 7 4" xfId="13825" xr:uid="{AB52A14A-77DA-48D4-A600-0B9B9EA37DEF}"/>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57C6735F-32FA-4717-B8B2-EFFF0D08029D}"/>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BF83DF58-B9DD-44ED-93E6-28ECABB70F30}"/>
    <cellStyle name="Currency 14 3 2 2 2 2 3" xfId="18058" xr:uid="{D2775CF7-3551-428C-85B5-F21F1B1C2006}"/>
    <cellStyle name="Currency 14 3 2 2 2 3" xfId="18055" xr:uid="{64B8E496-ACE9-4774-9426-CDE8FCD892B2}"/>
    <cellStyle name="Currency 14 3 2 2 3" xfId="18051" xr:uid="{58F70423-1C86-45CE-B56F-53C0F9DECF36}"/>
    <cellStyle name="Currency 14 3 2 3" xfId="18048" xr:uid="{726C5A1E-E742-44E1-950F-9E579BB4E3CE}"/>
    <cellStyle name="Currency 14 3 3" xfId="18045" xr:uid="{3F732178-F62F-4731-B264-C60A9AB674FB}"/>
    <cellStyle name="Currency 14 4" xfId="13828" xr:uid="{F59AA36E-3E5E-4FC6-9BD5-0F0FABE8109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E2FDC5F3-927A-4809-A71C-8491F90B04D9}"/>
    <cellStyle name="Currency 3 2 2 10 3" xfId="12124" xr:uid="{CE8E239D-91CC-491E-88DC-5F983F6AC6EF}"/>
    <cellStyle name="Currency 3 2 2 11" xfId="4632" xr:uid="{00000000-0005-0000-0000-0000A50A0000}"/>
    <cellStyle name="Currency 3 2 2 11 2" xfId="13958" xr:uid="{783A4AAD-D137-45F9-A9F3-11E7977CE30B}"/>
    <cellStyle name="Currency 3 2 2 12" xfId="8808" xr:uid="{5CD24693-181E-456A-9199-DC057509AC96}"/>
    <cellStyle name="Currency 3 2 2 12 2" xfId="18131" xr:uid="{AABF7F87-992E-4FF2-99A5-ED657D4F2851}"/>
    <cellStyle name="Currency 3 2 2 13" xfId="9741" xr:uid="{F324812A-3805-4BC4-BE69-8567411E13C3}"/>
    <cellStyle name="Currency 3 2 2 2" xfId="179" xr:uid="{00000000-0005-0000-0000-0000A60A0000}"/>
    <cellStyle name="Currency 3 2 2 2 10" xfId="4633" xr:uid="{00000000-0005-0000-0000-0000A70A0000}"/>
    <cellStyle name="Currency 3 2 2 2 10 2" xfId="13959" xr:uid="{EB238F31-3E82-4CB0-A43A-0F01D624BF06}"/>
    <cellStyle name="Currency 3 2 2 2 11" xfId="8911" xr:uid="{177A45F7-B130-49DA-829A-AA3BF41B848C}"/>
    <cellStyle name="Currency 3 2 2 2 11 2" xfId="18234" xr:uid="{8EB07175-ABF2-4E23-9757-C82C5006509E}"/>
    <cellStyle name="Currency 3 2 2 2 12" xfId="9742" xr:uid="{CA34474C-7CA5-427B-BB93-E4CD8DF54789}"/>
    <cellStyle name="Currency 3 2 2 2 2" xfId="180" xr:uid="{00000000-0005-0000-0000-0000A80A0000}"/>
    <cellStyle name="Currency 3 2 2 2 2 10" xfId="9118" xr:uid="{4DDBDF88-B997-49F5-AF34-322CC93508E5}"/>
    <cellStyle name="Currency 3 2 2 2 2 10 2" xfId="18441" xr:uid="{7AFF95EA-AE3E-457A-BD23-C19442F6A671}"/>
    <cellStyle name="Currency 3 2 2 2 2 11" xfId="9743" xr:uid="{4EE82EEC-CD9A-402A-92F4-220836D1E3B3}"/>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C5F55AA3-387B-48D3-8921-E4CB27074675}"/>
    <cellStyle name="Currency 3 2 2 2 2 2 2 3" xfId="12302" xr:uid="{458313A5-687D-4941-AE1E-9E57249AD297}"/>
    <cellStyle name="Currency 3 2 2 2 2 2 3" xfId="5048" xr:uid="{00000000-0005-0000-0000-0000AC0A0000}"/>
    <cellStyle name="Currency 3 2 2 2 2 2 3 2" xfId="14374" xr:uid="{F8C9A146-B03F-403D-944A-AD9AF2E8F236}"/>
    <cellStyle name="Currency 3 2 2 2 2 2 4" xfId="9543" xr:uid="{08990697-BAC1-4B06-A86B-C554A35267E6}"/>
    <cellStyle name="Currency 3 2 2 2 2 2 4 2" xfId="18856" xr:uid="{79030C77-1CF3-4F76-ACAD-7093C31E213D}"/>
    <cellStyle name="Currency 3 2 2 2 2 2 5" xfId="10157" xr:uid="{860A5F73-8AD0-48CA-B85B-FEC76B68988A}"/>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583AF2E3-AA0B-4A1E-9A5F-5699434DBEFF}"/>
    <cellStyle name="Currency 3 2 2 2 2 3 2 3" xfId="12715" xr:uid="{137F3A47-D3AB-4FC1-A78A-B37711C6BB70}"/>
    <cellStyle name="Currency 3 2 2 2 2 3 3" xfId="5461" xr:uid="{00000000-0005-0000-0000-0000B00A0000}"/>
    <cellStyle name="Currency 3 2 2 2 2 3 3 2" xfId="14787" xr:uid="{A9ACFE46-6157-484F-BC17-F864EFB753FE}"/>
    <cellStyle name="Currency 3 2 2 2 2 3 4" xfId="10570" xr:uid="{4D5CBCE6-D9B9-4044-86A8-D9C7136F56D9}"/>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5BDC2FCB-F447-4C50-ACDC-DF21A446513A}"/>
    <cellStyle name="Currency 3 2 2 2 2 4 2 3" xfId="13128" xr:uid="{60EE9BEE-9B43-4460-AFCE-C605D8F184E8}"/>
    <cellStyle name="Currency 3 2 2 2 2 4 3" xfId="5874" xr:uid="{00000000-0005-0000-0000-0000B40A0000}"/>
    <cellStyle name="Currency 3 2 2 2 2 4 3 2" xfId="15200" xr:uid="{47596498-8C36-43D0-9906-6E1A61D554AE}"/>
    <cellStyle name="Currency 3 2 2 2 2 4 4" xfId="10983" xr:uid="{0A97322F-EB04-4922-9B23-B5A151540BB8}"/>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C75F84B2-9ACA-4E91-AF67-BCAB1064AD39}"/>
    <cellStyle name="Currency 3 2 2 2 2 5 2 3" xfId="13541" xr:uid="{F3AC9A35-8447-4392-9DAA-832C9F1F300E}"/>
    <cellStyle name="Currency 3 2 2 2 2 5 3" xfId="6287" xr:uid="{00000000-0005-0000-0000-0000B80A0000}"/>
    <cellStyle name="Currency 3 2 2 2 2 5 3 2" xfId="15613" xr:uid="{9132109C-9E29-4F55-A1F5-869C79EF711B}"/>
    <cellStyle name="Currency 3 2 2 2 2 5 4" xfId="11396" xr:uid="{B025BB20-0202-450D-AD53-3C901EDC3EAE}"/>
    <cellStyle name="Currency 3 2 2 2 2 6" xfId="2416" xr:uid="{00000000-0005-0000-0000-0000B90A0000}"/>
    <cellStyle name="Currency 3 2 2 2 2 6 2" xfId="6700" xr:uid="{00000000-0005-0000-0000-0000BA0A0000}"/>
    <cellStyle name="Currency 3 2 2 2 2 6 2 2" xfId="16026" xr:uid="{3417474E-E578-4DB4-8D68-9939FB02CF93}"/>
    <cellStyle name="Currency 3 2 2 2 2 6 3" xfId="11809" xr:uid="{EAF89E04-95C6-4A0E-9D2D-4DF24D3A475C}"/>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71EFC3A0-1574-447D-ADFA-CCF5C6779F77}"/>
    <cellStyle name="Currency 3 2 2 2 2 8 3" xfId="12126" xr:uid="{2C23FB79-619D-42D2-AC74-AC7D929D5A79}"/>
    <cellStyle name="Currency 3 2 2 2 2 9" xfId="4634" xr:uid="{00000000-0005-0000-0000-0000BE0A0000}"/>
    <cellStyle name="Currency 3 2 2 2 2 9 2" xfId="13960" xr:uid="{AB750AF1-B46B-49D5-8A21-AE6266781387}"/>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8D68F66D-2066-40CB-84B8-D335623D64FF}"/>
    <cellStyle name="Currency 3 2 2 2 3 2 3" xfId="12301" xr:uid="{F33166B1-89E0-4832-9CFF-FC0BF1F7DA4C}"/>
    <cellStyle name="Currency 3 2 2 2 3 3" xfId="5047" xr:uid="{00000000-0005-0000-0000-0000C20A0000}"/>
    <cellStyle name="Currency 3 2 2 2 3 3 2" xfId="14373" xr:uid="{F5E9A2A9-3B7E-4537-B1A8-743603F1F0F2}"/>
    <cellStyle name="Currency 3 2 2 2 3 4" xfId="9336" xr:uid="{F86D5454-A503-484B-B8F3-81FF219E49D0}"/>
    <cellStyle name="Currency 3 2 2 2 3 4 2" xfId="18649" xr:uid="{4A77EC36-082B-4500-A20B-8A54B1FBBE42}"/>
    <cellStyle name="Currency 3 2 2 2 3 5" xfId="10156" xr:uid="{D28E1113-2A77-4715-AF74-E0E3DDF22647}"/>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4314B62D-5FE3-4D0D-A56E-718D7E08605A}"/>
    <cellStyle name="Currency 3 2 2 2 4 2 3" xfId="12714" xr:uid="{62EBDD6A-79D3-4B69-8BF0-914C7E25BAA3}"/>
    <cellStyle name="Currency 3 2 2 2 4 3" xfId="5460" xr:uid="{00000000-0005-0000-0000-0000C60A0000}"/>
    <cellStyle name="Currency 3 2 2 2 4 3 2" xfId="14786" xr:uid="{E75784E0-9207-4B61-97DA-6ED1D798706D}"/>
    <cellStyle name="Currency 3 2 2 2 4 4" xfId="10569" xr:uid="{FF929DE2-0F39-40B2-9AB0-267A20420B79}"/>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E1B9EB35-228B-4828-A32C-4DDCBF6F9CC5}"/>
    <cellStyle name="Currency 3 2 2 2 5 2 3" xfId="13127" xr:uid="{4A013F40-E3CF-495D-9E2F-31FF9AF60D16}"/>
    <cellStyle name="Currency 3 2 2 2 5 3" xfId="5873" xr:uid="{00000000-0005-0000-0000-0000CA0A0000}"/>
    <cellStyle name="Currency 3 2 2 2 5 3 2" xfId="15199" xr:uid="{D40E7CC0-5321-4F16-996E-42D0EE520C87}"/>
    <cellStyle name="Currency 3 2 2 2 5 4" xfId="10982" xr:uid="{3BF4FE4A-99F4-49DA-A1E5-CF0B9CD3FD4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03C056DB-C2A4-4B59-8EB8-FE83F5B4BDE3}"/>
    <cellStyle name="Currency 3 2 2 2 6 2 3" xfId="13540" xr:uid="{4B80EAA8-54E0-4DC7-9A91-FD452BC53C4B}"/>
    <cellStyle name="Currency 3 2 2 2 6 3" xfId="6286" xr:uid="{00000000-0005-0000-0000-0000CE0A0000}"/>
    <cellStyle name="Currency 3 2 2 2 6 3 2" xfId="15612" xr:uid="{2963A24C-1550-4FE9-A353-EC679E1555CF}"/>
    <cellStyle name="Currency 3 2 2 2 6 4" xfId="11395" xr:uid="{41C96154-5561-4F0D-A2C6-A8FEA3D3B2D4}"/>
    <cellStyle name="Currency 3 2 2 2 7" xfId="2415" xr:uid="{00000000-0005-0000-0000-0000CF0A0000}"/>
    <cellStyle name="Currency 3 2 2 2 7 2" xfId="6699" xr:uid="{00000000-0005-0000-0000-0000D00A0000}"/>
    <cellStyle name="Currency 3 2 2 2 7 2 2" xfId="16025" xr:uid="{C303582B-8128-4C3C-94E3-5C2219AE9783}"/>
    <cellStyle name="Currency 3 2 2 2 7 3" xfId="11808" xr:uid="{0FC878B3-D0B1-4207-BBFA-123D7EB1B27F}"/>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FFF410A2-03E6-4EB1-B0D3-21497679BD5A}"/>
    <cellStyle name="Currency 3 2 2 2 9 3" xfId="12125" xr:uid="{87379184-5D00-49D8-9CEA-AE2A43FA8FB3}"/>
    <cellStyle name="Currency 3 2 2 3" xfId="181" xr:uid="{00000000-0005-0000-0000-0000D40A0000}"/>
    <cellStyle name="Currency 3 2 2 3 10" xfId="9015" xr:uid="{A1C3FAFC-6FB9-45C5-A279-C90E61794A63}"/>
    <cellStyle name="Currency 3 2 2 3 10 2" xfId="18338" xr:uid="{0184BE3E-E48C-496A-970F-3BEA0594C5D8}"/>
    <cellStyle name="Currency 3 2 2 3 11" xfId="9744" xr:uid="{252B1D52-492B-4332-9EFC-96A3D5A1040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8B4A6403-1130-4CC8-A0D2-5FC2AF003218}"/>
    <cellStyle name="Currency 3 2 2 3 2 2 3" xfId="12303" xr:uid="{8AA1FC3B-C01E-477D-8819-59E25A8FB762}"/>
    <cellStyle name="Currency 3 2 2 3 2 3" xfId="5049" xr:uid="{00000000-0005-0000-0000-0000D80A0000}"/>
    <cellStyle name="Currency 3 2 2 3 2 3 2" xfId="14375" xr:uid="{5BCA0AF7-A842-46E8-BF0B-C7C276CDA957}"/>
    <cellStyle name="Currency 3 2 2 3 2 4" xfId="9440" xr:uid="{774D5512-BCA5-4224-A909-3336A63369C8}"/>
    <cellStyle name="Currency 3 2 2 3 2 4 2" xfId="18753" xr:uid="{27A44E70-BE90-45F5-89A7-466B153D25A1}"/>
    <cellStyle name="Currency 3 2 2 3 2 5" xfId="10158" xr:uid="{3FA74BD0-7C93-4D62-B40D-830CCEFD83AE}"/>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A5D6B8D2-F005-43C5-91AA-F0EA9DE26F6B}"/>
    <cellStyle name="Currency 3 2 2 3 3 2 3" xfId="12716" xr:uid="{5AE8A990-AFF7-4E24-90B4-3CFBF24B0DAC}"/>
    <cellStyle name="Currency 3 2 2 3 3 3" xfId="5462" xr:uid="{00000000-0005-0000-0000-0000DC0A0000}"/>
    <cellStyle name="Currency 3 2 2 3 3 3 2" xfId="14788" xr:uid="{FDF73E84-8088-4ACF-A830-4A23441A5E7E}"/>
    <cellStyle name="Currency 3 2 2 3 3 4" xfId="10571" xr:uid="{7893B727-A331-4C92-99F8-E9F5C91BF298}"/>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92AFA09B-D786-4ACF-9A7A-B5FE5286E94B}"/>
    <cellStyle name="Currency 3 2 2 3 4 2 3" xfId="13129" xr:uid="{0F5DC2C7-A9FA-4DE2-8EC5-2DE2BC66B698}"/>
    <cellStyle name="Currency 3 2 2 3 4 3" xfId="5875" xr:uid="{00000000-0005-0000-0000-0000E00A0000}"/>
    <cellStyle name="Currency 3 2 2 3 4 3 2" xfId="15201" xr:uid="{0919D398-40F0-4D7E-886A-C38F88D36451}"/>
    <cellStyle name="Currency 3 2 2 3 4 4" xfId="10984" xr:uid="{F682D5BD-98DE-40D3-B88E-70693CA99B08}"/>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9B00E85F-817F-41FC-8492-C9E6C43CE806}"/>
    <cellStyle name="Currency 3 2 2 3 5 2 3" xfId="13542" xr:uid="{37339FE0-8F17-4BAB-B924-7A4F2629D784}"/>
    <cellStyle name="Currency 3 2 2 3 5 3" xfId="6288" xr:uid="{00000000-0005-0000-0000-0000E40A0000}"/>
    <cellStyle name="Currency 3 2 2 3 5 3 2" xfId="15614" xr:uid="{A3BD9A0D-6E64-4C58-B39D-0E3C7D85AC01}"/>
    <cellStyle name="Currency 3 2 2 3 5 4" xfId="11397" xr:uid="{8755D7EF-921A-48C7-B7EA-5B0B0FEDB5DE}"/>
    <cellStyle name="Currency 3 2 2 3 6" xfId="2417" xr:uid="{00000000-0005-0000-0000-0000E50A0000}"/>
    <cellStyle name="Currency 3 2 2 3 6 2" xfId="6701" xr:uid="{00000000-0005-0000-0000-0000E60A0000}"/>
    <cellStyle name="Currency 3 2 2 3 6 2 2" xfId="16027" xr:uid="{A9709FC8-B3B3-4EBE-ACC6-5600D60B7D6A}"/>
    <cellStyle name="Currency 3 2 2 3 6 3" xfId="11810" xr:uid="{DDA4AAF9-FBF8-46D2-9AD2-DB262DF684D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B81EB0EF-3280-406E-ADDB-44665C3E1896}"/>
    <cellStyle name="Currency 3 2 2 3 8 3" xfId="12127" xr:uid="{1D5EF3AF-41CD-478E-B646-B345BCD62F7F}"/>
    <cellStyle name="Currency 3 2 2 3 9" xfId="4635" xr:uid="{00000000-0005-0000-0000-0000EA0A0000}"/>
    <cellStyle name="Currency 3 2 2 3 9 2" xfId="13961" xr:uid="{415987A2-CA7D-478D-A031-E58CE538799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55E379F5-CD8C-4244-9A0E-9FE4C4465FAD}"/>
    <cellStyle name="Currency 3 2 2 4 2 3" xfId="12300" xr:uid="{A556B02C-47F5-41C6-9D9A-71C7E106659A}"/>
    <cellStyle name="Currency 3 2 2 4 3" xfId="5046" xr:uid="{00000000-0005-0000-0000-0000EE0A0000}"/>
    <cellStyle name="Currency 3 2 2 4 3 2" xfId="14372" xr:uid="{44A4D4C5-DB7E-40DB-AF67-C39A5B55245F}"/>
    <cellStyle name="Currency 3 2 2 4 4" xfId="9233" xr:uid="{A90843BF-65B1-48E5-9C93-A2651D7B4B13}"/>
    <cellStyle name="Currency 3 2 2 4 4 2" xfId="18546" xr:uid="{D1DFB9A5-E251-4968-B01C-8D631C8583E7}"/>
    <cellStyle name="Currency 3 2 2 4 5" xfId="10155" xr:uid="{F22D5EE6-E016-4B3E-8398-94716D6EB096}"/>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67A0B2A7-154D-469A-8AF8-F8920E2745DC}"/>
    <cellStyle name="Currency 3 2 2 5 2 3" xfId="12713" xr:uid="{5D76A4DF-32B9-42F6-B8B8-F2EB098BC777}"/>
    <cellStyle name="Currency 3 2 2 5 3" xfId="5459" xr:uid="{00000000-0005-0000-0000-0000F20A0000}"/>
    <cellStyle name="Currency 3 2 2 5 3 2" xfId="14785" xr:uid="{5ACAAA4B-6187-4310-83F3-8F79379B18E6}"/>
    <cellStyle name="Currency 3 2 2 5 4" xfId="10568" xr:uid="{712F37EE-87BC-4499-8A53-6ADAAC778FE8}"/>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A5661899-AAA0-4014-BC20-9551B8BE9399}"/>
    <cellStyle name="Currency 3 2 2 6 2 3" xfId="13126" xr:uid="{1E458223-FD35-45BC-A30C-3A91AC9BA71C}"/>
    <cellStyle name="Currency 3 2 2 6 3" xfId="5872" xr:uid="{00000000-0005-0000-0000-0000F60A0000}"/>
    <cellStyle name="Currency 3 2 2 6 3 2" xfId="15198" xr:uid="{F37D7832-C6CD-487E-9B51-D246E495CC5B}"/>
    <cellStyle name="Currency 3 2 2 6 4" xfId="10981" xr:uid="{E32B42E9-0E9A-4415-803A-DE381040247A}"/>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B552ABA7-3A3D-4A75-B5AF-E05C034427A7}"/>
    <cellStyle name="Currency 3 2 2 7 2 3" xfId="13539" xr:uid="{12E131F7-4053-4ACF-A76B-DB0A5C7FF577}"/>
    <cellStyle name="Currency 3 2 2 7 3" xfId="6285" xr:uid="{00000000-0005-0000-0000-0000FA0A0000}"/>
    <cellStyle name="Currency 3 2 2 7 3 2" xfId="15611" xr:uid="{319AB6A3-C465-4851-B0B0-D326B1A7DC75}"/>
    <cellStyle name="Currency 3 2 2 7 4" xfId="11394" xr:uid="{2C0C7B50-37D0-409F-BD09-899C6BA24549}"/>
    <cellStyle name="Currency 3 2 2 8" xfId="2414" xr:uid="{00000000-0005-0000-0000-0000FB0A0000}"/>
    <cellStyle name="Currency 3 2 2 8 2" xfId="6698" xr:uid="{00000000-0005-0000-0000-0000FC0A0000}"/>
    <cellStyle name="Currency 3 2 2 8 2 2" xfId="16024" xr:uid="{8A39C902-FEB0-41F9-94D9-D5529A8D1C81}"/>
    <cellStyle name="Currency 3 2 2 8 3" xfId="11807" xr:uid="{F937EAE8-19CA-4865-B3DA-77F0688739CC}"/>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BB391E6C-D13A-46CA-BCDE-949B9A93B20C}"/>
    <cellStyle name="Currency 3 2 3 11" xfId="8893" xr:uid="{8CE28714-D587-402C-9A17-1A08799662D4}"/>
    <cellStyle name="Currency 3 2 3 11 2" xfId="18216" xr:uid="{5F3403A8-CC0F-48F5-916D-CAA26A3370A5}"/>
    <cellStyle name="Currency 3 2 3 12" xfId="9745" xr:uid="{40D725A7-0CEE-4087-B89C-350D96CF536F}"/>
    <cellStyle name="Currency 3 2 3 2" xfId="183" xr:uid="{00000000-0005-0000-0000-0000000B0000}"/>
    <cellStyle name="Currency 3 2 3 2 10" xfId="9100" xr:uid="{CEBE1F40-0923-46C6-AB84-DD4DAB20CD81}"/>
    <cellStyle name="Currency 3 2 3 2 10 2" xfId="18423" xr:uid="{1EB32B1B-5C12-4B0D-8383-FBA455284D82}"/>
    <cellStyle name="Currency 3 2 3 2 11" xfId="9746" xr:uid="{97FF8DB4-DC30-47C4-BAEC-1E0E77DE39CD}"/>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7E653FE5-9027-4D15-80E5-2627B8BD5DB4}"/>
    <cellStyle name="Currency 3 2 3 2 2 2 3" xfId="12305" xr:uid="{DBFEACCA-FFCC-41C3-B6A0-5A114F1E46B9}"/>
    <cellStyle name="Currency 3 2 3 2 2 3" xfId="5051" xr:uid="{00000000-0005-0000-0000-0000040B0000}"/>
    <cellStyle name="Currency 3 2 3 2 2 3 2" xfId="14377" xr:uid="{205EAED0-0449-4DE1-8146-AFC07B2CE419}"/>
    <cellStyle name="Currency 3 2 3 2 2 4" xfId="9525" xr:uid="{759374BA-DDD8-4F33-9655-B300986F8700}"/>
    <cellStyle name="Currency 3 2 3 2 2 4 2" xfId="18838" xr:uid="{E24566E3-13BF-4291-86D4-C68121BAE6BE}"/>
    <cellStyle name="Currency 3 2 3 2 2 5" xfId="10160" xr:uid="{8C3D3764-979B-4424-8273-54EFF2EDF06F}"/>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66F6333A-C6DA-4224-8C01-24D358A8BDC9}"/>
    <cellStyle name="Currency 3 2 3 2 3 2 3" xfId="12718" xr:uid="{4D850B61-E59B-4525-8150-4F05BD5CC968}"/>
    <cellStyle name="Currency 3 2 3 2 3 3" xfId="5464" xr:uid="{00000000-0005-0000-0000-0000080B0000}"/>
    <cellStyle name="Currency 3 2 3 2 3 3 2" xfId="14790" xr:uid="{1A940EA9-D593-4DE1-BC5B-D663735019D5}"/>
    <cellStyle name="Currency 3 2 3 2 3 4" xfId="10573" xr:uid="{5FA08502-523C-491D-8270-81FA632E332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CC296083-8ECF-4713-91CF-364964942EE7}"/>
    <cellStyle name="Currency 3 2 3 2 4 2 3" xfId="13131" xr:uid="{180E7139-19E0-4541-877C-94C6376F68A6}"/>
    <cellStyle name="Currency 3 2 3 2 4 3" xfId="5877" xr:uid="{00000000-0005-0000-0000-00000C0B0000}"/>
    <cellStyle name="Currency 3 2 3 2 4 3 2" xfId="15203" xr:uid="{13A5BAF7-860C-4D94-99E3-25FA2377E6E4}"/>
    <cellStyle name="Currency 3 2 3 2 4 4" xfId="10986" xr:uid="{CD20C16C-0F92-4B7D-B3FC-8B044044768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1A7040FA-8FA8-47BE-8B4E-527B9F194EDC}"/>
    <cellStyle name="Currency 3 2 3 2 5 2 3" xfId="13544" xr:uid="{31B16E2F-F5F2-489D-8DFB-245CD0826A2F}"/>
    <cellStyle name="Currency 3 2 3 2 5 3" xfId="6290" xr:uid="{00000000-0005-0000-0000-0000100B0000}"/>
    <cellStyle name="Currency 3 2 3 2 5 3 2" xfId="15616" xr:uid="{0DB24056-35F9-46A4-A4C0-708A11F98F99}"/>
    <cellStyle name="Currency 3 2 3 2 5 4" xfId="11399" xr:uid="{0206083F-87EE-4660-9BB9-2568EDB05B7D}"/>
    <cellStyle name="Currency 3 2 3 2 6" xfId="2419" xr:uid="{00000000-0005-0000-0000-0000110B0000}"/>
    <cellStyle name="Currency 3 2 3 2 6 2" xfId="6703" xr:uid="{00000000-0005-0000-0000-0000120B0000}"/>
    <cellStyle name="Currency 3 2 3 2 6 2 2" xfId="16029" xr:uid="{02B03EDE-A9D4-4A10-AF1B-3FCBA660C5D0}"/>
    <cellStyle name="Currency 3 2 3 2 6 3" xfId="11812" xr:uid="{CBFE7187-606D-4E3A-B6E4-BE5780834556}"/>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8F858AEE-DD6F-4C03-933F-40AA90AA969C}"/>
    <cellStyle name="Currency 3 2 3 2 8 3" xfId="12129" xr:uid="{D2D7699E-F75D-42AB-B4DD-DB0AE8B66753}"/>
    <cellStyle name="Currency 3 2 3 2 9" xfId="4637" xr:uid="{00000000-0005-0000-0000-0000160B0000}"/>
    <cellStyle name="Currency 3 2 3 2 9 2" xfId="13963" xr:uid="{9104EE39-1E04-47A6-B401-F797CBDCA8CF}"/>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705F6848-A626-4682-9F52-D8EFD72E27F4}"/>
    <cellStyle name="Currency 3 2 3 3 2 3" xfId="12304" xr:uid="{44DDE2B1-6A96-4054-A09F-69F8BBD48EE0}"/>
    <cellStyle name="Currency 3 2 3 3 3" xfId="5050" xr:uid="{00000000-0005-0000-0000-00001A0B0000}"/>
    <cellStyle name="Currency 3 2 3 3 3 2" xfId="14376" xr:uid="{364B0ADB-7152-42FA-9A1C-D11CAD222F18}"/>
    <cellStyle name="Currency 3 2 3 3 4" xfId="9318" xr:uid="{AA73873E-8E72-4FDE-A22E-F5D80E2A87B1}"/>
    <cellStyle name="Currency 3 2 3 3 4 2" xfId="18631" xr:uid="{7A58AE1E-8A83-4D31-9E9F-85895A932E25}"/>
    <cellStyle name="Currency 3 2 3 3 5" xfId="10159" xr:uid="{C81FBAE6-9189-4435-B074-FCCC432C7FBE}"/>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9C2CF026-D0D4-49D2-97A3-0EF26C097049}"/>
    <cellStyle name="Currency 3 2 3 4 2 3" xfId="12717" xr:uid="{E7A20F62-E5B4-4E9B-B501-7443B3FDFE80}"/>
    <cellStyle name="Currency 3 2 3 4 3" xfId="5463" xr:uid="{00000000-0005-0000-0000-00001E0B0000}"/>
    <cellStyle name="Currency 3 2 3 4 3 2" xfId="14789" xr:uid="{70C1D962-9199-4453-8F59-72F8E1D62B2D}"/>
    <cellStyle name="Currency 3 2 3 4 4" xfId="10572" xr:uid="{EF6D322F-4FDE-4F6E-9786-A557751CACCD}"/>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9D047E44-ACE6-4CB1-9B69-BBB0AE9C98A4}"/>
    <cellStyle name="Currency 3 2 3 5 2 3" xfId="13130" xr:uid="{FCD0604A-6170-42B5-925F-7A9BBE864204}"/>
    <cellStyle name="Currency 3 2 3 5 3" xfId="5876" xr:uid="{00000000-0005-0000-0000-0000220B0000}"/>
    <cellStyle name="Currency 3 2 3 5 3 2" xfId="15202" xr:uid="{736C3451-7EEF-4EAD-8415-5AF705EB7790}"/>
    <cellStyle name="Currency 3 2 3 5 4" xfId="10985" xr:uid="{B9CFF63C-B82E-4E80-BE1C-5A235C185414}"/>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2BA03173-7064-45B3-97AD-9CBE0F5B4DEB}"/>
    <cellStyle name="Currency 3 2 3 6 2 3" xfId="13543" xr:uid="{8592565B-E384-4484-842B-BF66366D162D}"/>
    <cellStyle name="Currency 3 2 3 6 3" xfId="6289" xr:uid="{00000000-0005-0000-0000-0000260B0000}"/>
    <cellStyle name="Currency 3 2 3 6 3 2" xfId="15615" xr:uid="{1B5DD8CD-DA71-449B-B6B8-27B6E32C4353}"/>
    <cellStyle name="Currency 3 2 3 6 4" xfId="11398" xr:uid="{F53A66C3-D781-4EE9-B1A2-31208706C4D9}"/>
    <cellStyle name="Currency 3 2 3 7" xfId="2418" xr:uid="{00000000-0005-0000-0000-0000270B0000}"/>
    <cellStyle name="Currency 3 2 3 7 2" xfId="6702" xr:uid="{00000000-0005-0000-0000-0000280B0000}"/>
    <cellStyle name="Currency 3 2 3 7 2 2" xfId="16028" xr:uid="{B2CD095A-03B3-4275-922A-E637E8D8FD9A}"/>
    <cellStyle name="Currency 3 2 3 7 3" xfId="11811" xr:uid="{E02124D2-261D-4EFC-997B-E95F95A83966}"/>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201D6B87-6F78-46BA-8001-CB15F93019C7}"/>
    <cellStyle name="Currency 3 2 3 9 3" xfId="12128" xr:uid="{2B8CEEC9-DB01-4E7C-91B8-B2D29EED4785}"/>
    <cellStyle name="Currency 3 2 4" xfId="184" xr:uid="{00000000-0005-0000-0000-00002C0B0000}"/>
    <cellStyle name="Currency 3 2 4 10" xfId="8997" xr:uid="{DF9FC022-A382-4135-990F-F43A472E13BA}"/>
    <cellStyle name="Currency 3 2 4 10 2" xfId="18320" xr:uid="{3E799727-5BE9-4F5F-9460-CCDADC87A347}"/>
    <cellStyle name="Currency 3 2 4 11" xfId="9747" xr:uid="{C172B62D-8F6E-41F4-9E92-4D2DAC9CFED1}"/>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FB017B1C-C372-4DA0-BB7F-8F6DF5049982}"/>
    <cellStyle name="Currency 3 2 4 2 2 3" xfId="12306" xr:uid="{35974565-35ED-4E03-9122-DF88B4FBDEDA}"/>
    <cellStyle name="Currency 3 2 4 2 3" xfId="5052" xr:uid="{00000000-0005-0000-0000-0000300B0000}"/>
    <cellStyle name="Currency 3 2 4 2 3 2" xfId="14378" xr:uid="{4E523F8C-6B49-4375-AD57-8C26B04F20B1}"/>
    <cellStyle name="Currency 3 2 4 2 4" xfId="9422" xr:uid="{3049B7CE-611E-437A-AD0B-2E3AA5E2E50D}"/>
    <cellStyle name="Currency 3 2 4 2 4 2" xfId="18735" xr:uid="{194FD4CA-17AB-48E2-BAED-D97535CE51B4}"/>
    <cellStyle name="Currency 3 2 4 2 5" xfId="10161" xr:uid="{D0F0DE11-A9E9-48F7-83AA-7D2BEB93F27C}"/>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7C759B41-AB13-4BAB-BBC2-FAF887A8558A}"/>
    <cellStyle name="Currency 3 2 4 3 2 3" xfId="12719" xr:uid="{CA98462B-11AF-4902-9AD0-95E1BD2367DA}"/>
    <cellStyle name="Currency 3 2 4 3 3" xfId="5465" xr:uid="{00000000-0005-0000-0000-0000340B0000}"/>
    <cellStyle name="Currency 3 2 4 3 3 2" xfId="14791" xr:uid="{5F891336-5492-4AB4-8F0A-9F210EAE4177}"/>
    <cellStyle name="Currency 3 2 4 3 4" xfId="10574" xr:uid="{61A2A05F-7719-4666-9023-9B10AF3F9646}"/>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94A648A-28EA-4824-81C5-4D9DF9FCC619}"/>
    <cellStyle name="Currency 3 2 4 4 2 3" xfId="13132" xr:uid="{AFC0EB24-3B67-49E2-850F-0A8C6AA6A8C6}"/>
    <cellStyle name="Currency 3 2 4 4 3" xfId="5878" xr:uid="{00000000-0005-0000-0000-0000380B0000}"/>
    <cellStyle name="Currency 3 2 4 4 3 2" xfId="15204" xr:uid="{A74F3370-D15A-45FA-9C63-0316D9BC6004}"/>
    <cellStyle name="Currency 3 2 4 4 4" xfId="10987" xr:uid="{71BF59EA-A4CC-494A-BE73-DFFFFF355E76}"/>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4144DAD8-D009-434C-ADC5-44D07D3626DF}"/>
    <cellStyle name="Currency 3 2 4 5 2 3" xfId="13545" xr:uid="{B0603A94-8C8F-4C52-B12F-520146C4877F}"/>
    <cellStyle name="Currency 3 2 4 5 3" xfId="6291" xr:uid="{00000000-0005-0000-0000-00003C0B0000}"/>
    <cellStyle name="Currency 3 2 4 5 3 2" xfId="15617" xr:uid="{CDD68396-0D85-47A4-8C03-4DAFE76A2728}"/>
    <cellStyle name="Currency 3 2 4 5 4" xfId="11400" xr:uid="{9F28A775-CEFF-4092-A975-D99AD7CD17AC}"/>
    <cellStyle name="Currency 3 2 4 6" xfId="2420" xr:uid="{00000000-0005-0000-0000-00003D0B0000}"/>
    <cellStyle name="Currency 3 2 4 6 2" xfId="6704" xr:uid="{00000000-0005-0000-0000-00003E0B0000}"/>
    <cellStyle name="Currency 3 2 4 6 2 2" xfId="16030" xr:uid="{103AF61F-D5A8-496D-8F6E-450D0C16E786}"/>
    <cellStyle name="Currency 3 2 4 6 3" xfId="11813" xr:uid="{01037F3B-1D70-422D-A722-FEB9F248156D}"/>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A31380EE-7EA4-4974-8ED9-AA7B95B22819}"/>
    <cellStyle name="Currency 3 2 4 8 3" xfId="12130" xr:uid="{0E1C7858-A60B-4D28-B992-C5AB9802B3F8}"/>
    <cellStyle name="Currency 3 2 4 9" xfId="4638" xr:uid="{00000000-0005-0000-0000-0000420B0000}"/>
    <cellStyle name="Currency 3 2 4 9 2" xfId="13964" xr:uid="{2EDC448E-3880-45C6-8131-746F0C938C20}"/>
    <cellStyle name="Currency 3 2 5" xfId="185" xr:uid="{00000000-0005-0000-0000-0000430B0000}"/>
    <cellStyle name="Currency 3 2 5 10" xfId="9214" xr:uid="{3D0A867F-0B9D-4759-A509-3EC1084E197B}"/>
    <cellStyle name="Currency 3 2 5 10 2" xfId="18528" xr:uid="{88435EFF-923F-4D02-82E2-ECF1C2287F81}"/>
    <cellStyle name="Currency 3 2 5 11" xfId="9748" xr:uid="{1630965C-8ECD-4F42-AC7E-9B6CF149E839}"/>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52779C72-2C5E-45F5-BA39-39E52D388E71}"/>
    <cellStyle name="Currency 3 2 5 2 2 3" xfId="12307" xr:uid="{D8EFA2C8-E2F2-4A0D-9AAD-CCF84E0DDAEA}"/>
    <cellStyle name="Currency 3 2 5 2 3" xfId="5053" xr:uid="{00000000-0005-0000-0000-0000470B0000}"/>
    <cellStyle name="Currency 3 2 5 2 3 2" xfId="14379" xr:uid="{D586D3C5-92E0-4FF5-A16E-0363E4480F83}"/>
    <cellStyle name="Currency 3 2 5 2 4" xfId="9597" xr:uid="{6E2F978E-96E4-4AD8-B4BD-1BE9D7E96A2F}"/>
    <cellStyle name="Currency 3 2 5 2 4 2" xfId="18899" xr:uid="{093FB39B-CB2C-42F8-BA40-E7A41BEBDE57}"/>
    <cellStyle name="Currency 3 2 5 2 5" xfId="10162" xr:uid="{38ACADC8-3407-418B-93D6-577A1ADFB00C}"/>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59D28AF2-CB7E-4EA8-995B-2BE65F2D5675}"/>
    <cellStyle name="Currency 3 2 5 3 2 3" xfId="12720" xr:uid="{F1700966-276C-416C-9025-EB1A322B494B}"/>
    <cellStyle name="Currency 3 2 5 3 3" xfId="5466" xr:uid="{00000000-0005-0000-0000-00004B0B0000}"/>
    <cellStyle name="Currency 3 2 5 3 3 2" xfId="14792" xr:uid="{48CB4E24-F900-4814-8AF4-A6142C41F8E6}"/>
    <cellStyle name="Currency 3 2 5 3 4" xfId="10575" xr:uid="{7EFB3517-B663-4E3F-8896-5CDC1A1EC783}"/>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A7EDA6E5-5732-4A1F-ABA6-F89F437D5023}"/>
    <cellStyle name="Currency 3 2 5 4 2 3" xfId="13133" xr:uid="{2BB79A0A-A445-42CE-8E67-46F65B67590E}"/>
    <cellStyle name="Currency 3 2 5 4 3" xfId="5879" xr:uid="{00000000-0005-0000-0000-00004F0B0000}"/>
    <cellStyle name="Currency 3 2 5 4 3 2" xfId="15205" xr:uid="{5EEBD38D-A5FA-4DE5-8E8F-AFB6B897DEBF}"/>
    <cellStyle name="Currency 3 2 5 4 4" xfId="10988" xr:uid="{4FCBA1ED-19BE-467F-AFC0-E283D753280C}"/>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B0EAA4D9-CA8D-475C-9C83-1C067988796D}"/>
    <cellStyle name="Currency 3 2 5 5 2 3" xfId="13546" xr:uid="{24E175E8-790F-44BE-A41B-30B450CD819B}"/>
    <cellStyle name="Currency 3 2 5 5 3" xfId="6292" xr:uid="{00000000-0005-0000-0000-0000530B0000}"/>
    <cellStyle name="Currency 3 2 5 5 3 2" xfId="15618" xr:uid="{B4FE1B93-5987-4BFA-9A4C-37FA547130AD}"/>
    <cellStyle name="Currency 3 2 5 5 4" xfId="11401" xr:uid="{C85EB793-60E8-4637-A79A-3A9C20B88A28}"/>
    <cellStyle name="Currency 3 2 5 6" xfId="2421" xr:uid="{00000000-0005-0000-0000-0000540B0000}"/>
    <cellStyle name="Currency 3 2 5 6 2" xfId="6705" xr:uid="{00000000-0005-0000-0000-0000550B0000}"/>
    <cellStyle name="Currency 3 2 5 6 2 2" xfId="16031" xr:uid="{D572EBF3-D883-4E88-B108-12437F87B0E2}"/>
    <cellStyle name="Currency 3 2 5 6 3" xfId="11814" xr:uid="{39FC280D-CFF5-4AA8-AEB9-7BA37D7C977E}"/>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D322EAE4-714B-45F9-A42B-6A439DB5BD6F}"/>
    <cellStyle name="Currency 3 2 5 8 3" xfId="12131" xr:uid="{6B2BA116-23B8-470D-850A-BBABD8C0E0CB}"/>
    <cellStyle name="Currency 3 2 5 9" xfId="4639" xr:uid="{00000000-0005-0000-0000-0000590B0000}"/>
    <cellStyle name="Currency 3 2 5 9 2" xfId="13965" xr:uid="{34D3680E-704E-467C-84DC-FFB3C1D79961}"/>
    <cellStyle name="Currency 3 2 6" xfId="9583" xr:uid="{653EC571-6DFB-4D44-8156-8097E74D2DD4}"/>
    <cellStyle name="Currency 3 2 7" xfId="8790" xr:uid="{4F16186C-C154-4E9A-B12A-0E13D64C3701}"/>
    <cellStyle name="Currency 3 2 7 2" xfId="18113" xr:uid="{ACC637F6-C1B7-4E7E-A59E-92189CF6E52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BD227573-B4E6-41D8-AFAC-C4E704A258EA}"/>
    <cellStyle name="Currency 5 2 2 2 10 3" xfId="12132" xr:uid="{11F690F5-01F1-469E-B163-3B3E861E72DD}"/>
    <cellStyle name="Currency 5 2 2 2 11" xfId="4640" xr:uid="{00000000-0005-0000-0000-00006C0B0000}"/>
    <cellStyle name="Currency 5 2 2 2 11 2" xfId="13966" xr:uid="{699BF741-05E0-4ACB-834C-5608DF78F701}"/>
    <cellStyle name="Currency 5 2 2 2 12" xfId="8809" xr:uid="{6E2B58BA-BC61-49BF-A0FE-5BC79A050654}"/>
    <cellStyle name="Currency 5 2 2 2 12 2" xfId="18132" xr:uid="{D9C1ADB4-8E4F-4188-A9E1-FB1292FA263D}"/>
    <cellStyle name="Currency 5 2 2 2 13" xfId="9749" xr:uid="{36A6630F-1F3D-4B53-9E72-0A8DFCAA5185}"/>
    <cellStyle name="Currency 5 2 2 2 2" xfId="197" xr:uid="{00000000-0005-0000-0000-00006D0B0000}"/>
    <cellStyle name="Currency 5 2 2 2 2 10" xfId="4641" xr:uid="{00000000-0005-0000-0000-00006E0B0000}"/>
    <cellStyle name="Currency 5 2 2 2 2 10 2" xfId="13967" xr:uid="{B49CB75B-E033-4527-9B46-BB865A355828}"/>
    <cellStyle name="Currency 5 2 2 2 2 11" xfId="8912" xr:uid="{4079D27E-F98B-4445-AE20-FFD848158756}"/>
    <cellStyle name="Currency 5 2 2 2 2 11 2" xfId="18235" xr:uid="{236F60AA-FD34-4F64-B2E6-3EFC9C0025FB}"/>
    <cellStyle name="Currency 5 2 2 2 2 12" xfId="9750" xr:uid="{DF2EF486-0A5A-431C-8CBB-18E1A7DF66E1}"/>
    <cellStyle name="Currency 5 2 2 2 2 2" xfId="198" xr:uid="{00000000-0005-0000-0000-00006F0B0000}"/>
    <cellStyle name="Currency 5 2 2 2 2 2 10" xfId="9119" xr:uid="{2B97CFE9-E9FD-476D-A341-C695293642F3}"/>
    <cellStyle name="Currency 5 2 2 2 2 2 10 2" xfId="18442" xr:uid="{84A1622A-E029-4124-87FB-F6BEC1AD49DB}"/>
    <cellStyle name="Currency 5 2 2 2 2 2 11" xfId="9751" xr:uid="{6AD61D13-FCE9-4C89-931A-D147E89E1C09}"/>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C4EDBF4D-6A75-4C0C-8BBA-B8CEE94ACA49}"/>
    <cellStyle name="Currency 5 2 2 2 2 2 2 2 3" xfId="12310" xr:uid="{C612DBA4-1FAF-49EB-880B-829AA19E00DB}"/>
    <cellStyle name="Currency 5 2 2 2 2 2 2 3" xfId="5056" xr:uid="{00000000-0005-0000-0000-0000730B0000}"/>
    <cellStyle name="Currency 5 2 2 2 2 2 2 3 2" xfId="14382" xr:uid="{9E9EB0B8-4FB3-4A88-B39E-B370E29BBD36}"/>
    <cellStyle name="Currency 5 2 2 2 2 2 2 4" xfId="9544" xr:uid="{77881B28-843C-4677-B92C-D2A5804BDB97}"/>
    <cellStyle name="Currency 5 2 2 2 2 2 2 4 2" xfId="18857" xr:uid="{966E976B-E100-45F5-AA44-69BBFCA9BC30}"/>
    <cellStyle name="Currency 5 2 2 2 2 2 2 5" xfId="10165" xr:uid="{50B45522-24C9-45E6-8903-D42AF449432A}"/>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13AFEF10-C1C5-4BFE-9BA6-81C9C1A2DE94}"/>
    <cellStyle name="Currency 5 2 2 2 2 2 3 2 3" xfId="12723" xr:uid="{AAF4CE5A-BA95-4D2F-8A86-9A46E2E262FD}"/>
    <cellStyle name="Currency 5 2 2 2 2 2 3 3" xfId="5469" xr:uid="{00000000-0005-0000-0000-0000770B0000}"/>
    <cellStyle name="Currency 5 2 2 2 2 2 3 3 2" xfId="14795" xr:uid="{3A07745F-97C7-448E-B612-CA9E2AF05E86}"/>
    <cellStyle name="Currency 5 2 2 2 2 2 3 4" xfId="10578" xr:uid="{E8FFE287-1170-4815-BC70-841BFC94CE05}"/>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DACA1403-4FBB-4E7D-92CA-69AFB69EAE1B}"/>
    <cellStyle name="Currency 5 2 2 2 2 2 4 2 3" xfId="13136" xr:uid="{48E3AAE2-86C8-418B-9BB9-4F2042722A5E}"/>
    <cellStyle name="Currency 5 2 2 2 2 2 4 3" xfId="5882" xr:uid="{00000000-0005-0000-0000-00007B0B0000}"/>
    <cellStyle name="Currency 5 2 2 2 2 2 4 3 2" xfId="15208" xr:uid="{5E7C4AF7-5675-4698-BE25-0E94754C345E}"/>
    <cellStyle name="Currency 5 2 2 2 2 2 4 4" xfId="10991" xr:uid="{CB3D89BA-AE97-4184-B377-29903CECFFB7}"/>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5FC67273-F0D0-4A10-A029-F44C95B18738}"/>
    <cellStyle name="Currency 5 2 2 2 2 2 5 2 3" xfId="13549" xr:uid="{99248960-80AC-42E4-8D7F-81EFB1655AD6}"/>
    <cellStyle name="Currency 5 2 2 2 2 2 5 3" xfId="6295" xr:uid="{00000000-0005-0000-0000-00007F0B0000}"/>
    <cellStyle name="Currency 5 2 2 2 2 2 5 3 2" xfId="15621" xr:uid="{46D6C015-6E40-40F3-BCE1-0C633EE9B979}"/>
    <cellStyle name="Currency 5 2 2 2 2 2 5 4" xfId="11404" xr:uid="{2B96EDA2-B6DF-49F6-81F3-E7C0A90C093E}"/>
    <cellStyle name="Currency 5 2 2 2 2 2 6" xfId="2424" xr:uid="{00000000-0005-0000-0000-0000800B0000}"/>
    <cellStyle name="Currency 5 2 2 2 2 2 6 2" xfId="6708" xr:uid="{00000000-0005-0000-0000-0000810B0000}"/>
    <cellStyle name="Currency 5 2 2 2 2 2 6 2 2" xfId="16034" xr:uid="{A6DC604D-703D-4B2C-AF93-B2A9E58AAA4C}"/>
    <cellStyle name="Currency 5 2 2 2 2 2 6 3" xfId="11817" xr:uid="{5CC98D34-7122-4FDD-9C3B-9204E2E9AFDF}"/>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08CC7B3A-98AB-4F30-8B44-C6E179CF713D}"/>
    <cellStyle name="Currency 5 2 2 2 2 2 8 3" xfId="12134" xr:uid="{4CA858F6-DC5F-4D4A-9EB6-3EB0A4C1BA68}"/>
    <cellStyle name="Currency 5 2 2 2 2 2 9" xfId="4642" xr:uid="{00000000-0005-0000-0000-0000850B0000}"/>
    <cellStyle name="Currency 5 2 2 2 2 2 9 2" xfId="13968" xr:uid="{81652B5F-5187-4EF4-AC30-5FAE008B4357}"/>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DB0E549C-4393-4D7C-9D61-08CF5BD42131}"/>
    <cellStyle name="Currency 5 2 2 2 2 3 2 3" xfId="12309" xr:uid="{0615F165-9FC0-4FA3-B5DD-D991253979A2}"/>
    <cellStyle name="Currency 5 2 2 2 2 3 3" xfId="5055" xr:uid="{00000000-0005-0000-0000-0000890B0000}"/>
    <cellStyle name="Currency 5 2 2 2 2 3 3 2" xfId="14381" xr:uid="{E54D3013-0332-40E8-B802-BF01BF044603}"/>
    <cellStyle name="Currency 5 2 2 2 2 3 4" xfId="9337" xr:uid="{A1FF44B9-A8E0-4A4E-9BE9-DA7FD7E326AE}"/>
    <cellStyle name="Currency 5 2 2 2 2 3 4 2" xfId="18650" xr:uid="{05F14E59-9B20-485F-B943-58EF2EE45924}"/>
    <cellStyle name="Currency 5 2 2 2 2 3 5" xfId="10164" xr:uid="{4FCA02FE-1A5D-47DD-B58C-49BDBC98C47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648D67AE-48EB-40C4-AB21-9D525F0D4F4A}"/>
    <cellStyle name="Currency 5 2 2 2 2 4 2 3" xfId="12722" xr:uid="{C6FC7341-0F80-4BDD-A98E-2E9C9378EEC0}"/>
    <cellStyle name="Currency 5 2 2 2 2 4 3" xfId="5468" xr:uid="{00000000-0005-0000-0000-00008D0B0000}"/>
    <cellStyle name="Currency 5 2 2 2 2 4 3 2" xfId="14794" xr:uid="{2C03FFB9-3947-4F78-A967-C81B371D36F6}"/>
    <cellStyle name="Currency 5 2 2 2 2 4 4" xfId="10577" xr:uid="{CDB3DF0F-EE24-4941-8F52-B8717E553D09}"/>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F267BC38-CDAA-4753-894E-C9C17BC55E99}"/>
    <cellStyle name="Currency 5 2 2 2 2 5 2 3" xfId="13135" xr:uid="{92818705-318D-44CC-8F3C-6B7CF328C843}"/>
    <cellStyle name="Currency 5 2 2 2 2 5 3" xfId="5881" xr:uid="{00000000-0005-0000-0000-0000910B0000}"/>
    <cellStyle name="Currency 5 2 2 2 2 5 3 2" xfId="15207" xr:uid="{5F4394A1-4AEC-4135-9F7A-95F635F54805}"/>
    <cellStyle name="Currency 5 2 2 2 2 5 4" xfId="10990" xr:uid="{6DA3DD36-4565-4998-820B-A22FE02F8613}"/>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89ACF762-B01A-4935-B9EC-813C4DF898D0}"/>
    <cellStyle name="Currency 5 2 2 2 2 6 2 3" xfId="13548" xr:uid="{780AFE66-FF3B-4857-9E34-486EA08E410A}"/>
    <cellStyle name="Currency 5 2 2 2 2 6 3" xfId="6294" xr:uid="{00000000-0005-0000-0000-0000950B0000}"/>
    <cellStyle name="Currency 5 2 2 2 2 6 3 2" xfId="15620" xr:uid="{1692CE94-A5CB-431C-8200-55626D324467}"/>
    <cellStyle name="Currency 5 2 2 2 2 6 4" xfId="11403" xr:uid="{9398635E-6322-4ADF-AA60-875BA4A20D54}"/>
    <cellStyle name="Currency 5 2 2 2 2 7" xfId="2423" xr:uid="{00000000-0005-0000-0000-0000960B0000}"/>
    <cellStyle name="Currency 5 2 2 2 2 7 2" xfId="6707" xr:uid="{00000000-0005-0000-0000-0000970B0000}"/>
    <cellStyle name="Currency 5 2 2 2 2 7 2 2" xfId="16033" xr:uid="{6A0480B5-5B6E-46EB-AD14-C64A742913A3}"/>
    <cellStyle name="Currency 5 2 2 2 2 7 3" xfId="11816" xr:uid="{F1C55E51-8215-4966-BB2F-3BDF7A8BBF75}"/>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FACA6A88-2A61-4524-9E57-DD41DCEAF9B9}"/>
    <cellStyle name="Currency 5 2 2 2 2 9 3" xfId="12133" xr:uid="{8E592B2C-A62F-450A-B475-9B8EE71630E3}"/>
    <cellStyle name="Currency 5 2 2 2 3" xfId="199" xr:uid="{00000000-0005-0000-0000-00009B0B0000}"/>
    <cellStyle name="Currency 5 2 2 2 3 10" xfId="9016" xr:uid="{706F9706-E49D-4995-B402-A842C879DBC8}"/>
    <cellStyle name="Currency 5 2 2 2 3 10 2" xfId="18339" xr:uid="{523A7334-FAA7-4805-8005-4E7E07992E38}"/>
    <cellStyle name="Currency 5 2 2 2 3 11" xfId="9752" xr:uid="{8A349A6F-4C46-4377-83EF-4F5F975F1E72}"/>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24296A82-0099-4E80-BA61-4A42D1CFAF9F}"/>
    <cellStyle name="Currency 5 2 2 2 3 2 2 3" xfId="12311" xr:uid="{7C3135F9-6476-40B9-8446-77A9F8613C3F}"/>
    <cellStyle name="Currency 5 2 2 2 3 2 3" xfId="5057" xr:uid="{00000000-0005-0000-0000-00009F0B0000}"/>
    <cellStyle name="Currency 5 2 2 2 3 2 3 2" xfId="14383" xr:uid="{79450356-B689-4537-A4FE-59B9F002E4B4}"/>
    <cellStyle name="Currency 5 2 2 2 3 2 4" xfId="9441" xr:uid="{B7048274-E02F-4E6A-9C9A-FAD4299F19B1}"/>
    <cellStyle name="Currency 5 2 2 2 3 2 4 2" xfId="18754" xr:uid="{45717A2D-813C-422E-A3C6-E3A4B3CFF658}"/>
    <cellStyle name="Currency 5 2 2 2 3 2 5" xfId="10166" xr:uid="{0A93C891-A91B-4FAA-BF33-616FE4D538B7}"/>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61470229-A791-4EC9-B5E3-2D79DF84497D}"/>
    <cellStyle name="Currency 5 2 2 2 3 3 2 3" xfId="12724" xr:uid="{743182C7-709B-40D6-9CF9-15CDAF72DC53}"/>
    <cellStyle name="Currency 5 2 2 2 3 3 3" xfId="5470" xr:uid="{00000000-0005-0000-0000-0000A30B0000}"/>
    <cellStyle name="Currency 5 2 2 2 3 3 3 2" xfId="14796" xr:uid="{F0838D88-0530-4357-9A8F-0573BFE3BAE5}"/>
    <cellStyle name="Currency 5 2 2 2 3 3 4" xfId="10579" xr:uid="{4A4CDACF-94BF-4494-984E-97DB59FCC1B5}"/>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DF5C23FC-D65D-4B1D-943A-7A62107C0A8C}"/>
    <cellStyle name="Currency 5 2 2 2 3 4 2 3" xfId="13137" xr:uid="{8EC18B9F-6134-4CA8-B76D-19284AB16D73}"/>
    <cellStyle name="Currency 5 2 2 2 3 4 3" xfId="5883" xr:uid="{00000000-0005-0000-0000-0000A70B0000}"/>
    <cellStyle name="Currency 5 2 2 2 3 4 3 2" xfId="15209" xr:uid="{D0D7FE5B-062B-4E8E-9974-8B41E93DB788}"/>
    <cellStyle name="Currency 5 2 2 2 3 4 4" xfId="10992" xr:uid="{61DA3EB5-32B6-4B9A-A03A-B3B7C4D3549E}"/>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FEC043C3-A1BA-4277-92FD-1977DF17D04C}"/>
    <cellStyle name="Currency 5 2 2 2 3 5 2 3" xfId="13550" xr:uid="{CD040BB9-E77E-4EB0-879F-CB781EDC061B}"/>
    <cellStyle name="Currency 5 2 2 2 3 5 3" xfId="6296" xr:uid="{00000000-0005-0000-0000-0000AB0B0000}"/>
    <cellStyle name="Currency 5 2 2 2 3 5 3 2" xfId="15622" xr:uid="{CA78F00F-BE37-4CDA-8DD4-465A68A53A3B}"/>
    <cellStyle name="Currency 5 2 2 2 3 5 4" xfId="11405" xr:uid="{5A573CCF-1B5C-454B-A42C-FC7434FEAFD6}"/>
    <cellStyle name="Currency 5 2 2 2 3 6" xfId="2425" xr:uid="{00000000-0005-0000-0000-0000AC0B0000}"/>
    <cellStyle name="Currency 5 2 2 2 3 6 2" xfId="6709" xr:uid="{00000000-0005-0000-0000-0000AD0B0000}"/>
    <cellStyle name="Currency 5 2 2 2 3 6 2 2" xfId="16035" xr:uid="{F0447476-E945-4DF5-B134-2869D8DA07E6}"/>
    <cellStyle name="Currency 5 2 2 2 3 6 3" xfId="11818" xr:uid="{7F7FF4F2-4341-47BA-8760-30CDE90B5B5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E1D0AAD1-A519-4451-BFFA-D3706B0A7919}"/>
    <cellStyle name="Currency 5 2 2 2 3 8 3" xfId="12135" xr:uid="{78A2F070-6FB1-422A-B6B7-79176DA58E7C}"/>
    <cellStyle name="Currency 5 2 2 2 3 9" xfId="4643" xr:uid="{00000000-0005-0000-0000-0000B10B0000}"/>
    <cellStyle name="Currency 5 2 2 2 3 9 2" xfId="13969" xr:uid="{F113D294-2719-4219-8B5E-EDD532AE1F47}"/>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23166452-0A1A-4838-917F-8E256A1DBA09}"/>
    <cellStyle name="Currency 5 2 2 2 4 2 3" xfId="12308" xr:uid="{6143F538-D3D8-41CC-ACA7-122EDE34953C}"/>
    <cellStyle name="Currency 5 2 2 2 4 3" xfId="5054" xr:uid="{00000000-0005-0000-0000-0000B50B0000}"/>
    <cellStyle name="Currency 5 2 2 2 4 3 2" xfId="14380" xr:uid="{6A95A20B-B6C1-4C93-9F38-88961757FB16}"/>
    <cellStyle name="Currency 5 2 2 2 4 4" xfId="9234" xr:uid="{AAF147FE-13D8-48BD-A722-062B96166D61}"/>
    <cellStyle name="Currency 5 2 2 2 4 4 2" xfId="18547" xr:uid="{5FAE7DBA-B34B-4361-AA5F-D970F2BF5B72}"/>
    <cellStyle name="Currency 5 2 2 2 4 5" xfId="10163" xr:uid="{C9393293-E41A-4048-84F0-2D567D95F0FF}"/>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E3DAA70C-B9B2-4EE7-BC3F-6F74071AD49F}"/>
    <cellStyle name="Currency 5 2 2 2 5 2 3" xfId="12721" xr:uid="{897CB6FD-F477-4C18-8D85-2B1E331E3785}"/>
    <cellStyle name="Currency 5 2 2 2 5 3" xfId="5467" xr:uid="{00000000-0005-0000-0000-0000B90B0000}"/>
    <cellStyle name="Currency 5 2 2 2 5 3 2" xfId="14793" xr:uid="{CBD8CF72-3136-4C83-AA49-E1C3694244DF}"/>
    <cellStyle name="Currency 5 2 2 2 5 4" xfId="10576" xr:uid="{629A1C13-96B1-4832-B274-29426F34175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A7D05F58-7D80-4478-AF72-DE05E82D853B}"/>
    <cellStyle name="Currency 5 2 2 2 6 2 3" xfId="13134" xr:uid="{F0E1ADA4-0B77-420D-A2BF-4AF60A2E22FB}"/>
    <cellStyle name="Currency 5 2 2 2 6 3" xfId="5880" xr:uid="{00000000-0005-0000-0000-0000BD0B0000}"/>
    <cellStyle name="Currency 5 2 2 2 6 3 2" xfId="15206" xr:uid="{D3A42F26-510D-40EF-BFEB-6B6D902705A4}"/>
    <cellStyle name="Currency 5 2 2 2 6 4" xfId="10989" xr:uid="{7353FF26-9959-469A-B36F-257C044E00E8}"/>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58691886-EFC6-4EEE-BF90-A059BE68005D}"/>
    <cellStyle name="Currency 5 2 2 2 7 2 3" xfId="13547" xr:uid="{6AA74C25-5CF2-4637-903C-9113D0EF14CD}"/>
    <cellStyle name="Currency 5 2 2 2 7 3" xfId="6293" xr:uid="{00000000-0005-0000-0000-0000C10B0000}"/>
    <cellStyle name="Currency 5 2 2 2 7 3 2" xfId="15619" xr:uid="{A87D9AB9-3BCF-418D-9396-B8321BF6DF34}"/>
    <cellStyle name="Currency 5 2 2 2 7 4" xfId="11402" xr:uid="{97309A0E-02EA-4CA5-852B-C3EF561F3DB0}"/>
    <cellStyle name="Currency 5 2 2 2 8" xfId="2422" xr:uid="{00000000-0005-0000-0000-0000C20B0000}"/>
    <cellStyle name="Currency 5 2 2 2 8 2" xfId="6706" xr:uid="{00000000-0005-0000-0000-0000C30B0000}"/>
    <cellStyle name="Currency 5 2 2 2 8 2 2" xfId="16032" xr:uid="{8A87F6FF-39AE-43FC-8681-29689F18029D}"/>
    <cellStyle name="Currency 5 2 2 2 8 3" xfId="11815" xr:uid="{5106DA00-7479-4731-9B9B-399A992F8BA6}"/>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A6DD51B3-754E-4370-9230-089749F2482B}"/>
    <cellStyle name="Currency 5 2 2 3 11" xfId="8890" xr:uid="{F313D4EC-7666-4BAA-9452-39176957C213}"/>
    <cellStyle name="Currency 5 2 2 3 11 2" xfId="18213" xr:uid="{D3338F75-A7BD-41B9-9939-0EE50F03DF23}"/>
    <cellStyle name="Currency 5 2 2 3 12" xfId="9753" xr:uid="{8C62CA68-9AF7-4D19-B6D0-1C6B4763845E}"/>
    <cellStyle name="Currency 5 2 2 3 2" xfId="201" xr:uid="{00000000-0005-0000-0000-0000C70B0000}"/>
    <cellStyle name="Currency 5 2 2 3 2 10" xfId="9097" xr:uid="{74199D2F-F17A-42DD-AC8B-D958FBFFCA8B}"/>
    <cellStyle name="Currency 5 2 2 3 2 10 2" xfId="18420" xr:uid="{80148905-4560-40CC-A00F-B57869642102}"/>
    <cellStyle name="Currency 5 2 2 3 2 11" xfId="9754" xr:uid="{D0EB73C5-92F4-42B5-8541-80F9136A6293}"/>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49D68EE2-2C43-445D-9546-EC0FDA125AA6}"/>
    <cellStyle name="Currency 5 2 2 3 2 2 2 3" xfId="12313" xr:uid="{0F615882-A961-474C-AEE0-BBCBE0F7093B}"/>
    <cellStyle name="Currency 5 2 2 3 2 2 3" xfId="5059" xr:uid="{00000000-0005-0000-0000-0000CB0B0000}"/>
    <cellStyle name="Currency 5 2 2 3 2 2 3 2" xfId="14385" xr:uid="{7C6EC503-A504-4584-AAA1-6B5222F9BB7D}"/>
    <cellStyle name="Currency 5 2 2 3 2 2 4" xfId="9522" xr:uid="{58EAFCD4-DA5B-47CB-A637-29DA003AA3FD}"/>
    <cellStyle name="Currency 5 2 2 3 2 2 4 2" xfId="18835" xr:uid="{5EAD15B8-4AAB-4198-B6AE-F498065D2174}"/>
    <cellStyle name="Currency 5 2 2 3 2 2 5" xfId="10168" xr:uid="{0CDCA46F-3EF0-497F-AC72-8DD1C53A3BE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70465759-FA16-4058-A429-601BF567B96B}"/>
    <cellStyle name="Currency 5 2 2 3 2 3 2 3" xfId="12726" xr:uid="{C4028D6B-6F4C-4515-BA17-3248C02CE5BB}"/>
    <cellStyle name="Currency 5 2 2 3 2 3 3" xfId="5472" xr:uid="{00000000-0005-0000-0000-0000CF0B0000}"/>
    <cellStyle name="Currency 5 2 2 3 2 3 3 2" xfId="14798" xr:uid="{0DF28D01-94CD-4A87-B590-195468A08693}"/>
    <cellStyle name="Currency 5 2 2 3 2 3 4" xfId="10581" xr:uid="{593C6ABA-60FA-4715-96BC-13D2AF6279B7}"/>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E522C7AE-2F4B-41EA-8AAA-1F81DA27A4B0}"/>
    <cellStyle name="Currency 5 2 2 3 2 4 2 3" xfId="13139" xr:uid="{030B9344-F295-4E68-A8F6-7333AA698629}"/>
    <cellStyle name="Currency 5 2 2 3 2 4 3" xfId="5885" xr:uid="{00000000-0005-0000-0000-0000D30B0000}"/>
    <cellStyle name="Currency 5 2 2 3 2 4 3 2" xfId="15211" xr:uid="{8D028B8A-429D-433C-8F41-F17F975149E0}"/>
    <cellStyle name="Currency 5 2 2 3 2 4 4" xfId="10994" xr:uid="{E6ED832A-98F8-40FB-B7CF-589E64E6EE09}"/>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7E63DDFC-20AC-44E9-9FBE-D3DE2DB4A0EE}"/>
    <cellStyle name="Currency 5 2 2 3 2 5 2 3" xfId="13552" xr:uid="{F9AD35A7-8960-4330-BFDF-E0025517C8E6}"/>
    <cellStyle name="Currency 5 2 2 3 2 5 3" xfId="6298" xr:uid="{00000000-0005-0000-0000-0000D70B0000}"/>
    <cellStyle name="Currency 5 2 2 3 2 5 3 2" xfId="15624" xr:uid="{FDF752D1-22E5-4C55-8E1A-47404DEA054D}"/>
    <cellStyle name="Currency 5 2 2 3 2 5 4" xfId="11407" xr:uid="{E8175D3E-6A46-4437-929A-B63347AF51D9}"/>
    <cellStyle name="Currency 5 2 2 3 2 6" xfId="2427" xr:uid="{00000000-0005-0000-0000-0000D80B0000}"/>
    <cellStyle name="Currency 5 2 2 3 2 6 2" xfId="6711" xr:uid="{00000000-0005-0000-0000-0000D90B0000}"/>
    <cellStyle name="Currency 5 2 2 3 2 6 2 2" xfId="16037" xr:uid="{03194C9E-EBBD-4622-9991-AA7891D57FFA}"/>
    <cellStyle name="Currency 5 2 2 3 2 6 3" xfId="11820" xr:uid="{F0BC5F82-A579-4A47-8A59-206DD60B90D4}"/>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29758ECF-67FC-4BA3-935B-6D40CE7D690C}"/>
    <cellStyle name="Currency 5 2 2 3 2 8 3" xfId="12137" xr:uid="{F2E5518B-7649-466D-A82B-F07E96A8494A}"/>
    <cellStyle name="Currency 5 2 2 3 2 9" xfId="4645" xr:uid="{00000000-0005-0000-0000-0000DD0B0000}"/>
    <cellStyle name="Currency 5 2 2 3 2 9 2" xfId="13971" xr:uid="{3BBDD734-97EB-4225-B762-75EA11868E99}"/>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18C90F35-2E02-4284-8C6E-862E33B6F47D}"/>
    <cellStyle name="Currency 5 2 2 3 3 2 3" xfId="12312" xr:uid="{A3444927-CF5F-4432-A248-543460D40552}"/>
    <cellStyle name="Currency 5 2 2 3 3 3" xfId="5058" xr:uid="{00000000-0005-0000-0000-0000E10B0000}"/>
    <cellStyle name="Currency 5 2 2 3 3 3 2" xfId="14384" xr:uid="{650504DE-57EE-4579-AFD2-347CC2E19581}"/>
    <cellStyle name="Currency 5 2 2 3 3 4" xfId="9315" xr:uid="{A76EC348-1CDB-41C1-B9B8-9215FF30C619}"/>
    <cellStyle name="Currency 5 2 2 3 3 4 2" xfId="18628" xr:uid="{7D6F2659-A635-415F-BFCC-0993B16B2E5B}"/>
    <cellStyle name="Currency 5 2 2 3 3 5" xfId="10167" xr:uid="{12CD4B46-57EC-469F-831D-4CE9417E57FC}"/>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BC5070C0-971A-40D5-AFBC-C34C629CA519}"/>
    <cellStyle name="Currency 5 2 2 3 4 2 3" xfId="12725" xr:uid="{6988F0C9-AAC8-4E22-8035-E124F46F89E3}"/>
    <cellStyle name="Currency 5 2 2 3 4 3" xfId="5471" xr:uid="{00000000-0005-0000-0000-0000E50B0000}"/>
    <cellStyle name="Currency 5 2 2 3 4 3 2" xfId="14797" xr:uid="{33DBB64F-4F32-4D19-A869-1B433E141323}"/>
    <cellStyle name="Currency 5 2 2 3 4 4" xfId="10580" xr:uid="{8E31F7A2-904C-4F90-9229-04C54DFB8D7C}"/>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AE069BB3-B99F-46DF-9B29-75CCB68F1262}"/>
    <cellStyle name="Currency 5 2 2 3 5 2 3" xfId="13138" xr:uid="{0C6A5657-63D4-4889-85F1-6239E20FF89C}"/>
    <cellStyle name="Currency 5 2 2 3 5 3" xfId="5884" xr:uid="{00000000-0005-0000-0000-0000E90B0000}"/>
    <cellStyle name="Currency 5 2 2 3 5 3 2" xfId="15210" xr:uid="{2EEF43A4-550A-42DD-903B-6B70B1B2FBA4}"/>
    <cellStyle name="Currency 5 2 2 3 5 4" xfId="10993" xr:uid="{E3134376-E356-4946-95B7-B6C13A73B63D}"/>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E0EA8D2D-3E95-408F-945F-A9E185FF409B}"/>
    <cellStyle name="Currency 5 2 2 3 6 2 3" xfId="13551" xr:uid="{F5FC6A6B-3769-4C77-B6CB-FA85F5212320}"/>
    <cellStyle name="Currency 5 2 2 3 6 3" xfId="6297" xr:uid="{00000000-0005-0000-0000-0000ED0B0000}"/>
    <cellStyle name="Currency 5 2 2 3 6 3 2" xfId="15623" xr:uid="{B9920EEC-2EBB-4FFD-8684-BD4F8D94EAC5}"/>
    <cellStyle name="Currency 5 2 2 3 6 4" xfId="11406" xr:uid="{331D2C3B-7408-4D57-A152-F2B49645E33A}"/>
    <cellStyle name="Currency 5 2 2 3 7" xfId="2426" xr:uid="{00000000-0005-0000-0000-0000EE0B0000}"/>
    <cellStyle name="Currency 5 2 2 3 7 2" xfId="6710" xr:uid="{00000000-0005-0000-0000-0000EF0B0000}"/>
    <cellStyle name="Currency 5 2 2 3 7 2 2" xfId="16036" xr:uid="{F503E1A3-6D35-4249-A171-C7A1E6EAE14B}"/>
    <cellStyle name="Currency 5 2 2 3 7 3" xfId="11819" xr:uid="{7667C652-14EB-4267-99C8-B4DA29D9D296}"/>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D10CB408-A26C-4930-98E1-A4FEDFB72E8E}"/>
    <cellStyle name="Currency 5 2 2 3 9 3" xfId="12136" xr:uid="{09C9ED9A-0053-4492-99CF-A60538943DE8}"/>
    <cellStyle name="Currency 5 2 2 4" xfId="202" xr:uid="{00000000-0005-0000-0000-0000F30B0000}"/>
    <cellStyle name="Currency 5 2 2 4 10" xfId="8994" xr:uid="{484CCE7A-1288-4C7F-ABD6-C45948DC4EC0}"/>
    <cellStyle name="Currency 5 2 2 4 10 2" xfId="18317" xr:uid="{9A48BF3D-4ED2-4055-9856-1267D048988B}"/>
    <cellStyle name="Currency 5 2 2 4 11" xfId="9755" xr:uid="{3C0CC1E7-C05B-4604-9755-B3CBFE3EFB15}"/>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C243B036-068C-404A-B303-F156E60DC18A}"/>
    <cellStyle name="Currency 5 2 2 4 2 2 3" xfId="12314" xr:uid="{D55B3F5A-CB74-44F5-93CC-C03679D51DD4}"/>
    <cellStyle name="Currency 5 2 2 4 2 3" xfId="5060" xr:uid="{00000000-0005-0000-0000-0000F70B0000}"/>
    <cellStyle name="Currency 5 2 2 4 2 3 2" xfId="14386" xr:uid="{20F5D26C-94BE-4BDA-90AD-6E9711432346}"/>
    <cellStyle name="Currency 5 2 2 4 2 4" xfId="9419" xr:uid="{F03E4D2E-3BA9-4D5B-9C35-959DB128CBAE}"/>
    <cellStyle name="Currency 5 2 2 4 2 4 2" xfId="18732" xr:uid="{E48F1A3A-5193-4485-AE4F-58991E0130A3}"/>
    <cellStyle name="Currency 5 2 2 4 2 5" xfId="10169" xr:uid="{B916A983-7122-40C6-A458-EBBC2FF710AD}"/>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C373B5A1-6055-48A0-A5FE-A3D71F287DD3}"/>
    <cellStyle name="Currency 5 2 2 4 3 2 3" xfId="12727" xr:uid="{A5F2DA48-50B9-4CEC-AF5A-5B0861B293C5}"/>
    <cellStyle name="Currency 5 2 2 4 3 3" xfId="5473" xr:uid="{00000000-0005-0000-0000-0000FB0B0000}"/>
    <cellStyle name="Currency 5 2 2 4 3 3 2" xfId="14799" xr:uid="{1ACEC624-9647-49CB-9041-3B5D9DCD3DD4}"/>
    <cellStyle name="Currency 5 2 2 4 3 4" xfId="10582" xr:uid="{CC24969D-5399-4DFB-AA8B-8D3EAB60B6DC}"/>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39B7B43D-8B9A-4AE2-AA1F-56D3AB4A4B5F}"/>
    <cellStyle name="Currency 5 2 2 4 4 2 3" xfId="13140" xr:uid="{9A245E80-D8FA-4E0B-B34F-DC7817F326AD}"/>
    <cellStyle name="Currency 5 2 2 4 4 3" xfId="5886" xr:uid="{00000000-0005-0000-0000-0000FF0B0000}"/>
    <cellStyle name="Currency 5 2 2 4 4 3 2" xfId="15212" xr:uid="{DD959E16-F31A-4144-8152-85B27A151474}"/>
    <cellStyle name="Currency 5 2 2 4 4 4" xfId="10995" xr:uid="{B0C82F6D-A5CE-4609-BBC5-108B3F32D852}"/>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7C46C28A-4AC0-494A-AE8D-ACC36CC793A1}"/>
    <cellStyle name="Currency 5 2 2 4 5 2 3" xfId="13553" xr:uid="{B31D2219-01C5-4533-B5A4-3ECA03D19D39}"/>
    <cellStyle name="Currency 5 2 2 4 5 3" xfId="6299" xr:uid="{00000000-0005-0000-0000-0000030C0000}"/>
    <cellStyle name="Currency 5 2 2 4 5 3 2" xfId="15625" xr:uid="{3EFC16E8-C35C-4A6E-ACC3-911955BF7AF2}"/>
    <cellStyle name="Currency 5 2 2 4 5 4" xfId="11408" xr:uid="{2B519005-1A31-415A-A195-DDD1562B643C}"/>
    <cellStyle name="Currency 5 2 2 4 6" xfId="2428" xr:uid="{00000000-0005-0000-0000-0000040C0000}"/>
    <cellStyle name="Currency 5 2 2 4 6 2" xfId="6712" xr:uid="{00000000-0005-0000-0000-0000050C0000}"/>
    <cellStyle name="Currency 5 2 2 4 6 2 2" xfId="16038" xr:uid="{61F5E4DB-C55F-44A8-A0E0-824418B2BE84}"/>
    <cellStyle name="Currency 5 2 2 4 6 3" xfId="11821" xr:uid="{C21EC015-F793-421F-A863-E76C92F90743}"/>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C1CAA0CC-4C62-41FD-B190-10A2D1C02457}"/>
    <cellStyle name="Currency 5 2 2 4 8 3" xfId="12138" xr:uid="{82839B4A-6408-4B8F-8BEA-70718DC5939C}"/>
    <cellStyle name="Currency 5 2 2 4 9" xfId="4646" xr:uid="{00000000-0005-0000-0000-0000090C0000}"/>
    <cellStyle name="Currency 5 2 2 4 9 2" xfId="13972" xr:uid="{6BAA767C-C7EC-430F-B1D1-A7869B9A10A3}"/>
    <cellStyle name="Currency 5 2 2 5" xfId="203" xr:uid="{00000000-0005-0000-0000-00000A0C0000}"/>
    <cellStyle name="Currency 5 2 2 5 10" xfId="9211" xr:uid="{586E1D8D-A72F-44A2-BAB5-A0BAD4827F6D}"/>
    <cellStyle name="Currency 5 2 2 5 10 2" xfId="18525" xr:uid="{0C117A52-53FF-4861-8BD7-FE689F28E33D}"/>
    <cellStyle name="Currency 5 2 2 5 11" xfId="9756" xr:uid="{EBF08E23-9116-461E-9926-CEEF21CE3F6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0247AA18-FC38-45E9-A440-499573294547}"/>
    <cellStyle name="Currency 5 2 2 5 2 2 3" xfId="12315" xr:uid="{F1E157BE-EBC2-487E-A1E6-986561F549DB}"/>
    <cellStyle name="Currency 5 2 2 5 2 3" xfId="5061" xr:uid="{00000000-0005-0000-0000-00000E0C0000}"/>
    <cellStyle name="Currency 5 2 2 5 2 3 2" xfId="14387" xr:uid="{7A6A5D16-48D4-4833-AE25-F8B7D1302402}"/>
    <cellStyle name="Currency 5 2 2 5 2 4" xfId="9598" xr:uid="{EBD3270B-608E-49E1-8A20-C5ADF81FBC1B}"/>
    <cellStyle name="Currency 5 2 2 5 2 4 2" xfId="18900" xr:uid="{A226EC14-C987-4F40-80D9-AB9280DCB13C}"/>
    <cellStyle name="Currency 5 2 2 5 2 5" xfId="10170" xr:uid="{3AEBF5C7-0767-4628-BAF0-BECDB50F5795}"/>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BCF5DBBE-E5B7-4126-8335-DFCB9D52CC45}"/>
    <cellStyle name="Currency 5 2 2 5 3 2 3" xfId="12728" xr:uid="{11AA826B-6EB3-4FFC-8711-B20D087C474A}"/>
    <cellStyle name="Currency 5 2 2 5 3 3" xfId="5474" xr:uid="{00000000-0005-0000-0000-0000120C0000}"/>
    <cellStyle name="Currency 5 2 2 5 3 3 2" xfId="14800" xr:uid="{08AFDCC6-9F5E-4273-B2FF-451DAB38934E}"/>
    <cellStyle name="Currency 5 2 2 5 3 4" xfId="10583" xr:uid="{4BAF6C8A-35AC-4E76-9B12-DB18C3B8F4B1}"/>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951CBA79-89F6-4923-A471-A4B128BBC0FE}"/>
    <cellStyle name="Currency 5 2 2 5 4 2 3" xfId="13141" xr:uid="{09C9244D-8DA5-49E9-997A-CB637956054F}"/>
    <cellStyle name="Currency 5 2 2 5 4 3" xfId="5887" xr:uid="{00000000-0005-0000-0000-0000160C0000}"/>
    <cellStyle name="Currency 5 2 2 5 4 3 2" xfId="15213" xr:uid="{0F44F5D1-063B-42E9-9FE9-F306B134C5B0}"/>
    <cellStyle name="Currency 5 2 2 5 4 4" xfId="10996" xr:uid="{76B77FC2-981E-4DCD-B94B-EEAC7D1FDAE4}"/>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59EAAE30-1AD7-460D-B775-033A102E6775}"/>
    <cellStyle name="Currency 5 2 2 5 5 2 3" xfId="13554" xr:uid="{403E3017-2046-41CB-BA80-10B778A7F3DF}"/>
    <cellStyle name="Currency 5 2 2 5 5 3" xfId="6300" xr:uid="{00000000-0005-0000-0000-00001A0C0000}"/>
    <cellStyle name="Currency 5 2 2 5 5 3 2" xfId="15626" xr:uid="{0337EF5A-5E18-49C0-9971-48BF8D8B840B}"/>
    <cellStyle name="Currency 5 2 2 5 5 4" xfId="11409" xr:uid="{4A1D9FD8-BAEB-4CBD-B3E4-90E9D1EC09A2}"/>
    <cellStyle name="Currency 5 2 2 5 6" xfId="2429" xr:uid="{00000000-0005-0000-0000-00001B0C0000}"/>
    <cellStyle name="Currency 5 2 2 5 6 2" xfId="6713" xr:uid="{00000000-0005-0000-0000-00001C0C0000}"/>
    <cellStyle name="Currency 5 2 2 5 6 2 2" xfId="16039" xr:uid="{1295100C-F483-429E-97B4-7B8236DEC566}"/>
    <cellStyle name="Currency 5 2 2 5 6 3" xfId="11822" xr:uid="{E8C070FD-C0AF-4F5A-B071-66EAC92E9347}"/>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027CBFBB-3A50-4D70-A837-B9B6F6BC8EF0}"/>
    <cellStyle name="Currency 5 2 2 5 8 3" xfId="12139" xr:uid="{B60C3D78-0601-46D2-BE15-C7AEF2C6F9A6}"/>
    <cellStyle name="Currency 5 2 2 5 9" xfId="4647" xr:uid="{00000000-0005-0000-0000-0000200C0000}"/>
    <cellStyle name="Currency 5 2 2 5 9 2" xfId="13973" xr:uid="{B59E857F-1821-4013-90C5-69786297E661}"/>
    <cellStyle name="Currency 5 2 2 6" xfId="9584" xr:uid="{DC5749FB-A314-4F8C-B61F-309C27A570F5}"/>
    <cellStyle name="Currency 5 2 2 7" xfId="8787" xr:uid="{822EE7D8-70A6-49D7-843D-E84C848DC397}"/>
    <cellStyle name="Currency 5 2 2 7 2" xfId="18110" xr:uid="{40D38579-6479-46AE-A116-9C627E68942A}"/>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50F8F290-F4A7-4C77-82EE-4B0CF4CEC698}"/>
    <cellStyle name="Currency 5 2 4 11" xfId="8859" xr:uid="{D3A5F8AD-5F4E-4BEA-A9B4-9A705A015524}"/>
    <cellStyle name="Currency 5 2 4 11 2" xfId="18182" xr:uid="{389D0D17-0FD9-4B78-AAF0-13D1DDDFE7D1}"/>
    <cellStyle name="Currency 5 2 4 12" xfId="9757" xr:uid="{F0B06491-ACDA-49B5-A545-1EDC56EB752D}"/>
    <cellStyle name="Currency 5 2 4 2" xfId="206" xr:uid="{00000000-0005-0000-0000-0000250C0000}"/>
    <cellStyle name="Currency 5 2 4 2 10" xfId="9066" xr:uid="{2F7A28AF-2120-4AAF-A58B-33C2E07F597D}"/>
    <cellStyle name="Currency 5 2 4 2 10 2" xfId="18389" xr:uid="{F691842E-80B3-449A-87A7-4CC0077E4502}"/>
    <cellStyle name="Currency 5 2 4 2 11" xfId="9758" xr:uid="{70EE2C36-7B8C-4A96-B5EA-B5F51F292E13}"/>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96F333BA-1675-4551-A515-64CE77E83EA6}"/>
    <cellStyle name="Currency 5 2 4 2 2 2 3" xfId="12317" xr:uid="{55C0A1CA-C2DE-43FE-A198-13FAE32EA319}"/>
    <cellStyle name="Currency 5 2 4 2 2 3" xfId="5063" xr:uid="{00000000-0005-0000-0000-0000290C0000}"/>
    <cellStyle name="Currency 5 2 4 2 2 3 2" xfId="14389" xr:uid="{91E3553D-F305-4AE7-BDF6-832EE8D78056}"/>
    <cellStyle name="Currency 5 2 4 2 2 4" xfId="9491" xr:uid="{64B868C7-9024-4970-9E74-7DF82417BD7A}"/>
    <cellStyle name="Currency 5 2 4 2 2 4 2" xfId="18804" xr:uid="{ED2C6A07-060D-452A-B4C6-692512087BBF}"/>
    <cellStyle name="Currency 5 2 4 2 2 5" xfId="10172" xr:uid="{DACF1965-74B3-49F6-81A2-749E4BBA23A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4CA5DD67-677A-4775-8EE4-3B1BB415E70C}"/>
    <cellStyle name="Currency 5 2 4 2 3 2 3" xfId="12730" xr:uid="{46E457A2-512F-40DD-BAD0-9013583FAE1C}"/>
    <cellStyle name="Currency 5 2 4 2 3 3" xfId="5476" xr:uid="{00000000-0005-0000-0000-00002D0C0000}"/>
    <cellStyle name="Currency 5 2 4 2 3 3 2" xfId="14802" xr:uid="{9D412E7F-014F-4F68-9FEC-DC0C2F33BE02}"/>
    <cellStyle name="Currency 5 2 4 2 3 4" xfId="10585" xr:uid="{48268EB5-95D9-40D2-9DB8-07DC30A7E1E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CCE25AE3-4B10-491A-86C2-536972F669EE}"/>
    <cellStyle name="Currency 5 2 4 2 4 2 3" xfId="13143" xr:uid="{EE8404C3-9EFA-44A1-8EAA-59B12BF3D237}"/>
    <cellStyle name="Currency 5 2 4 2 4 3" xfId="5889" xr:uid="{00000000-0005-0000-0000-0000310C0000}"/>
    <cellStyle name="Currency 5 2 4 2 4 3 2" xfId="15215" xr:uid="{BF5CFA4A-2561-4FA9-9285-8F01FDAED3BD}"/>
    <cellStyle name="Currency 5 2 4 2 4 4" xfId="10998" xr:uid="{C1E26F2C-6410-4B69-BF9F-C0EE4991EC8F}"/>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F51E1A45-0498-44E1-AE91-F8D351B49544}"/>
    <cellStyle name="Currency 5 2 4 2 5 2 3" xfId="13556" xr:uid="{A342ADD7-5814-4263-91C4-ED7D837256DE}"/>
    <cellStyle name="Currency 5 2 4 2 5 3" xfId="6302" xr:uid="{00000000-0005-0000-0000-0000350C0000}"/>
    <cellStyle name="Currency 5 2 4 2 5 3 2" xfId="15628" xr:uid="{31370B9A-BE40-49CC-B14D-5178ADC29AA6}"/>
    <cellStyle name="Currency 5 2 4 2 5 4" xfId="11411" xr:uid="{AAB34DE1-66E3-46BC-8948-B138F4251C6A}"/>
    <cellStyle name="Currency 5 2 4 2 6" xfId="2431" xr:uid="{00000000-0005-0000-0000-0000360C0000}"/>
    <cellStyle name="Currency 5 2 4 2 6 2" xfId="6715" xr:uid="{00000000-0005-0000-0000-0000370C0000}"/>
    <cellStyle name="Currency 5 2 4 2 6 2 2" xfId="16041" xr:uid="{49F7BA28-C744-41BC-9062-F2FC8280C1A5}"/>
    <cellStyle name="Currency 5 2 4 2 6 3" xfId="11824" xr:uid="{B6F9D45F-962C-4721-ACD9-A53154B9B6ED}"/>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D02EB804-3E58-4695-8292-720596A7A374}"/>
    <cellStyle name="Currency 5 2 4 2 8 3" xfId="12141" xr:uid="{69DB0743-4111-414B-AD6D-9B2E79DEB124}"/>
    <cellStyle name="Currency 5 2 4 2 9" xfId="4649" xr:uid="{00000000-0005-0000-0000-00003B0C0000}"/>
    <cellStyle name="Currency 5 2 4 2 9 2" xfId="13975" xr:uid="{BBA88261-38B4-4D33-8597-5BB4E59EC09E}"/>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79DE435C-DD76-4DD8-838A-3E61A09D0D11}"/>
    <cellStyle name="Currency 5 2 4 3 2 3" xfId="12316" xr:uid="{E678820F-370A-4B6A-AC95-44825F561ED8}"/>
    <cellStyle name="Currency 5 2 4 3 3" xfId="5062" xr:uid="{00000000-0005-0000-0000-00003F0C0000}"/>
    <cellStyle name="Currency 5 2 4 3 3 2" xfId="14388" xr:uid="{1DE1B6AD-37D3-4A3F-BEBF-C61819E8913F}"/>
    <cellStyle name="Currency 5 2 4 3 4" xfId="9284" xr:uid="{1D0B72AC-AFAC-428F-8BF0-6DFF9565613D}"/>
    <cellStyle name="Currency 5 2 4 3 4 2" xfId="18597" xr:uid="{B60C3941-B38A-4721-B35E-2068E2047257}"/>
    <cellStyle name="Currency 5 2 4 3 5" xfId="10171" xr:uid="{1246034B-99E5-47BD-B78E-CF3688524457}"/>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018DABB7-FBB7-4175-898E-9F181C490685}"/>
    <cellStyle name="Currency 5 2 4 4 2 3" xfId="12729" xr:uid="{D8B85615-F392-4DE5-A27E-9DB90ADC9421}"/>
    <cellStyle name="Currency 5 2 4 4 3" xfId="5475" xr:uid="{00000000-0005-0000-0000-0000430C0000}"/>
    <cellStyle name="Currency 5 2 4 4 3 2" xfId="14801" xr:uid="{A662586F-7D1C-4A67-80DE-6653A74B1F49}"/>
    <cellStyle name="Currency 5 2 4 4 4" xfId="10584" xr:uid="{323A3579-588E-4DCA-8D44-B2CA6E1D9D1C}"/>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F5AF8D6F-F3EF-40DA-806E-287BA218F7DB}"/>
    <cellStyle name="Currency 5 2 4 5 2 3" xfId="13142" xr:uid="{15A9DB75-9918-4465-B19B-A67C1C217231}"/>
    <cellStyle name="Currency 5 2 4 5 3" xfId="5888" xr:uid="{00000000-0005-0000-0000-0000470C0000}"/>
    <cellStyle name="Currency 5 2 4 5 3 2" xfId="15214" xr:uid="{DC1CCB42-7575-45D6-84B0-7EA334C2BF14}"/>
    <cellStyle name="Currency 5 2 4 5 4" xfId="10997" xr:uid="{E5EF4953-D4C1-4EC4-87B3-D9157B521340}"/>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194B13E8-335B-4AAC-BA14-E6FB6833D3F6}"/>
    <cellStyle name="Currency 5 2 4 6 2 3" xfId="13555" xr:uid="{338A8418-F678-4572-B9E7-D2D5BD723023}"/>
    <cellStyle name="Currency 5 2 4 6 3" xfId="6301" xr:uid="{00000000-0005-0000-0000-00004B0C0000}"/>
    <cellStyle name="Currency 5 2 4 6 3 2" xfId="15627" xr:uid="{62117CDC-7806-46FE-9A1F-2D9147B48BE2}"/>
    <cellStyle name="Currency 5 2 4 6 4" xfId="11410" xr:uid="{67DD66FB-D42F-40BE-BFC8-4F60333D3C79}"/>
    <cellStyle name="Currency 5 2 4 7" xfId="2430" xr:uid="{00000000-0005-0000-0000-00004C0C0000}"/>
    <cellStyle name="Currency 5 2 4 7 2" xfId="6714" xr:uid="{00000000-0005-0000-0000-00004D0C0000}"/>
    <cellStyle name="Currency 5 2 4 7 2 2" xfId="16040" xr:uid="{FE343F3A-7F58-463E-A437-334C8BA956A8}"/>
    <cellStyle name="Currency 5 2 4 7 3" xfId="11823" xr:uid="{0B626733-C3B2-4C23-B998-E804B54CDEA3}"/>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7EB2DC61-DB7C-4DDA-9D1D-F6A959B0C98C}"/>
    <cellStyle name="Currency 5 2 4 9 3" xfId="12140" xr:uid="{BAD9FF78-0FFB-488C-89B5-9732F05CD0CE}"/>
    <cellStyle name="Currency 5 2 5" xfId="207" xr:uid="{00000000-0005-0000-0000-0000510C0000}"/>
    <cellStyle name="Currency 5 2 5 10" xfId="8975" xr:uid="{3422EC31-C47F-46E0-A50C-FE05B1979387}"/>
    <cellStyle name="Currency 5 2 5 10 2" xfId="18298" xr:uid="{461B76C4-4CA4-41C8-8878-AD1159957DA8}"/>
    <cellStyle name="Currency 5 2 5 11" xfId="9759" xr:uid="{D9DD6D6B-C53B-4F2D-9757-8E9FF307C7CB}"/>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A612B0E4-9D50-4C7A-8566-C29B3ECA746D}"/>
    <cellStyle name="Currency 5 2 5 2 2 3" xfId="12318" xr:uid="{00FD97FE-885D-4EB0-8063-BA0EBFBAC9B8}"/>
    <cellStyle name="Currency 5 2 5 2 3" xfId="5064" xr:uid="{00000000-0005-0000-0000-0000550C0000}"/>
    <cellStyle name="Currency 5 2 5 2 3 2" xfId="14390" xr:uid="{C2735D57-D276-4921-BBA5-889E13BF9C44}"/>
    <cellStyle name="Currency 5 2 5 2 4" xfId="9400" xr:uid="{6620DDCD-05C0-4AFD-8A83-F1190101CCB3}"/>
    <cellStyle name="Currency 5 2 5 2 4 2" xfId="18713" xr:uid="{BCD2169B-50CD-4DBA-B5B9-FC80360EE794}"/>
    <cellStyle name="Currency 5 2 5 2 5" xfId="10173" xr:uid="{1703BBF0-901D-405C-B002-795CDAA87B9D}"/>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D6C78D33-7D2B-4A56-84CC-0BD7B839A128}"/>
    <cellStyle name="Currency 5 2 5 3 2 3" xfId="12731" xr:uid="{BABB74D3-C6FE-4741-B513-31B28DAFBC24}"/>
    <cellStyle name="Currency 5 2 5 3 3" xfId="5477" xr:uid="{00000000-0005-0000-0000-0000590C0000}"/>
    <cellStyle name="Currency 5 2 5 3 3 2" xfId="14803" xr:uid="{63C73049-8E1E-4F33-8128-66BF9E750AE1}"/>
    <cellStyle name="Currency 5 2 5 3 4" xfId="10586" xr:uid="{FB7B9E50-6EEF-4246-BD56-BEA582A700B2}"/>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72AD025D-4C6D-4042-A6CC-2DCCFB38B391}"/>
    <cellStyle name="Currency 5 2 5 4 2 3" xfId="13144" xr:uid="{1EEF87A0-6732-442E-8616-60DDBEC70679}"/>
    <cellStyle name="Currency 5 2 5 4 3" xfId="5890" xr:uid="{00000000-0005-0000-0000-00005D0C0000}"/>
    <cellStyle name="Currency 5 2 5 4 3 2" xfId="15216" xr:uid="{D6DD9D88-DEE1-4657-ADF9-B03B8410DE08}"/>
    <cellStyle name="Currency 5 2 5 4 4" xfId="10999" xr:uid="{7A04F3A0-8FCE-49BD-BCD1-C9D34B7419DB}"/>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CFC5FDD6-8C20-4A68-890E-39F2AE8D272C}"/>
    <cellStyle name="Currency 5 2 5 5 2 3" xfId="13557" xr:uid="{EB1781F1-9789-4757-8BA4-F5B55FDA6073}"/>
    <cellStyle name="Currency 5 2 5 5 3" xfId="6303" xr:uid="{00000000-0005-0000-0000-0000610C0000}"/>
    <cellStyle name="Currency 5 2 5 5 3 2" xfId="15629" xr:uid="{BC026937-DE61-4E39-9284-5C6A0F2A3070}"/>
    <cellStyle name="Currency 5 2 5 5 4" xfId="11412" xr:uid="{6D35FAA7-66AD-4470-9A73-1EFEB112FCD8}"/>
    <cellStyle name="Currency 5 2 5 6" xfId="2432" xr:uid="{00000000-0005-0000-0000-0000620C0000}"/>
    <cellStyle name="Currency 5 2 5 6 2" xfId="6716" xr:uid="{00000000-0005-0000-0000-0000630C0000}"/>
    <cellStyle name="Currency 5 2 5 6 2 2" xfId="16042" xr:uid="{E2461C60-8B25-440E-80F1-6DC827D6338A}"/>
    <cellStyle name="Currency 5 2 5 6 3" xfId="11825" xr:uid="{210E0BE9-60C4-4AE0-A3AC-BE181160B5B3}"/>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BBA863A2-764F-4E46-BE2A-F10C0B2A09A1}"/>
    <cellStyle name="Currency 5 2 5 8 3" xfId="12142" xr:uid="{6E67FA8C-156C-4D58-9616-25D3786AAD09}"/>
    <cellStyle name="Currency 5 2 5 9" xfId="4650" xr:uid="{00000000-0005-0000-0000-0000670C0000}"/>
    <cellStyle name="Currency 5 2 5 9 2" xfId="13976" xr:uid="{995D34FE-E8A7-4552-B8EB-F229ACEEF5F4}"/>
    <cellStyle name="Currency 5 2 6" xfId="208" xr:uid="{00000000-0005-0000-0000-0000680C0000}"/>
    <cellStyle name="Currency 5 2 6 10" xfId="9178" xr:uid="{19F6D70E-88E4-4E39-A1A9-3FF3D840E2F9}"/>
    <cellStyle name="Currency 5 2 6 10 2" xfId="18494" xr:uid="{30856E61-E796-44A1-85E0-C75D8851C3CC}"/>
    <cellStyle name="Currency 5 2 6 11" xfId="9760" xr:uid="{08661DC6-7D4B-465B-86CF-9C31876193A6}"/>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134F514F-99AE-4527-92E2-B870E49B9212}"/>
    <cellStyle name="Currency 5 2 6 2 2 3" xfId="12319" xr:uid="{5D08F73A-BC2F-4485-AC86-67CB8F803FBD}"/>
    <cellStyle name="Currency 5 2 6 2 3" xfId="5065" xr:uid="{00000000-0005-0000-0000-00006C0C0000}"/>
    <cellStyle name="Currency 5 2 6 2 3 2" xfId="14391" xr:uid="{5FEFD6A9-9048-4346-B77E-8A45BED84362}"/>
    <cellStyle name="Currency 5 2 6 2 4" xfId="9599" xr:uid="{C2EE182C-D73D-4E6C-9671-0484CB4E8D68}"/>
    <cellStyle name="Currency 5 2 6 2 4 2" xfId="18901" xr:uid="{6F0C5FE4-1307-4BFC-862D-E9E4D8AC1ED6}"/>
    <cellStyle name="Currency 5 2 6 2 5" xfId="10174" xr:uid="{5BB6C58E-2761-44AB-AF36-BB87FD18FA54}"/>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7EB6E511-E690-4CE2-9103-41501E44973D}"/>
    <cellStyle name="Currency 5 2 6 3 2 3" xfId="12732" xr:uid="{2B4D7B2E-D1A6-4723-B462-2ADE71252318}"/>
    <cellStyle name="Currency 5 2 6 3 3" xfId="5478" xr:uid="{00000000-0005-0000-0000-0000700C0000}"/>
    <cellStyle name="Currency 5 2 6 3 3 2" xfId="14804" xr:uid="{CAB193DF-ADAB-4CA6-95C1-8B678155FC1A}"/>
    <cellStyle name="Currency 5 2 6 3 4" xfId="10587" xr:uid="{6B9A20A4-7BDB-42BD-A438-2BC23B326A87}"/>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28B64BD6-4BA5-46DB-8A1C-21A6C671532E}"/>
    <cellStyle name="Currency 5 2 6 4 2 3" xfId="13145" xr:uid="{B8958C54-BCBD-45B9-A6B1-6B21297EC985}"/>
    <cellStyle name="Currency 5 2 6 4 3" xfId="5891" xr:uid="{00000000-0005-0000-0000-0000740C0000}"/>
    <cellStyle name="Currency 5 2 6 4 3 2" xfId="15217" xr:uid="{453B9447-8A9A-4C25-A6B9-F3DFBA6E5122}"/>
    <cellStyle name="Currency 5 2 6 4 4" xfId="11000" xr:uid="{953C5EEB-A7D4-4B94-98C0-4889DCF2A527}"/>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999C429A-62B1-4CCD-89B7-76AAE162CBA5}"/>
    <cellStyle name="Currency 5 2 6 5 2 3" xfId="13558" xr:uid="{27E8D210-BC5F-4B6A-BD13-8F150EBDEAFB}"/>
    <cellStyle name="Currency 5 2 6 5 3" xfId="6304" xr:uid="{00000000-0005-0000-0000-0000780C0000}"/>
    <cellStyle name="Currency 5 2 6 5 3 2" xfId="15630" xr:uid="{F36FC4EB-4538-4C21-A2A7-6630700042E0}"/>
    <cellStyle name="Currency 5 2 6 5 4" xfId="11413" xr:uid="{9C1D8339-2429-4C53-997B-6D9F98D4BCAF}"/>
    <cellStyle name="Currency 5 2 6 6" xfId="2433" xr:uid="{00000000-0005-0000-0000-0000790C0000}"/>
    <cellStyle name="Currency 5 2 6 6 2" xfId="6717" xr:uid="{00000000-0005-0000-0000-00007A0C0000}"/>
    <cellStyle name="Currency 5 2 6 6 2 2" xfId="16043" xr:uid="{630B4C7E-850D-4571-B784-3F9E02469282}"/>
    <cellStyle name="Currency 5 2 6 6 3" xfId="11826" xr:uid="{0B9B624D-74F2-418F-A5C0-13461155A882}"/>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6CF9A115-8791-4B2A-A907-0D16DF7FD13D}"/>
    <cellStyle name="Currency 5 2 6 8 3" xfId="12143" xr:uid="{C9BE0580-1FF0-4FCA-9F62-A2BD9E607898}"/>
    <cellStyle name="Currency 5 2 6 9" xfId="4651" xr:uid="{00000000-0005-0000-0000-00007E0C0000}"/>
    <cellStyle name="Currency 5 2 6 9 2" xfId="13977" xr:uid="{D5B66601-8C04-4641-8D1C-82926BBCB5AA}"/>
    <cellStyle name="Currency 5 2 7" xfId="722" xr:uid="{00000000-0005-0000-0000-00007F0C0000}"/>
    <cellStyle name="Currency 5 2 8" xfId="8756" xr:uid="{D16196A2-D0A3-46A2-9B14-6B017B4CC82F}"/>
    <cellStyle name="Currency 5 2 8 2" xfId="18079" xr:uid="{DA3F8001-8308-4C2E-9824-933154803EAE}"/>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64897375-B03A-4323-B502-5849A88DFA14}"/>
    <cellStyle name="Currency 5 3 2 10 3" xfId="12144" xr:uid="{FC1F6822-9977-4C55-BA07-69B1D2283C77}"/>
    <cellStyle name="Currency 5 3 2 11" xfId="4652" xr:uid="{00000000-0005-0000-0000-0000840C0000}"/>
    <cellStyle name="Currency 5 3 2 11 2" xfId="13978" xr:uid="{6FF7C89D-D0F9-405A-B26B-19E3A8DD738F}"/>
    <cellStyle name="Currency 5 3 2 12" xfId="8810" xr:uid="{C5234FF9-D509-4CD8-ADA1-D3604CCF3D1F}"/>
    <cellStyle name="Currency 5 3 2 12 2" xfId="18133" xr:uid="{6AEAB688-9FD1-4676-9B3B-5E840C00D07E}"/>
    <cellStyle name="Currency 5 3 2 13" xfId="9761" xr:uid="{3EEC5CF9-9FB3-4241-B6A0-33A22D4C47BC}"/>
    <cellStyle name="Currency 5 3 2 2" xfId="211" xr:uid="{00000000-0005-0000-0000-0000850C0000}"/>
    <cellStyle name="Currency 5 3 2 2 10" xfId="4653" xr:uid="{00000000-0005-0000-0000-0000860C0000}"/>
    <cellStyle name="Currency 5 3 2 2 10 2" xfId="13979" xr:uid="{1E3620CD-D80F-48D4-9FEC-4590CDFB3AA0}"/>
    <cellStyle name="Currency 5 3 2 2 11" xfId="8913" xr:uid="{FE033F82-2F16-4925-9899-F927AB9AA612}"/>
    <cellStyle name="Currency 5 3 2 2 11 2" xfId="18236" xr:uid="{9C8352F3-FEBB-42ED-80E7-B0E9FDE776EA}"/>
    <cellStyle name="Currency 5 3 2 2 12" xfId="9762" xr:uid="{A6113367-E919-42E3-BD68-D5B512295194}"/>
    <cellStyle name="Currency 5 3 2 2 2" xfId="212" xr:uid="{00000000-0005-0000-0000-0000870C0000}"/>
    <cellStyle name="Currency 5 3 2 2 2 10" xfId="9120" xr:uid="{D5536A1F-8418-4CB5-B1E0-470AD716374A}"/>
    <cellStyle name="Currency 5 3 2 2 2 10 2" xfId="18443" xr:uid="{ECCBF273-57C1-456B-9BF2-90B1358D75FD}"/>
    <cellStyle name="Currency 5 3 2 2 2 11" xfId="9763" xr:uid="{DAF13EA5-6246-4F82-AE0B-8FBF67E59D95}"/>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F8D5A9DC-DF05-4209-A8FF-14B2867785E8}"/>
    <cellStyle name="Currency 5 3 2 2 2 2 2 3" xfId="12322" xr:uid="{4EEDB39A-AB8C-41D4-9CF8-54ACC1D0F401}"/>
    <cellStyle name="Currency 5 3 2 2 2 2 3" xfId="5068" xr:uid="{00000000-0005-0000-0000-00008B0C0000}"/>
    <cellStyle name="Currency 5 3 2 2 2 2 3 2" xfId="14394" xr:uid="{8FA28525-1388-4519-8A4C-314BD51B6F6D}"/>
    <cellStyle name="Currency 5 3 2 2 2 2 4" xfId="9545" xr:uid="{F6C268D6-0334-42F7-AE4F-535ADD09B625}"/>
    <cellStyle name="Currency 5 3 2 2 2 2 4 2" xfId="18858" xr:uid="{33EF4C80-F10E-441F-83F7-79CB40A78B7D}"/>
    <cellStyle name="Currency 5 3 2 2 2 2 5" xfId="10177" xr:uid="{3BEDE30C-D385-4A06-A9AB-A24AEED773C8}"/>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8893933F-E328-438F-8C17-F3FB581DEEF2}"/>
    <cellStyle name="Currency 5 3 2 2 2 3 2 3" xfId="12735" xr:uid="{BDB542D9-73BB-418A-BA9C-B1BB2016D8DE}"/>
    <cellStyle name="Currency 5 3 2 2 2 3 3" xfId="5481" xr:uid="{00000000-0005-0000-0000-00008F0C0000}"/>
    <cellStyle name="Currency 5 3 2 2 2 3 3 2" xfId="14807" xr:uid="{9F4DCED0-8C3E-4EB7-8192-36A10C46EA4B}"/>
    <cellStyle name="Currency 5 3 2 2 2 3 4" xfId="10590" xr:uid="{028CD654-CD7E-45C3-B8DF-614A0B90CB7C}"/>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90B10982-422A-4BA8-BCDC-980B1A89E8B7}"/>
    <cellStyle name="Currency 5 3 2 2 2 4 2 3" xfId="13148" xr:uid="{4E3A4568-88C7-4DDF-8A1A-6D8D1B9B98BD}"/>
    <cellStyle name="Currency 5 3 2 2 2 4 3" xfId="5894" xr:uid="{00000000-0005-0000-0000-0000930C0000}"/>
    <cellStyle name="Currency 5 3 2 2 2 4 3 2" xfId="15220" xr:uid="{70876C20-3233-4CF2-8576-CB1619061014}"/>
    <cellStyle name="Currency 5 3 2 2 2 4 4" xfId="11003" xr:uid="{255B1D82-F6FF-47DB-ADDA-6C17ADB01DC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CCCAF116-560C-4CCF-ABF7-0BC6BF48CE21}"/>
    <cellStyle name="Currency 5 3 2 2 2 5 2 3" xfId="13561" xr:uid="{59723317-0CB0-4268-9E27-DA834E38B4B9}"/>
    <cellStyle name="Currency 5 3 2 2 2 5 3" xfId="6307" xr:uid="{00000000-0005-0000-0000-0000970C0000}"/>
    <cellStyle name="Currency 5 3 2 2 2 5 3 2" xfId="15633" xr:uid="{E622D11F-5230-4647-91C5-9FF5983F5085}"/>
    <cellStyle name="Currency 5 3 2 2 2 5 4" xfId="11416" xr:uid="{CB5349C3-1B48-47AC-B8FE-F59231E8C7AF}"/>
    <cellStyle name="Currency 5 3 2 2 2 6" xfId="2436" xr:uid="{00000000-0005-0000-0000-0000980C0000}"/>
    <cellStyle name="Currency 5 3 2 2 2 6 2" xfId="6720" xr:uid="{00000000-0005-0000-0000-0000990C0000}"/>
    <cellStyle name="Currency 5 3 2 2 2 6 2 2" xfId="16046" xr:uid="{D7DC9C8E-2129-4608-BFB9-6472C4DA6C93}"/>
    <cellStyle name="Currency 5 3 2 2 2 6 3" xfId="11829" xr:uid="{E9432249-0E7F-4AE6-82DA-AD3C0D38EBA9}"/>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0D012427-4CCE-41BF-A736-E263DA679E50}"/>
    <cellStyle name="Currency 5 3 2 2 2 8 3" xfId="12146" xr:uid="{82FAC0E5-1A5D-42E5-A79F-B32E92477190}"/>
    <cellStyle name="Currency 5 3 2 2 2 9" xfId="4654" xr:uid="{00000000-0005-0000-0000-00009D0C0000}"/>
    <cellStyle name="Currency 5 3 2 2 2 9 2" xfId="13980" xr:uid="{8C03BF93-24D7-4C3D-82A7-FA80DCD174FA}"/>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BD967DFD-2C62-495C-B0B0-11EDE3CDFE07}"/>
    <cellStyle name="Currency 5 3 2 2 3 2 3" xfId="12321" xr:uid="{6B03B2AE-C496-4EEB-ABFC-1359D0039E12}"/>
    <cellStyle name="Currency 5 3 2 2 3 3" xfId="5067" xr:uid="{00000000-0005-0000-0000-0000A10C0000}"/>
    <cellStyle name="Currency 5 3 2 2 3 3 2" xfId="14393" xr:uid="{80881EDE-25B1-44EC-A427-E18176E7F116}"/>
    <cellStyle name="Currency 5 3 2 2 3 4" xfId="9338" xr:uid="{E79296CA-9516-4DDA-84B2-A3B13AAA9D9D}"/>
    <cellStyle name="Currency 5 3 2 2 3 4 2" xfId="18651" xr:uid="{99975891-1420-43B2-8AAE-440F65C3B20A}"/>
    <cellStyle name="Currency 5 3 2 2 3 5" xfId="10176" xr:uid="{00BB023B-2131-40AE-9881-88400BD913AA}"/>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E2519453-21D7-40FE-B2DE-A913D7B00A04}"/>
    <cellStyle name="Currency 5 3 2 2 4 2 3" xfId="12734" xr:uid="{262AB2D5-7E44-418B-8A4C-1322F8D5E363}"/>
    <cellStyle name="Currency 5 3 2 2 4 3" xfId="5480" xr:uid="{00000000-0005-0000-0000-0000A50C0000}"/>
    <cellStyle name="Currency 5 3 2 2 4 3 2" xfId="14806" xr:uid="{BF4238B0-9D01-4979-ADC8-BA474E89F6FC}"/>
    <cellStyle name="Currency 5 3 2 2 4 4" xfId="10589" xr:uid="{DD0CEB83-6D37-4921-9BA3-1764F672B23E}"/>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DFB342B2-6F28-4B5F-8287-6657A1D8FFC3}"/>
    <cellStyle name="Currency 5 3 2 2 5 2 3" xfId="13147" xr:uid="{C7341D62-F107-40C9-AFF5-0E1831F92D48}"/>
    <cellStyle name="Currency 5 3 2 2 5 3" xfId="5893" xr:uid="{00000000-0005-0000-0000-0000A90C0000}"/>
    <cellStyle name="Currency 5 3 2 2 5 3 2" xfId="15219" xr:uid="{ADC98BEB-53F9-45FF-ABE6-0C6F9CB10D14}"/>
    <cellStyle name="Currency 5 3 2 2 5 4" xfId="11002" xr:uid="{E97489A5-637E-492C-BD75-3B004747F56F}"/>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ED06C2F5-2C16-4E50-802C-81EF9C15A06A}"/>
    <cellStyle name="Currency 5 3 2 2 6 2 3" xfId="13560" xr:uid="{FD1D235B-3DEA-462D-A109-4BD7EE38705D}"/>
    <cellStyle name="Currency 5 3 2 2 6 3" xfId="6306" xr:uid="{00000000-0005-0000-0000-0000AD0C0000}"/>
    <cellStyle name="Currency 5 3 2 2 6 3 2" xfId="15632" xr:uid="{82B00E8E-34D7-4B2E-A008-CDDC189E385D}"/>
    <cellStyle name="Currency 5 3 2 2 6 4" xfId="11415" xr:uid="{419054EF-9A08-4BFB-9DCA-ACDDC28C2076}"/>
    <cellStyle name="Currency 5 3 2 2 7" xfId="2435" xr:uid="{00000000-0005-0000-0000-0000AE0C0000}"/>
    <cellStyle name="Currency 5 3 2 2 7 2" xfId="6719" xr:uid="{00000000-0005-0000-0000-0000AF0C0000}"/>
    <cellStyle name="Currency 5 3 2 2 7 2 2" xfId="16045" xr:uid="{CDEF62C7-2914-4BC2-A66A-3870B3E3E8D9}"/>
    <cellStyle name="Currency 5 3 2 2 7 3" xfId="11828" xr:uid="{7A7E5D4A-13CE-434A-A961-C659FA1F3C12}"/>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C9CF9197-2BEA-44AA-937C-0EB6F90885D7}"/>
    <cellStyle name="Currency 5 3 2 2 9 3" xfId="12145" xr:uid="{281EE911-577B-4EB1-A6AB-90EED3115EC6}"/>
    <cellStyle name="Currency 5 3 2 3" xfId="213" xr:uid="{00000000-0005-0000-0000-0000B30C0000}"/>
    <cellStyle name="Currency 5 3 2 3 10" xfId="9017" xr:uid="{A6213F8D-EE09-4095-B9BE-99C55DEE210F}"/>
    <cellStyle name="Currency 5 3 2 3 10 2" xfId="18340" xr:uid="{EB767C9B-6117-4FB9-89F8-3E47D083979E}"/>
    <cellStyle name="Currency 5 3 2 3 11" xfId="9764" xr:uid="{1C764DE4-6DCD-4C68-8ED8-6C72E763781C}"/>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F5CDFEE6-2EB0-4C6B-93C0-5901BDAD5D88}"/>
    <cellStyle name="Currency 5 3 2 3 2 2 3" xfId="12323" xr:uid="{7EBFD798-8DB3-4B62-80EE-248E379DF9F7}"/>
    <cellStyle name="Currency 5 3 2 3 2 3" xfId="5069" xr:uid="{00000000-0005-0000-0000-0000B70C0000}"/>
    <cellStyle name="Currency 5 3 2 3 2 3 2" xfId="14395" xr:uid="{5C0E3DB9-0AA4-4C04-9F4D-ABD929E8B96F}"/>
    <cellStyle name="Currency 5 3 2 3 2 4" xfId="9442" xr:uid="{AE48BD1F-B5DA-4007-BBEE-128FE2FE74D7}"/>
    <cellStyle name="Currency 5 3 2 3 2 4 2" xfId="18755" xr:uid="{ECE1C6E3-E02D-45CC-94BB-44E987BEC288}"/>
    <cellStyle name="Currency 5 3 2 3 2 5" xfId="10178" xr:uid="{B69E2E12-E775-4AEE-A954-36271509BBEB}"/>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2EEAA003-B543-41C4-B517-C65530D039B1}"/>
    <cellStyle name="Currency 5 3 2 3 3 2 3" xfId="12736" xr:uid="{9FD2E73B-CDE4-4AD4-BD9D-0AE337A0AC9A}"/>
    <cellStyle name="Currency 5 3 2 3 3 3" xfId="5482" xr:uid="{00000000-0005-0000-0000-0000BB0C0000}"/>
    <cellStyle name="Currency 5 3 2 3 3 3 2" xfId="14808" xr:uid="{D82CABCE-CF48-47BE-9D4D-D4F4E193BCBC}"/>
    <cellStyle name="Currency 5 3 2 3 3 4" xfId="10591" xr:uid="{B89E1923-2CA7-476F-91E4-BC329C0E284E}"/>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51603ED5-817E-421C-909D-3F2E51139305}"/>
    <cellStyle name="Currency 5 3 2 3 4 2 3" xfId="13149" xr:uid="{6236C4AD-661D-4FF4-BE93-156A26FC86CA}"/>
    <cellStyle name="Currency 5 3 2 3 4 3" xfId="5895" xr:uid="{00000000-0005-0000-0000-0000BF0C0000}"/>
    <cellStyle name="Currency 5 3 2 3 4 3 2" xfId="15221" xr:uid="{40FBC238-166E-477D-B20B-1DF515A698D8}"/>
    <cellStyle name="Currency 5 3 2 3 4 4" xfId="11004" xr:uid="{E3CB7751-F341-474B-A03A-0E8D1366A9C7}"/>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36E749B4-DBD6-44A6-9E34-0ABD036650E7}"/>
    <cellStyle name="Currency 5 3 2 3 5 2 3" xfId="13562" xr:uid="{EB336659-6DF8-4292-8526-9A09B775A6FB}"/>
    <cellStyle name="Currency 5 3 2 3 5 3" xfId="6308" xr:uid="{00000000-0005-0000-0000-0000C30C0000}"/>
    <cellStyle name="Currency 5 3 2 3 5 3 2" xfId="15634" xr:uid="{62A5EE24-1576-4A25-83BE-C7C499926974}"/>
    <cellStyle name="Currency 5 3 2 3 5 4" xfId="11417" xr:uid="{5370293A-A762-483A-8FED-D2D875884514}"/>
    <cellStyle name="Currency 5 3 2 3 6" xfId="2437" xr:uid="{00000000-0005-0000-0000-0000C40C0000}"/>
    <cellStyle name="Currency 5 3 2 3 6 2" xfId="6721" xr:uid="{00000000-0005-0000-0000-0000C50C0000}"/>
    <cellStyle name="Currency 5 3 2 3 6 2 2" xfId="16047" xr:uid="{A96AA9D2-DE6D-4417-848B-EBC910B2D39D}"/>
    <cellStyle name="Currency 5 3 2 3 6 3" xfId="11830" xr:uid="{3ADA56B8-A5EB-4127-9F92-3A94C84CE126}"/>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BE9B2A50-7B3D-4EE4-8753-7F133DEA0BD3}"/>
    <cellStyle name="Currency 5 3 2 3 8 3" xfId="12147" xr:uid="{60E3480E-B772-4551-8E79-C87470F2FAAC}"/>
    <cellStyle name="Currency 5 3 2 3 9" xfId="4655" xr:uid="{00000000-0005-0000-0000-0000C90C0000}"/>
    <cellStyle name="Currency 5 3 2 3 9 2" xfId="13981" xr:uid="{D5600CBA-BA29-4977-8E72-A5E89457B962}"/>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5AE16405-5F10-4E1F-8561-31A3F977B715}"/>
    <cellStyle name="Currency 5 3 2 4 2 3" xfId="12320" xr:uid="{2FD3AE26-1551-4EC4-89FF-075F3B1E22B6}"/>
    <cellStyle name="Currency 5 3 2 4 3" xfId="5066" xr:uid="{00000000-0005-0000-0000-0000CD0C0000}"/>
    <cellStyle name="Currency 5 3 2 4 3 2" xfId="14392" xr:uid="{8AB03305-DBF8-4800-8A2E-7756005D957A}"/>
    <cellStyle name="Currency 5 3 2 4 4" xfId="9235" xr:uid="{F2FD4117-6EF1-4663-964A-AB5B57E6F469}"/>
    <cellStyle name="Currency 5 3 2 4 4 2" xfId="18548" xr:uid="{2EEC1217-E29E-42C9-9716-E63FBF7AB74E}"/>
    <cellStyle name="Currency 5 3 2 4 5" xfId="10175" xr:uid="{1B34F5E8-FCC2-4E3C-BEA7-2AC56910A7C6}"/>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3DA93AA3-E472-4F83-BB23-AB2DDD7CD168}"/>
    <cellStyle name="Currency 5 3 2 5 2 3" xfId="12733" xr:uid="{C2545C55-EC09-4018-BA9F-2BE7DDC77D40}"/>
    <cellStyle name="Currency 5 3 2 5 3" xfId="5479" xr:uid="{00000000-0005-0000-0000-0000D10C0000}"/>
    <cellStyle name="Currency 5 3 2 5 3 2" xfId="14805" xr:uid="{4C868C8F-E178-4E3D-A318-53332D3434DC}"/>
    <cellStyle name="Currency 5 3 2 5 4" xfId="10588" xr:uid="{D7925C81-2981-41AD-8A84-E9FD41F2F046}"/>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2D1571C5-84B5-4546-829C-1384C63C6685}"/>
    <cellStyle name="Currency 5 3 2 6 2 3" xfId="13146" xr:uid="{C804FBD6-937B-404F-B45F-D10A7C1D43F2}"/>
    <cellStyle name="Currency 5 3 2 6 3" xfId="5892" xr:uid="{00000000-0005-0000-0000-0000D50C0000}"/>
    <cellStyle name="Currency 5 3 2 6 3 2" xfId="15218" xr:uid="{55892574-5B72-4EAA-A395-C52A8231D270}"/>
    <cellStyle name="Currency 5 3 2 6 4" xfId="11001" xr:uid="{A833CE75-B544-40E5-A108-05F822D4E9B1}"/>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6141EB3B-3EB5-49A6-8A4D-A0BFE11383A3}"/>
    <cellStyle name="Currency 5 3 2 7 2 3" xfId="13559" xr:uid="{072D2CBE-8D46-4789-94F9-5AFB9AD5E261}"/>
    <cellStyle name="Currency 5 3 2 7 3" xfId="6305" xr:uid="{00000000-0005-0000-0000-0000D90C0000}"/>
    <cellStyle name="Currency 5 3 2 7 3 2" xfId="15631" xr:uid="{970260F4-9669-4323-B8D7-692D225A37F5}"/>
    <cellStyle name="Currency 5 3 2 7 4" xfId="11414" xr:uid="{B176AE41-7ED9-426E-A3BB-77119997DC5C}"/>
    <cellStyle name="Currency 5 3 2 8" xfId="2434" xr:uid="{00000000-0005-0000-0000-0000DA0C0000}"/>
    <cellStyle name="Currency 5 3 2 8 2" xfId="6718" xr:uid="{00000000-0005-0000-0000-0000DB0C0000}"/>
    <cellStyle name="Currency 5 3 2 8 2 2" xfId="16044" xr:uid="{EA4C0119-C053-4BB5-B3FE-69809EF8FCED}"/>
    <cellStyle name="Currency 5 3 2 8 3" xfId="11827" xr:uid="{FD90E8AB-FD53-4864-884A-1643FEA02309}"/>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76E4B92C-FD4F-47AC-9364-DD41DE0B8C57}"/>
    <cellStyle name="Currency 5 3 3 11" xfId="8882" xr:uid="{A86B3ED4-B552-42F3-9E77-C6763F86EEE6}"/>
    <cellStyle name="Currency 5 3 3 11 2" xfId="18205" xr:uid="{7165227C-571A-4729-A3EF-0A8B8C19D272}"/>
    <cellStyle name="Currency 5 3 3 12" xfId="9765" xr:uid="{07C81BE9-F46B-40DC-B744-2436C86F42E3}"/>
    <cellStyle name="Currency 5 3 3 2" xfId="215" xr:uid="{00000000-0005-0000-0000-0000DF0C0000}"/>
    <cellStyle name="Currency 5 3 3 2 10" xfId="9089" xr:uid="{7CFB8DCC-02AE-4CC5-8E10-3D33399ECECE}"/>
    <cellStyle name="Currency 5 3 3 2 10 2" xfId="18412" xr:uid="{ECFFE1AF-85B5-4CEB-99AE-57E6ED325AC3}"/>
    <cellStyle name="Currency 5 3 3 2 11" xfId="9766" xr:uid="{6EA2951C-36CB-41CF-A762-9085A1F0744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1A9300F9-5443-4EB6-86DD-99439CEB648E}"/>
    <cellStyle name="Currency 5 3 3 2 2 2 3" xfId="12325" xr:uid="{44ED6240-142F-4CB4-BE4B-EC4B4770AFD3}"/>
    <cellStyle name="Currency 5 3 3 2 2 3" xfId="5071" xr:uid="{00000000-0005-0000-0000-0000E30C0000}"/>
    <cellStyle name="Currency 5 3 3 2 2 3 2" xfId="14397" xr:uid="{E084BD3C-F797-4A33-8A90-5430707AAC1A}"/>
    <cellStyle name="Currency 5 3 3 2 2 4" xfId="9514" xr:uid="{9A504F43-6423-4200-B7AF-F17B65B2005C}"/>
    <cellStyle name="Currency 5 3 3 2 2 4 2" xfId="18827" xr:uid="{338B7CF6-EAB8-429D-9DC7-50822F8885C4}"/>
    <cellStyle name="Currency 5 3 3 2 2 5" xfId="10180" xr:uid="{8FA0E758-D1BE-41F4-894B-4F1F92AC3CFA}"/>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0B7AE56D-A5A9-49D9-B440-78E012469B13}"/>
    <cellStyle name="Currency 5 3 3 2 3 2 3" xfId="12738" xr:uid="{1A5A725E-7526-4290-A377-A33DDDF9AD17}"/>
    <cellStyle name="Currency 5 3 3 2 3 3" xfId="5484" xr:uid="{00000000-0005-0000-0000-0000E70C0000}"/>
    <cellStyle name="Currency 5 3 3 2 3 3 2" xfId="14810" xr:uid="{0DB07B59-7BCD-40F5-85D1-9ED1C21DC351}"/>
    <cellStyle name="Currency 5 3 3 2 3 4" xfId="10593" xr:uid="{6B9A4CA6-79F1-4AB2-BE99-538792ADD0AB}"/>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B869CA1D-8C3E-43B5-A154-E4E81F91DEB0}"/>
    <cellStyle name="Currency 5 3 3 2 4 2 3" xfId="13151" xr:uid="{06D32403-1BB6-48B2-8C9E-DC771C8668AD}"/>
    <cellStyle name="Currency 5 3 3 2 4 3" xfId="5897" xr:uid="{00000000-0005-0000-0000-0000EB0C0000}"/>
    <cellStyle name="Currency 5 3 3 2 4 3 2" xfId="15223" xr:uid="{9A100022-25A4-469D-83E7-D583B773F83B}"/>
    <cellStyle name="Currency 5 3 3 2 4 4" xfId="11006" xr:uid="{72DF19CB-1865-4934-9110-A38F39A9B056}"/>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68146A12-2B0A-4DCE-8FEE-18C998C4A110}"/>
    <cellStyle name="Currency 5 3 3 2 5 2 3" xfId="13564" xr:uid="{A30FAEC8-B7B7-4365-98A2-FB8C17CB279A}"/>
    <cellStyle name="Currency 5 3 3 2 5 3" xfId="6310" xr:uid="{00000000-0005-0000-0000-0000EF0C0000}"/>
    <cellStyle name="Currency 5 3 3 2 5 3 2" xfId="15636" xr:uid="{E534C1DB-7BDE-46AC-8D0C-CF4E3A46588E}"/>
    <cellStyle name="Currency 5 3 3 2 5 4" xfId="11419" xr:uid="{00FC6C83-BB89-4E46-AD3F-CBE33A433B45}"/>
    <cellStyle name="Currency 5 3 3 2 6" xfId="2439" xr:uid="{00000000-0005-0000-0000-0000F00C0000}"/>
    <cellStyle name="Currency 5 3 3 2 6 2" xfId="6723" xr:uid="{00000000-0005-0000-0000-0000F10C0000}"/>
    <cellStyle name="Currency 5 3 3 2 6 2 2" xfId="16049" xr:uid="{BFAA4422-B774-4180-9C7E-75774FB25CC7}"/>
    <cellStyle name="Currency 5 3 3 2 6 3" xfId="11832" xr:uid="{A4DC6350-6071-47B6-A8EA-BB1B9E46F03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29414DB0-F7F3-4B19-9A07-F6DBD3861AA6}"/>
    <cellStyle name="Currency 5 3 3 2 8 3" xfId="12149" xr:uid="{CD7C4D7B-493F-412D-A446-5CE7A8C3ABA5}"/>
    <cellStyle name="Currency 5 3 3 2 9" xfId="4657" xr:uid="{00000000-0005-0000-0000-0000F50C0000}"/>
    <cellStyle name="Currency 5 3 3 2 9 2" xfId="13983" xr:uid="{A96E45B8-CEFF-461C-AF47-727F48EA0FEB}"/>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D3722B10-A5EF-4D06-B304-A436A5903775}"/>
    <cellStyle name="Currency 5 3 3 3 2 3" xfId="12324" xr:uid="{A75578A0-3FA3-41DF-B56B-40E6F489C286}"/>
    <cellStyle name="Currency 5 3 3 3 3" xfId="5070" xr:uid="{00000000-0005-0000-0000-0000F90C0000}"/>
    <cellStyle name="Currency 5 3 3 3 3 2" xfId="14396" xr:uid="{C7E2D70A-6E36-4E22-B7BF-93A9055DD574}"/>
    <cellStyle name="Currency 5 3 3 3 4" xfId="9307" xr:uid="{3F0512A0-B779-46E4-A963-62E327C6AC5F}"/>
    <cellStyle name="Currency 5 3 3 3 4 2" xfId="18620" xr:uid="{8FD2B4F1-C9B2-44B7-8FFD-99351F19B8A0}"/>
    <cellStyle name="Currency 5 3 3 3 5" xfId="10179" xr:uid="{41367F85-D9AA-4C91-B43E-AE349C7389DD}"/>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74FFE4B1-B864-41A3-BAB6-5CF6C1894B8D}"/>
    <cellStyle name="Currency 5 3 3 4 2 3" xfId="12737" xr:uid="{8BC1632C-0A3D-4BB5-A2F9-BFAA3B2CECBA}"/>
    <cellStyle name="Currency 5 3 3 4 3" xfId="5483" xr:uid="{00000000-0005-0000-0000-0000FD0C0000}"/>
    <cellStyle name="Currency 5 3 3 4 3 2" xfId="14809" xr:uid="{619D8507-A5EA-4FAD-8E93-3470A8DA559E}"/>
    <cellStyle name="Currency 5 3 3 4 4" xfId="10592" xr:uid="{5BC9B721-9448-4B67-99F4-DE0D354C4E99}"/>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D13BAC07-8088-491B-94F6-CAE42A0527CE}"/>
    <cellStyle name="Currency 5 3 3 5 2 3" xfId="13150" xr:uid="{8FBCD639-3267-4A8D-BF9D-C512507D50C6}"/>
    <cellStyle name="Currency 5 3 3 5 3" xfId="5896" xr:uid="{00000000-0005-0000-0000-0000010D0000}"/>
    <cellStyle name="Currency 5 3 3 5 3 2" xfId="15222" xr:uid="{52CE77FC-BC8A-4814-9A35-A670CC8D82F7}"/>
    <cellStyle name="Currency 5 3 3 5 4" xfId="11005" xr:uid="{C5820003-820F-4840-A069-0A5036F90B84}"/>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03BA207A-C89F-401C-BBFD-0C17EF17ABF7}"/>
    <cellStyle name="Currency 5 3 3 6 2 3" xfId="13563" xr:uid="{C37DA28B-B0FE-4C31-BD63-73E668302F84}"/>
    <cellStyle name="Currency 5 3 3 6 3" xfId="6309" xr:uid="{00000000-0005-0000-0000-0000050D0000}"/>
    <cellStyle name="Currency 5 3 3 6 3 2" xfId="15635" xr:uid="{99BC587A-445F-49DA-A5E9-636F39E9A280}"/>
    <cellStyle name="Currency 5 3 3 6 4" xfId="11418" xr:uid="{8000517E-BDE2-4C1F-BCA5-21F203C8C9CB}"/>
    <cellStyle name="Currency 5 3 3 7" xfId="2438" xr:uid="{00000000-0005-0000-0000-0000060D0000}"/>
    <cellStyle name="Currency 5 3 3 7 2" xfId="6722" xr:uid="{00000000-0005-0000-0000-0000070D0000}"/>
    <cellStyle name="Currency 5 3 3 7 2 2" xfId="16048" xr:uid="{886B9DFD-3DB7-4AED-A9D6-D889945E08BB}"/>
    <cellStyle name="Currency 5 3 3 7 3" xfId="11831" xr:uid="{513F0FDB-4EA9-4BDF-87E7-AA68880DFBA7}"/>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5359BD7D-CA90-4065-953A-48BCB7D93BBC}"/>
    <cellStyle name="Currency 5 3 3 9 3" xfId="12148" xr:uid="{A32353BB-DD6E-46CA-B994-23B25B9F4A1B}"/>
    <cellStyle name="Currency 5 3 4" xfId="216" xr:uid="{00000000-0005-0000-0000-00000B0D0000}"/>
    <cellStyle name="Currency 5 3 4 10" xfId="8986" xr:uid="{4F6CFA4A-F10A-4043-AD92-C0A3F7F06459}"/>
    <cellStyle name="Currency 5 3 4 10 2" xfId="18309" xr:uid="{D80FD789-41FB-4271-9674-C957C268C62F}"/>
    <cellStyle name="Currency 5 3 4 11" xfId="9767" xr:uid="{756F1E76-C881-42C5-9544-AFCF687DB1F2}"/>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3A55437C-1DEA-4DA1-BFC1-A89FFD60E8E5}"/>
    <cellStyle name="Currency 5 3 4 2 2 3" xfId="12326" xr:uid="{4DABA72F-8273-4AED-B8FE-A8A7C16EEAE1}"/>
    <cellStyle name="Currency 5 3 4 2 3" xfId="5072" xr:uid="{00000000-0005-0000-0000-00000F0D0000}"/>
    <cellStyle name="Currency 5 3 4 2 3 2" xfId="14398" xr:uid="{436F2120-3B58-479B-A453-3AFAC20A8E75}"/>
    <cellStyle name="Currency 5 3 4 2 4" xfId="9411" xr:uid="{2729DEB6-408B-463E-B468-91D932C31FD7}"/>
    <cellStyle name="Currency 5 3 4 2 4 2" xfId="18724" xr:uid="{4EE00C26-4426-47AE-B7D3-F4021C0B39BB}"/>
    <cellStyle name="Currency 5 3 4 2 5" xfId="10181" xr:uid="{C5D641D5-A80F-4E88-8090-9DC12ED64D9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64EB4994-1D93-477A-9E3B-1803FDFD75C6}"/>
    <cellStyle name="Currency 5 3 4 3 2 3" xfId="12739" xr:uid="{F00F06C5-8FEA-4916-BE03-E16C4E9D0263}"/>
    <cellStyle name="Currency 5 3 4 3 3" xfId="5485" xr:uid="{00000000-0005-0000-0000-0000130D0000}"/>
    <cellStyle name="Currency 5 3 4 3 3 2" xfId="14811" xr:uid="{439EC39B-7690-497D-81FE-B780B4242F79}"/>
    <cellStyle name="Currency 5 3 4 3 4" xfId="10594" xr:uid="{23C56D9A-F85C-4272-8B94-D27D90B2964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64BECE3A-593F-4605-9809-CD6924E30AF2}"/>
    <cellStyle name="Currency 5 3 4 4 2 3" xfId="13152" xr:uid="{D638966C-B021-45AA-BA2A-EDB5328923E0}"/>
    <cellStyle name="Currency 5 3 4 4 3" xfId="5898" xr:uid="{00000000-0005-0000-0000-0000170D0000}"/>
    <cellStyle name="Currency 5 3 4 4 3 2" xfId="15224" xr:uid="{0264E59A-7B64-42E0-B634-EC8E5DC1F574}"/>
    <cellStyle name="Currency 5 3 4 4 4" xfId="11007" xr:uid="{F6999B93-1B6E-40D2-861C-F86B8C91A99D}"/>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28084358-5FF0-4A50-949F-98A2641381F0}"/>
    <cellStyle name="Currency 5 3 4 5 2 3" xfId="13565" xr:uid="{7D4873D1-0AB6-4544-90CF-964F7A335817}"/>
    <cellStyle name="Currency 5 3 4 5 3" xfId="6311" xr:uid="{00000000-0005-0000-0000-00001B0D0000}"/>
    <cellStyle name="Currency 5 3 4 5 3 2" xfId="15637" xr:uid="{1A0E7B8F-6B3C-4D97-B5E8-AD50353D1B2E}"/>
    <cellStyle name="Currency 5 3 4 5 4" xfId="11420" xr:uid="{9D84EA97-0044-4085-AEB8-708FEB8DF6D8}"/>
    <cellStyle name="Currency 5 3 4 6" xfId="2440" xr:uid="{00000000-0005-0000-0000-00001C0D0000}"/>
    <cellStyle name="Currency 5 3 4 6 2" xfId="6724" xr:uid="{00000000-0005-0000-0000-00001D0D0000}"/>
    <cellStyle name="Currency 5 3 4 6 2 2" xfId="16050" xr:uid="{1B0BECD7-C2D1-460F-899F-C535D21919D1}"/>
    <cellStyle name="Currency 5 3 4 6 3" xfId="11833" xr:uid="{AA9B6431-2791-44F7-AF8F-2902703049FB}"/>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497817F0-EB1B-45C2-8B0B-8DA806A20BB1}"/>
    <cellStyle name="Currency 5 3 4 8 3" xfId="12150" xr:uid="{11C05310-F178-44E3-BD33-AA8CECB12642}"/>
    <cellStyle name="Currency 5 3 4 9" xfId="4658" xr:uid="{00000000-0005-0000-0000-0000210D0000}"/>
    <cellStyle name="Currency 5 3 4 9 2" xfId="13984" xr:uid="{1CCFA53A-4873-4AC9-B217-B7710DAE49EA}"/>
    <cellStyle name="Currency 5 3 5" xfId="217" xr:uid="{00000000-0005-0000-0000-0000220D0000}"/>
    <cellStyle name="Currency 5 3 5 10" xfId="9203" xr:uid="{6167CBBD-227C-4457-B6B6-18EF5C089771}"/>
    <cellStyle name="Currency 5 3 5 10 2" xfId="18517" xr:uid="{7CEC18EE-2901-4D9F-AF14-ADCD9C864918}"/>
    <cellStyle name="Currency 5 3 5 11" xfId="9768" xr:uid="{44D9CFAE-F4E2-495C-98DB-CFF7C04E4AC9}"/>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17151D80-B1ED-4488-9B1B-BB74B952CBA6}"/>
    <cellStyle name="Currency 5 3 5 2 2 3" xfId="12327" xr:uid="{5407BE36-A483-4EF1-B659-7D2F4FE66F72}"/>
    <cellStyle name="Currency 5 3 5 2 3" xfId="5073" xr:uid="{00000000-0005-0000-0000-0000260D0000}"/>
    <cellStyle name="Currency 5 3 5 2 3 2" xfId="14399" xr:uid="{44053316-F303-43D6-8B4C-9834F766E5B6}"/>
    <cellStyle name="Currency 5 3 5 2 4" xfId="9600" xr:uid="{650A4058-48FE-4F3E-8845-8F52DF332026}"/>
    <cellStyle name="Currency 5 3 5 2 4 2" xfId="18902" xr:uid="{46F0A9B4-2F80-4F2F-AD85-7D647D9BDF62}"/>
    <cellStyle name="Currency 5 3 5 2 5" xfId="10182" xr:uid="{888BE28F-C0B4-46E9-9FF4-F91A70D30FDF}"/>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9493EF8F-631D-48D0-8EC3-D3E1A8CEA386}"/>
    <cellStyle name="Currency 5 3 5 3 2 3" xfId="12740" xr:uid="{50E49AA4-DF83-4C85-A2A6-03DEE5A1577D}"/>
    <cellStyle name="Currency 5 3 5 3 3" xfId="5486" xr:uid="{00000000-0005-0000-0000-00002A0D0000}"/>
    <cellStyle name="Currency 5 3 5 3 3 2" xfId="14812" xr:uid="{3C56BC88-A69D-403A-8B51-11F3F0D24AC6}"/>
    <cellStyle name="Currency 5 3 5 3 4" xfId="10595" xr:uid="{0D4E417F-53E0-4945-A441-B7F514BD8F9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24AA6EC5-956F-43CF-991D-BCBAE0695226}"/>
    <cellStyle name="Currency 5 3 5 4 2 3" xfId="13153" xr:uid="{EDF39CEA-06FE-45E6-9D16-B50D744845AA}"/>
    <cellStyle name="Currency 5 3 5 4 3" xfId="5899" xr:uid="{00000000-0005-0000-0000-00002E0D0000}"/>
    <cellStyle name="Currency 5 3 5 4 3 2" xfId="15225" xr:uid="{D03FD7AF-0E65-4C87-9B0C-AF6D7E20EAF9}"/>
    <cellStyle name="Currency 5 3 5 4 4" xfId="11008" xr:uid="{1ED85DF6-1080-4954-8266-D403E33676B3}"/>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13B9B273-BAF1-458F-961D-F18B026DAB38}"/>
    <cellStyle name="Currency 5 3 5 5 2 3" xfId="13566" xr:uid="{A67DB4F1-BA64-480F-9B46-389C97C55856}"/>
    <cellStyle name="Currency 5 3 5 5 3" xfId="6312" xr:uid="{00000000-0005-0000-0000-0000320D0000}"/>
    <cellStyle name="Currency 5 3 5 5 3 2" xfId="15638" xr:uid="{A4757B53-3E37-4F35-B91A-EFCCA50FD491}"/>
    <cellStyle name="Currency 5 3 5 5 4" xfId="11421" xr:uid="{FE21D4F9-C19C-455D-AD34-59E7E0DB78A1}"/>
    <cellStyle name="Currency 5 3 5 6" xfId="2441" xr:uid="{00000000-0005-0000-0000-0000330D0000}"/>
    <cellStyle name="Currency 5 3 5 6 2" xfId="6725" xr:uid="{00000000-0005-0000-0000-0000340D0000}"/>
    <cellStyle name="Currency 5 3 5 6 2 2" xfId="16051" xr:uid="{64EFB60E-6BD4-417B-851D-015A6B84A2F7}"/>
    <cellStyle name="Currency 5 3 5 6 3" xfId="11834" xr:uid="{C5BD5D08-B62E-4B47-ACE2-64E9061B3D4B}"/>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6FAB3539-25C8-419C-B3ED-628DD247A374}"/>
    <cellStyle name="Currency 5 3 5 8 3" xfId="12151" xr:uid="{FE3C5DF7-7DBE-4164-A1AF-96DE68EB5767}"/>
    <cellStyle name="Currency 5 3 5 9" xfId="4659" xr:uid="{00000000-0005-0000-0000-0000380D0000}"/>
    <cellStyle name="Currency 5 3 5 9 2" xfId="13985" xr:uid="{9EB22E0B-1318-47F0-98EF-AA3A993C4FE2}"/>
    <cellStyle name="Currency 5 3 6" xfId="9585" xr:uid="{F259418A-5AC0-4C4E-A98C-07B5BEE6D673}"/>
    <cellStyle name="Currency 5 3 7" xfId="8779" xr:uid="{856D4C12-E347-4E8F-9200-2EC71AC3E0CB}"/>
    <cellStyle name="Currency 5 3 7 2" xfId="18102" xr:uid="{C1D8BB25-E255-4285-B527-D9E5AD0834E4}"/>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A5757A89-1C28-46AD-A5F2-1B5172E6AC24}"/>
    <cellStyle name="Currency 5 5 11" xfId="8850" xr:uid="{8F129173-F323-478F-8B06-1E2599EB26C1}"/>
    <cellStyle name="Currency 5 5 11 2" xfId="18173" xr:uid="{CEB9A448-B32A-433E-8525-68483A477C4C}"/>
    <cellStyle name="Currency 5 5 12" xfId="9769" xr:uid="{5B3CBDE8-18E3-43B2-8A3E-20A6A995383E}"/>
    <cellStyle name="Currency 5 5 2" xfId="220" xr:uid="{00000000-0005-0000-0000-00003D0D0000}"/>
    <cellStyle name="Currency 5 5 2 10" xfId="9057" xr:uid="{90E61E49-0971-4EC1-90D8-E015846E4FB2}"/>
    <cellStyle name="Currency 5 5 2 10 2" xfId="18380" xr:uid="{112B6C6F-58BD-45D3-A1F3-CBDEFE4A0B37}"/>
    <cellStyle name="Currency 5 5 2 11" xfId="9770" xr:uid="{ED19D91B-C3A1-41D2-934F-04C5DDED8ED9}"/>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FF919123-8E85-40EA-A3FB-C59A09499D49}"/>
    <cellStyle name="Currency 5 5 2 2 2 3" xfId="12329" xr:uid="{97FF87F7-ADCC-4962-8211-E34A879C4234}"/>
    <cellStyle name="Currency 5 5 2 2 3" xfId="5075" xr:uid="{00000000-0005-0000-0000-0000410D0000}"/>
    <cellStyle name="Currency 5 5 2 2 3 2" xfId="14401" xr:uid="{D37E966D-2FC5-453D-BCB5-5EFDC0F0B8D2}"/>
    <cellStyle name="Currency 5 5 2 2 4" xfId="9482" xr:uid="{ECEE3E7C-42CD-4A2D-A90F-D54FFBA7E41F}"/>
    <cellStyle name="Currency 5 5 2 2 4 2" xfId="18795" xr:uid="{338FF59B-9189-4605-B574-10C9DF440673}"/>
    <cellStyle name="Currency 5 5 2 2 5" xfId="10184" xr:uid="{35604676-C942-43F3-B257-4DCF5FF8D60A}"/>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3413A403-1170-4A98-A68E-3BD7145F3A91}"/>
    <cellStyle name="Currency 5 5 2 3 2 3" xfId="12742" xr:uid="{9FB266D9-6E4E-4D47-A1AD-03EFF400C7CB}"/>
    <cellStyle name="Currency 5 5 2 3 3" xfId="5488" xr:uid="{00000000-0005-0000-0000-0000450D0000}"/>
    <cellStyle name="Currency 5 5 2 3 3 2" xfId="14814" xr:uid="{70E76FA0-3F38-4134-BEAD-A8506EFC9D79}"/>
    <cellStyle name="Currency 5 5 2 3 4" xfId="10597" xr:uid="{9A6F89EA-BDE4-4BD6-BE6A-6C70D600A94E}"/>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A82155F9-A9FE-40DF-9DF4-3350AB4AC008}"/>
    <cellStyle name="Currency 5 5 2 4 2 3" xfId="13155" xr:uid="{92BABABA-582B-4C56-85F8-6F663BE3AEFE}"/>
    <cellStyle name="Currency 5 5 2 4 3" xfId="5901" xr:uid="{00000000-0005-0000-0000-0000490D0000}"/>
    <cellStyle name="Currency 5 5 2 4 3 2" xfId="15227" xr:uid="{D4EE6DBD-1EB5-4C5C-8B45-98DD5078847F}"/>
    <cellStyle name="Currency 5 5 2 4 4" xfId="11010" xr:uid="{D6A40621-F4BD-4577-B411-0AFC01FDBE3D}"/>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2A88EC02-68DA-4C6D-AD53-0CB9613F97A3}"/>
    <cellStyle name="Currency 5 5 2 5 2 3" xfId="13568" xr:uid="{DE28FE8B-3BB8-4706-9DBF-417F114BA7C6}"/>
    <cellStyle name="Currency 5 5 2 5 3" xfId="6314" xr:uid="{00000000-0005-0000-0000-00004D0D0000}"/>
    <cellStyle name="Currency 5 5 2 5 3 2" xfId="15640" xr:uid="{D22C40EA-09F0-4851-90C8-1C25A97A60F0}"/>
    <cellStyle name="Currency 5 5 2 5 4" xfId="11423" xr:uid="{898F73A4-296C-4EE2-ACAC-9A21377FEEBB}"/>
    <cellStyle name="Currency 5 5 2 6" xfId="2443" xr:uid="{00000000-0005-0000-0000-00004E0D0000}"/>
    <cellStyle name="Currency 5 5 2 6 2" xfId="6727" xr:uid="{00000000-0005-0000-0000-00004F0D0000}"/>
    <cellStyle name="Currency 5 5 2 6 2 2" xfId="16053" xr:uid="{86B8BCED-D49A-45C0-8F79-7638DA4DA719}"/>
    <cellStyle name="Currency 5 5 2 6 3" xfId="11836" xr:uid="{F2023A4B-835B-4BCE-82B6-4677BEF2FCF7}"/>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54159153-C737-4A72-A121-5B27FF7C4F7B}"/>
    <cellStyle name="Currency 5 5 2 8 3" xfId="12153" xr:uid="{E4E7DE5C-36D3-4102-85A8-7F6A0DF286D9}"/>
    <cellStyle name="Currency 5 5 2 9" xfId="4661" xr:uid="{00000000-0005-0000-0000-0000530D0000}"/>
    <cellStyle name="Currency 5 5 2 9 2" xfId="13987" xr:uid="{AE0C0301-B353-43FA-B541-F1B7280A614A}"/>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05EEB684-BE74-4C8D-8131-8C3048489C3B}"/>
    <cellStyle name="Currency 5 5 3 2 3" xfId="12328" xr:uid="{4BFFA10B-3A95-4D7C-B73E-89A89EF033A5}"/>
    <cellStyle name="Currency 5 5 3 3" xfId="5074" xr:uid="{00000000-0005-0000-0000-0000570D0000}"/>
    <cellStyle name="Currency 5 5 3 3 2" xfId="14400" xr:uid="{0ADE41F1-85B8-484F-ADF9-4C3EDF5A41C8}"/>
    <cellStyle name="Currency 5 5 3 4" xfId="9275" xr:uid="{54783F20-34E5-4A58-80AE-EC7CC69A89C9}"/>
    <cellStyle name="Currency 5 5 3 4 2" xfId="18588" xr:uid="{951740D1-EDCB-466A-9701-FC62B8489722}"/>
    <cellStyle name="Currency 5 5 3 5" xfId="10183" xr:uid="{DB2D5136-DEC3-4979-BC3D-1B6429918E4B}"/>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CCA19879-0FCC-4DB3-8FFA-7570AAD06CD7}"/>
    <cellStyle name="Currency 5 5 4 2 3" xfId="12741" xr:uid="{A5C980F6-8C77-41DD-B85C-0D7A8DF31545}"/>
    <cellStyle name="Currency 5 5 4 3" xfId="5487" xr:uid="{00000000-0005-0000-0000-00005B0D0000}"/>
    <cellStyle name="Currency 5 5 4 3 2" xfId="14813" xr:uid="{3E713A19-354F-4CA3-A854-BB162FB8F0C2}"/>
    <cellStyle name="Currency 5 5 4 4" xfId="10596" xr:uid="{00EF1C1D-99F4-45DE-AD36-AFB1609AC7D2}"/>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757C38A7-5438-4B07-ADE6-77800D45BCE7}"/>
    <cellStyle name="Currency 5 5 5 2 3" xfId="13154" xr:uid="{721FA0E4-3B0E-46AA-A8EA-76651EBAC4BC}"/>
    <cellStyle name="Currency 5 5 5 3" xfId="5900" xr:uid="{00000000-0005-0000-0000-00005F0D0000}"/>
    <cellStyle name="Currency 5 5 5 3 2" xfId="15226" xr:uid="{793145E6-38AC-4A72-829C-85B648F45C71}"/>
    <cellStyle name="Currency 5 5 5 4" xfId="11009" xr:uid="{E255EFDA-3246-43A1-85DB-8BABC2DBB3BB}"/>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430D9CAE-5E28-406C-96B2-F3C84955A755}"/>
    <cellStyle name="Currency 5 5 6 2 3" xfId="13567" xr:uid="{6C3F7906-EFF5-4290-A33E-1E9C14A3D84D}"/>
    <cellStyle name="Currency 5 5 6 3" xfId="6313" xr:uid="{00000000-0005-0000-0000-0000630D0000}"/>
    <cellStyle name="Currency 5 5 6 3 2" xfId="15639" xr:uid="{26D5C50C-1176-40EC-81AD-A16EA644F169}"/>
    <cellStyle name="Currency 5 5 6 4" xfId="11422" xr:uid="{9FC877A2-941F-47E4-BD3B-FEE2F05A203F}"/>
    <cellStyle name="Currency 5 5 7" xfId="2442" xr:uid="{00000000-0005-0000-0000-0000640D0000}"/>
    <cellStyle name="Currency 5 5 7 2" xfId="6726" xr:uid="{00000000-0005-0000-0000-0000650D0000}"/>
    <cellStyle name="Currency 5 5 7 2 2" xfId="16052" xr:uid="{DDD92163-2CF0-4330-9416-9012C8A30CFF}"/>
    <cellStyle name="Currency 5 5 7 3" xfId="11835" xr:uid="{E501FFD1-430C-490B-B2C9-38FFD5A4D3BC}"/>
    <cellStyle name="Currency 5 5 8" xfId="2739" xr:uid="{00000000-0005-0000-0000-0000660D0000}"/>
    <cellStyle name="Currency 5 5 9" xfId="2820" xr:uid="{00000000-0005-0000-0000-0000670D0000}"/>
    <cellStyle name="Currency 5 5 9 2" xfId="7043" xr:uid="{00000000-0005-0000-0000-0000680D0000}"/>
    <cellStyle name="Currency 5 5 9 2 2" xfId="16369" xr:uid="{057F7737-EBD3-4B44-8B10-15F0233799FE}"/>
    <cellStyle name="Currency 5 5 9 3" xfId="12152" xr:uid="{409E8D58-5831-4A8F-8AEF-061193A44E2B}"/>
    <cellStyle name="Currency 5 6" xfId="221" xr:uid="{00000000-0005-0000-0000-0000690D0000}"/>
    <cellStyle name="Currency 5 6 10" xfId="8966" xr:uid="{EC95BD1E-EAA8-4043-BDA7-06F3BBDBC3D5}"/>
    <cellStyle name="Currency 5 6 10 2" xfId="18289" xr:uid="{3E471312-A784-46CF-B561-E6B9F60D4DDC}"/>
    <cellStyle name="Currency 5 6 11" xfId="9771" xr:uid="{1EA4641C-4C99-46FC-A06F-4EDE38856501}"/>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1C7DF6EB-7005-4E02-97F4-E1B20A56336F}"/>
    <cellStyle name="Currency 5 6 2 2 3" xfId="12330" xr:uid="{5EEC54E3-0F69-407A-B91C-C18638120024}"/>
    <cellStyle name="Currency 5 6 2 3" xfId="5076" xr:uid="{00000000-0005-0000-0000-00006D0D0000}"/>
    <cellStyle name="Currency 5 6 2 3 2" xfId="14402" xr:uid="{1A7FFB2C-31D5-41C0-B8F8-F0F1CD38A7E8}"/>
    <cellStyle name="Currency 5 6 2 4" xfId="9391" xr:uid="{8CBF3F74-51EC-4402-B96A-0759E6537FC7}"/>
    <cellStyle name="Currency 5 6 2 4 2" xfId="18704" xr:uid="{73BD1852-BD4C-4853-B403-3F6070016525}"/>
    <cellStyle name="Currency 5 6 2 5" xfId="10185" xr:uid="{8B72B484-5888-4682-BCC4-EF9BAACEAA2C}"/>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591D0A4A-850F-4918-9AA4-289E46F97DF8}"/>
    <cellStyle name="Currency 5 6 3 2 3" xfId="12743" xr:uid="{F873F9B6-5037-41E3-9132-245CB08AD29D}"/>
    <cellStyle name="Currency 5 6 3 3" xfId="5489" xr:uid="{00000000-0005-0000-0000-0000710D0000}"/>
    <cellStyle name="Currency 5 6 3 3 2" xfId="14815" xr:uid="{A3485DB1-E612-44A9-A157-8F3F34294D3B}"/>
    <cellStyle name="Currency 5 6 3 4" xfId="10598" xr:uid="{05A19DD4-9DAB-4D8B-952D-E31788E87917}"/>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7C8E9743-3EAA-4DC1-AC48-0816AF033EE8}"/>
    <cellStyle name="Currency 5 6 4 2 3" xfId="13156" xr:uid="{346976DE-EB8F-4D3A-951A-5F1120D8A0EB}"/>
    <cellStyle name="Currency 5 6 4 3" xfId="5902" xr:uid="{00000000-0005-0000-0000-0000750D0000}"/>
    <cellStyle name="Currency 5 6 4 3 2" xfId="15228" xr:uid="{D3701AD8-9013-4828-B383-78248D8734CD}"/>
    <cellStyle name="Currency 5 6 4 4" xfId="11011" xr:uid="{EABCCED4-77F4-4D86-B1B3-7DB55600BDFF}"/>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D7111FB9-DC11-4433-8160-73EE24EEBD66}"/>
    <cellStyle name="Currency 5 6 5 2 3" xfId="13569" xr:uid="{612B0A6F-0289-4783-A778-4095CD9E47B4}"/>
    <cellStyle name="Currency 5 6 5 3" xfId="6315" xr:uid="{00000000-0005-0000-0000-0000790D0000}"/>
    <cellStyle name="Currency 5 6 5 3 2" xfId="15641" xr:uid="{0DA0C00E-09C8-4BC5-B246-D06F44C63E93}"/>
    <cellStyle name="Currency 5 6 5 4" xfId="11424" xr:uid="{F5106287-016F-44C2-A39A-208B133DB199}"/>
    <cellStyle name="Currency 5 6 6" xfId="2444" xr:uid="{00000000-0005-0000-0000-00007A0D0000}"/>
    <cellStyle name="Currency 5 6 6 2" xfId="6728" xr:uid="{00000000-0005-0000-0000-00007B0D0000}"/>
    <cellStyle name="Currency 5 6 6 2 2" xfId="16054" xr:uid="{A177519E-2F14-4884-9095-460A241B578E}"/>
    <cellStyle name="Currency 5 6 6 3" xfId="11837" xr:uid="{0152F760-FB74-4A9A-B397-B7F4EBB663FA}"/>
    <cellStyle name="Currency 5 6 7" xfId="2741" xr:uid="{00000000-0005-0000-0000-00007C0D0000}"/>
    <cellStyle name="Currency 5 6 8" xfId="2822" xr:uid="{00000000-0005-0000-0000-00007D0D0000}"/>
    <cellStyle name="Currency 5 6 8 2" xfId="7045" xr:uid="{00000000-0005-0000-0000-00007E0D0000}"/>
    <cellStyle name="Currency 5 6 8 2 2" xfId="16371" xr:uid="{0A6C54ED-26E1-40BD-B314-C73FBB39EF5C}"/>
    <cellStyle name="Currency 5 6 8 3" xfId="12154" xr:uid="{291D4ADD-046F-4F84-B5F0-9D1C5CDBF080}"/>
    <cellStyle name="Currency 5 6 9" xfId="4662" xr:uid="{00000000-0005-0000-0000-00007F0D0000}"/>
    <cellStyle name="Currency 5 6 9 2" xfId="13988" xr:uid="{225A4DBC-AB9A-4371-B269-3181EC20B2F1}"/>
    <cellStyle name="Currency 5 7" xfId="222" xr:uid="{00000000-0005-0000-0000-0000800D0000}"/>
    <cellStyle name="Currency 5 7 10" xfId="9169" xr:uid="{7A886DE7-136A-429E-90E2-A7C712D111D8}"/>
    <cellStyle name="Currency 5 7 10 2" xfId="18485" xr:uid="{78B41409-0EEE-4C19-B0A9-263099BE7EFD}"/>
    <cellStyle name="Currency 5 7 11" xfId="9772" xr:uid="{EBEC705A-F191-4574-AA89-1386F8771A4A}"/>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F8E0E8A9-BAFE-4FC7-ABC5-C94DCCAFDDB3}"/>
    <cellStyle name="Currency 5 7 2 2 3" xfId="12331" xr:uid="{580A5F79-F689-401A-9B01-A4C168514A94}"/>
    <cellStyle name="Currency 5 7 2 3" xfId="5077" xr:uid="{00000000-0005-0000-0000-0000840D0000}"/>
    <cellStyle name="Currency 5 7 2 3 2" xfId="14403" xr:uid="{97578A38-12F7-418C-9B0E-7179002522E1}"/>
    <cellStyle name="Currency 5 7 2 4" xfId="9601" xr:uid="{DC93A830-0AF1-4EC4-B764-C728922F3FEF}"/>
    <cellStyle name="Currency 5 7 2 4 2" xfId="18903" xr:uid="{D6ECD5EF-4CFD-4485-9A6D-29842B4D8239}"/>
    <cellStyle name="Currency 5 7 2 5" xfId="10186" xr:uid="{F609D91A-3612-4838-B440-087D5E7CBD47}"/>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4E06C3D2-3DDD-48DE-BC1C-653F294EAA48}"/>
    <cellStyle name="Currency 5 7 3 2 3" xfId="12744" xr:uid="{AC8DA0F4-EB1E-4D52-A93C-D1A7199D91AD}"/>
    <cellStyle name="Currency 5 7 3 3" xfId="5490" xr:uid="{00000000-0005-0000-0000-0000880D0000}"/>
    <cellStyle name="Currency 5 7 3 3 2" xfId="14816" xr:uid="{4CB9159E-7BA4-4652-A74B-913685B17CBC}"/>
    <cellStyle name="Currency 5 7 3 4" xfId="10599" xr:uid="{158FF88F-11F1-43EC-903C-AF8F394F6E52}"/>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7B81E154-3F36-45DF-870F-36806CC09BB8}"/>
    <cellStyle name="Currency 5 7 4 2 3" xfId="13157" xr:uid="{B04758FD-80E5-47E0-BA09-8D811622A373}"/>
    <cellStyle name="Currency 5 7 4 3" xfId="5903" xr:uid="{00000000-0005-0000-0000-00008C0D0000}"/>
    <cellStyle name="Currency 5 7 4 3 2" xfId="15229" xr:uid="{DC89AD07-C61F-4BBC-B0FC-FA6C27CEE893}"/>
    <cellStyle name="Currency 5 7 4 4" xfId="11012" xr:uid="{A5E75A12-C088-4C52-9451-04B4FFCEFD7A}"/>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D4D2DEEF-A0AD-4EF5-A1FC-37B1C6A8B9E3}"/>
    <cellStyle name="Currency 5 7 5 2 3" xfId="13570" xr:uid="{D868FCFC-3292-4334-87AE-C33979AF02F0}"/>
    <cellStyle name="Currency 5 7 5 3" xfId="6316" xr:uid="{00000000-0005-0000-0000-0000900D0000}"/>
    <cellStyle name="Currency 5 7 5 3 2" xfId="15642" xr:uid="{23DC7D16-18AD-404E-984D-061C2C13EEC4}"/>
    <cellStyle name="Currency 5 7 5 4" xfId="11425" xr:uid="{CCB8E02C-5E6D-48A5-B879-89FD59127E62}"/>
    <cellStyle name="Currency 5 7 6" xfId="2445" xr:uid="{00000000-0005-0000-0000-0000910D0000}"/>
    <cellStyle name="Currency 5 7 6 2" xfId="6729" xr:uid="{00000000-0005-0000-0000-0000920D0000}"/>
    <cellStyle name="Currency 5 7 6 2 2" xfId="16055" xr:uid="{3B6CB36D-4C84-4780-875C-4760949640DA}"/>
    <cellStyle name="Currency 5 7 6 3" xfId="11838" xr:uid="{A35282B9-767F-4E63-92FC-AA6381A93A0B}"/>
    <cellStyle name="Currency 5 7 7" xfId="2742" xr:uid="{00000000-0005-0000-0000-0000930D0000}"/>
    <cellStyle name="Currency 5 7 8" xfId="2823" xr:uid="{00000000-0005-0000-0000-0000940D0000}"/>
    <cellStyle name="Currency 5 7 8 2" xfId="7046" xr:uid="{00000000-0005-0000-0000-0000950D0000}"/>
    <cellStyle name="Currency 5 7 8 2 2" xfId="16372" xr:uid="{DA6B186A-1ACC-40BC-918D-00A61557EDC4}"/>
    <cellStyle name="Currency 5 7 8 3" xfId="12155" xr:uid="{E1FBFB04-1605-4566-A7A8-3B1772858631}"/>
    <cellStyle name="Currency 5 7 9" xfId="4663" xr:uid="{00000000-0005-0000-0000-0000960D0000}"/>
    <cellStyle name="Currency 5 7 9 2" xfId="13989" xr:uid="{B604D6C1-1189-42BC-8CCE-D7CC6D6A86B4}"/>
    <cellStyle name="Currency 5 8" xfId="721" xr:uid="{00000000-0005-0000-0000-0000970D0000}"/>
    <cellStyle name="Currency 5 9" xfId="8747" xr:uid="{CCFF1C6E-BA46-44B7-A8DD-B170160D04FF}"/>
    <cellStyle name="Currency 5 9 2" xfId="18070" xr:uid="{2F8046BA-EDD6-4013-92E8-CBA613285959}"/>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E0F6B59E-2EDF-457A-B22F-AE278C6D9E6A}"/>
    <cellStyle name="Normal 12 10 3" xfId="11839" xr:uid="{5C2580CD-4A0C-41E3-A095-6F8ABCC5726F}"/>
    <cellStyle name="Normal 12 11" xfId="4664" xr:uid="{00000000-0005-0000-0000-0000CC0D0000}"/>
    <cellStyle name="Normal 12 11 2" xfId="13990" xr:uid="{991CD585-A339-4F9E-9E70-589CA04D5148}"/>
    <cellStyle name="Normal 12 12" xfId="8770" xr:uid="{16E7F001-A88D-4413-825E-78352A31064A}"/>
    <cellStyle name="Normal 12 12 2" xfId="18093" xr:uid="{A9FC1612-81E1-4BCF-A212-267C0DB64A41}"/>
    <cellStyle name="Normal 12 13" xfId="9773" xr:uid="{3DB950F2-76DA-42A8-BFDC-440FFE5C7752}"/>
    <cellStyle name="Normal 12 2" xfId="260" xr:uid="{00000000-0005-0000-0000-0000CD0D0000}"/>
    <cellStyle name="Normal 12 2 10" xfId="8811" xr:uid="{C610EFA7-DF28-475D-A7AA-61B6675A083B}"/>
    <cellStyle name="Normal 12 2 10 2" xfId="18134" xr:uid="{3F96A39B-D9B2-4DBF-83EA-9D1A0E5C7D89}"/>
    <cellStyle name="Normal 12 2 11" xfId="9774" xr:uid="{4494CA0A-6134-4E3F-ADD3-615A9270AC97}"/>
    <cellStyle name="Normal 12 2 2" xfId="261" xr:uid="{00000000-0005-0000-0000-0000CE0D0000}"/>
    <cellStyle name="Normal 12 2 2 10" xfId="9775" xr:uid="{DE6EE5FB-CE6D-4794-B03A-3CAF78EACF31}"/>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B0065262-04A4-4A71-A074-544120EC1732}"/>
    <cellStyle name="Normal 12 2 2 2 2 2 3" xfId="12335" xr:uid="{EF02A262-274C-418E-812C-9F3FDED80D39}"/>
    <cellStyle name="Normal 12 2 2 2 2 3" xfId="5081" xr:uid="{00000000-0005-0000-0000-0000D30D0000}"/>
    <cellStyle name="Normal 12 2 2 2 2 3 2" xfId="14407" xr:uid="{7C220DEF-3350-44BD-9D34-E72D5EEB2822}"/>
    <cellStyle name="Normal 12 2 2 2 2 4" xfId="9546" xr:uid="{609DE280-4DA3-4355-9F1C-9E01708347EA}"/>
    <cellStyle name="Normal 12 2 2 2 2 4 2" xfId="18859" xr:uid="{ED8557A3-114E-41F2-887E-40E1EEAE9343}"/>
    <cellStyle name="Normal 12 2 2 2 2 5" xfId="10190" xr:uid="{D42CE319-70A4-4147-9534-950047F95EDD}"/>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A03A669C-B97D-41BC-9550-CFA551F0174C}"/>
    <cellStyle name="Normal 12 2 2 2 3 2 3" xfId="12748" xr:uid="{778C5CFA-0529-4075-9BB5-724F42D92299}"/>
    <cellStyle name="Normal 12 2 2 2 3 3" xfId="5494" xr:uid="{00000000-0005-0000-0000-0000D70D0000}"/>
    <cellStyle name="Normal 12 2 2 2 3 3 2" xfId="14820" xr:uid="{F60A4771-A9D4-4FC6-9D9C-3077F414DD0B}"/>
    <cellStyle name="Normal 12 2 2 2 3 4" xfId="10603" xr:uid="{84D1F487-2035-41E2-A326-99B78F10982C}"/>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3E6DEECE-ABF8-4DCD-98A8-A30D8231E46F}"/>
    <cellStyle name="Normal 12 2 2 2 4 2 3" xfId="13161" xr:uid="{920BB88A-537E-4B2A-9455-00701ED12518}"/>
    <cellStyle name="Normal 12 2 2 2 4 3" xfId="5907" xr:uid="{00000000-0005-0000-0000-0000DB0D0000}"/>
    <cellStyle name="Normal 12 2 2 2 4 3 2" xfId="15233" xr:uid="{B6924988-75E8-429B-9206-1EF7F66B8CCB}"/>
    <cellStyle name="Normal 12 2 2 2 4 4" xfId="11016" xr:uid="{D3A0952B-B1FB-4619-AE97-8290262C8B2E}"/>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F6AF5EF1-F550-4021-B342-4D855131A3D2}"/>
    <cellStyle name="Normal 12 2 2 2 5 2 3" xfId="13574" xr:uid="{15EDA652-59ED-431B-B444-4F55C8B42C8A}"/>
    <cellStyle name="Normal 12 2 2 2 5 3" xfId="6320" xr:uid="{00000000-0005-0000-0000-0000DF0D0000}"/>
    <cellStyle name="Normal 12 2 2 2 5 3 2" xfId="15646" xr:uid="{F5E81155-2B7D-4EDB-ACE4-2545B52EB28C}"/>
    <cellStyle name="Normal 12 2 2 2 5 4" xfId="11429" xr:uid="{27969314-BB09-40C8-A528-105EB8D70289}"/>
    <cellStyle name="Normal 12 2 2 2 6" xfId="2450" xr:uid="{00000000-0005-0000-0000-0000E00D0000}"/>
    <cellStyle name="Normal 12 2 2 2 6 2" xfId="6733" xr:uid="{00000000-0005-0000-0000-0000E10D0000}"/>
    <cellStyle name="Normal 12 2 2 2 6 2 2" xfId="16059" xr:uid="{40C3F897-C733-4C64-9FC2-72BA36C7679F}"/>
    <cellStyle name="Normal 12 2 2 2 6 3" xfId="11842" xr:uid="{8A55271C-A4C6-42E2-AF34-15C38148C165}"/>
    <cellStyle name="Normal 12 2 2 2 7" xfId="4667" xr:uid="{00000000-0005-0000-0000-0000E20D0000}"/>
    <cellStyle name="Normal 12 2 2 2 7 2" xfId="13993" xr:uid="{556BE827-B006-4FE6-9DB3-E44F64A28A55}"/>
    <cellStyle name="Normal 12 2 2 2 8" xfId="9121" xr:uid="{527C15BB-BE4D-46AB-9317-CC8E6838C91D}"/>
    <cellStyle name="Normal 12 2 2 2 8 2" xfId="18444" xr:uid="{C856AAB0-6C54-4045-BC2A-673E7FB87E52}"/>
    <cellStyle name="Normal 12 2 2 2 9" xfId="9776" xr:uid="{C280F9E7-BC64-4C74-B082-0F4D13936599}"/>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E4DCA454-F17E-4F89-9CE3-EC6B63899917}"/>
    <cellStyle name="Normal 12 2 2 3 2 3" xfId="12334" xr:uid="{431D0D2A-8073-4162-8047-F943DFD05D47}"/>
    <cellStyle name="Normal 12 2 2 3 3" xfId="5080" xr:uid="{00000000-0005-0000-0000-0000E60D0000}"/>
    <cellStyle name="Normal 12 2 2 3 3 2" xfId="14406" xr:uid="{509BA973-FA8C-490E-B505-B0A4AE904395}"/>
    <cellStyle name="Normal 12 2 2 3 4" xfId="9339" xr:uid="{F3F800C1-92DF-4F1F-A561-C3F3C7F8BAD1}"/>
    <cellStyle name="Normal 12 2 2 3 4 2" xfId="18652" xr:uid="{6A369AE9-5329-4CFF-AA36-23CA51BACB40}"/>
    <cellStyle name="Normal 12 2 2 3 5" xfId="10189" xr:uid="{53F28DB6-ECFB-47A9-9755-30BDD0147AC5}"/>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77BD2643-7074-42D9-9B37-6093C97A1C8B}"/>
    <cellStyle name="Normal 12 2 2 4 2 3" xfId="12747" xr:uid="{D23EC55C-CCE5-4C93-8161-0119F62865A6}"/>
    <cellStyle name="Normal 12 2 2 4 3" xfId="5493" xr:uid="{00000000-0005-0000-0000-0000EA0D0000}"/>
    <cellStyle name="Normal 12 2 2 4 3 2" xfId="14819" xr:uid="{39DE0936-5612-4890-BE46-6F3482DA39F1}"/>
    <cellStyle name="Normal 12 2 2 4 4" xfId="10602" xr:uid="{52081BD0-3515-45E6-870D-41A9484F810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762100B7-B5D7-4FC2-A202-96ED4E8719BB}"/>
    <cellStyle name="Normal 12 2 2 5 2 3" xfId="13160" xr:uid="{F4AFDABC-8A8B-4D55-9232-568D80DDA6B4}"/>
    <cellStyle name="Normal 12 2 2 5 3" xfId="5906" xr:uid="{00000000-0005-0000-0000-0000EE0D0000}"/>
    <cellStyle name="Normal 12 2 2 5 3 2" xfId="15232" xr:uid="{B95313DB-BE40-4363-B764-2422FA1601C1}"/>
    <cellStyle name="Normal 12 2 2 5 4" xfId="11015" xr:uid="{6B4F1E41-9A6F-4E43-8E08-4576DDF6F7B1}"/>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904E27B3-2B3D-4388-80A5-1F79A82C8CC7}"/>
    <cellStyle name="Normal 12 2 2 6 2 3" xfId="13573" xr:uid="{86040A48-6623-4D79-9A09-C8AEC6D4A7F0}"/>
    <cellStyle name="Normal 12 2 2 6 3" xfId="6319" xr:uid="{00000000-0005-0000-0000-0000F20D0000}"/>
    <cellStyle name="Normal 12 2 2 6 3 2" xfId="15645" xr:uid="{36D4ABAD-7495-48C4-B7EA-E40F37DA1629}"/>
    <cellStyle name="Normal 12 2 2 6 4" xfId="11428" xr:uid="{C9F60CFB-4914-47F4-84A9-EEAFE384764C}"/>
    <cellStyle name="Normal 12 2 2 7" xfId="2449" xr:uid="{00000000-0005-0000-0000-0000F30D0000}"/>
    <cellStyle name="Normal 12 2 2 7 2" xfId="6732" xr:uid="{00000000-0005-0000-0000-0000F40D0000}"/>
    <cellStyle name="Normal 12 2 2 7 2 2" xfId="16058" xr:uid="{303917BE-8862-4E2A-A131-8E6FA6AE20C9}"/>
    <cellStyle name="Normal 12 2 2 7 3" xfId="11841" xr:uid="{07B61EA0-5143-4D5E-82FA-C1A7F88129BD}"/>
    <cellStyle name="Normal 12 2 2 8" xfId="4666" xr:uid="{00000000-0005-0000-0000-0000F50D0000}"/>
    <cellStyle name="Normal 12 2 2 8 2" xfId="13992" xr:uid="{9FE9629F-EFFD-47E0-A56E-11919A462B63}"/>
    <cellStyle name="Normal 12 2 2 9" xfId="8914" xr:uid="{85903DBC-FA0A-4A9D-9FB4-BA36A4B6F510}"/>
    <cellStyle name="Normal 12 2 2 9 2" xfId="18237" xr:uid="{9EF57498-319D-4E25-AB15-501AAC811EAA}"/>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7467B27B-92D5-4206-9083-EB8FB745C048}"/>
    <cellStyle name="Normal 12 2 3 2 2 3" xfId="12336" xr:uid="{374F6F58-6E75-4B33-A5BD-F0AEAC8E72D7}"/>
    <cellStyle name="Normal 12 2 3 2 3" xfId="5082" xr:uid="{00000000-0005-0000-0000-0000FA0D0000}"/>
    <cellStyle name="Normal 12 2 3 2 3 2" xfId="14408" xr:uid="{22D0A547-8B62-4970-BAA1-81B8C28BCEAE}"/>
    <cellStyle name="Normal 12 2 3 2 4" xfId="9443" xr:uid="{61F0A971-1285-4215-8170-49D07520551A}"/>
    <cellStyle name="Normal 12 2 3 2 4 2" xfId="18756" xr:uid="{C819C9C7-ABC9-4544-8AB9-5367A6AE3B76}"/>
    <cellStyle name="Normal 12 2 3 2 5" xfId="10191" xr:uid="{DC757AF6-A12F-4F54-98FD-2C09EA78039A}"/>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0CD91FA5-9FF4-48C6-A09F-3FCCB0C64970}"/>
    <cellStyle name="Normal 12 2 3 3 2 3" xfId="12749" xr:uid="{C98FBF72-2607-44C7-849B-6D97869D42FA}"/>
    <cellStyle name="Normal 12 2 3 3 3" xfId="5495" xr:uid="{00000000-0005-0000-0000-0000FE0D0000}"/>
    <cellStyle name="Normal 12 2 3 3 3 2" xfId="14821" xr:uid="{31F8B8E4-2024-4991-BE27-B9EDE9E3C7FA}"/>
    <cellStyle name="Normal 12 2 3 3 4" xfId="10604" xr:uid="{4B96389C-B951-41BC-BE06-3C7F279DA869}"/>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E631AE7B-D71A-4C47-9401-087F668B2CA7}"/>
    <cellStyle name="Normal 12 2 3 4 2 3" xfId="13162" xr:uid="{EFD1F3A5-8F02-442E-8E4D-7B47A9E77137}"/>
    <cellStyle name="Normal 12 2 3 4 3" xfId="5908" xr:uid="{00000000-0005-0000-0000-0000020E0000}"/>
    <cellStyle name="Normal 12 2 3 4 3 2" xfId="15234" xr:uid="{94E812DC-199A-4622-AB70-4F346CBB55C5}"/>
    <cellStyle name="Normal 12 2 3 4 4" xfId="11017" xr:uid="{0DB9A397-2EB1-4086-B271-BB3D55B93A0E}"/>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37356858-1B71-48E3-9D54-F3F9DA3459D7}"/>
    <cellStyle name="Normal 12 2 3 5 2 3" xfId="13575" xr:uid="{15DAE03F-7FE3-44A2-B4F9-9B7A352F66C5}"/>
    <cellStyle name="Normal 12 2 3 5 3" xfId="6321" xr:uid="{00000000-0005-0000-0000-0000060E0000}"/>
    <cellStyle name="Normal 12 2 3 5 3 2" xfId="15647" xr:uid="{7B8368B1-7086-4226-AAA3-130C8AF15666}"/>
    <cellStyle name="Normal 12 2 3 5 4" xfId="11430" xr:uid="{883BBF96-9ACE-49F3-99E8-68D7E36EC49F}"/>
    <cellStyle name="Normal 12 2 3 6" xfId="2451" xr:uid="{00000000-0005-0000-0000-0000070E0000}"/>
    <cellStyle name="Normal 12 2 3 6 2" xfId="6734" xr:uid="{00000000-0005-0000-0000-0000080E0000}"/>
    <cellStyle name="Normal 12 2 3 6 2 2" xfId="16060" xr:uid="{57CEBADE-DBE9-4D4C-9DA9-9767A506349A}"/>
    <cellStyle name="Normal 12 2 3 6 3" xfId="11843" xr:uid="{62A54876-7C78-451F-AFA1-5918AB466E6F}"/>
    <cellStyle name="Normal 12 2 3 7" xfId="4668" xr:uid="{00000000-0005-0000-0000-0000090E0000}"/>
    <cellStyle name="Normal 12 2 3 7 2" xfId="13994" xr:uid="{60607C04-359E-4D91-ACFA-BCFCB7D82DBD}"/>
    <cellStyle name="Normal 12 2 3 8" xfId="9018" xr:uid="{C3F41DC6-3A80-4145-A68D-169ABB54B6D0}"/>
    <cellStyle name="Normal 12 2 3 8 2" xfId="18341" xr:uid="{78794A8C-A90B-411E-909C-5B56CA0077D3}"/>
    <cellStyle name="Normal 12 2 3 9" xfId="9777" xr:uid="{7A8CEA07-423A-4E70-B2B9-EC68A4ED588D}"/>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930697FB-BB12-4428-BC2B-A97E9D2323F6}"/>
    <cellStyle name="Normal 12 2 4 2 3" xfId="12333" xr:uid="{DBC78F83-581B-4894-BB87-C2C9F4299B1A}"/>
    <cellStyle name="Normal 12 2 4 3" xfId="5079" xr:uid="{00000000-0005-0000-0000-00000D0E0000}"/>
    <cellStyle name="Normal 12 2 4 3 2" xfId="14405" xr:uid="{96E93BC4-72D2-46CF-8331-5ED86AEB758F}"/>
    <cellStyle name="Normal 12 2 4 4" xfId="9236" xr:uid="{C3D0196D-4BB3-4870-9762-A3CF40E5B45B}"/>
    <cellStyle name="Normal 12 2 4 4 2" xfId="18549" xr:uid="{D2528C8A-91F0-47B2-A995-4BB59E0D28CB}"/>
    <cellStyle name="Normal 12 2 4 5" xfId="10188" xr:uid="{23FA71C1-E112-4D38-8E1E-9A4C4908A1C7}"/>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A40F6899-0BC3-4F59-ABC7-C511C43E56B0}"/>
    <cellStyle name="Normal 12 2 5 2 3" xfId="12746" xr:uid="{F96D39A0-36D9-4D60-BB49-510D5EC34AEF}"/>
    <cellStyle name="Normal 12 2 5 3" xfId="5492" xr:uid="{00000000-0005-0000-0000-0000110E0000}"/>
    <cellStyle name="Normal 12 2 5 3 2" xfId="14818" xr:uid="{84E8E5D8-D174-4D5A-9DED-26A46AB226D9}"/>
    <cellStyle name="Normal 12 2 5 4" xfId="10601" xr:uid="{A1EF90A5-C831-44AC-9366-F9FE0A04A4A7}"/>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59542DD0-307E-4719-8DC1-F00A977A0F83}"/>
    <cellStyle name="Normal 12 2 6 2 3" xfId="13159" xr:uid="{7510B088-C2EA-4497-8EFA-100985F27479}"/>
    <cellStyle name="Normal 12 2 6 3" xfId="5905" xr:uid="{00000000-0005-0000-0000-0000150E0000}"/>
    <cellStyle name="Normal 12 2 6 3 2" xfId="15231" xr:uid="{D379DFD9-A05A-4FC6-BE6E-DF7884557231}"/>
    <cellStyle name="Normal 12 2 6 4" xfId="11014" xr:uid="{5868B2EF-073E-41AC-95DF-93ECAC5EE220}"/>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1DC8ABEA-40E3-4FDD-871B-7C828A947537}"/>
    <cellStyle name="Normal 12 2 7 2 3" xfId="13572" xr:uid="{42BF100F-B2C9-4958-B997-019D28745ACA}"/>
    <cellStyle name="Normal 12 2 7 3" xfId="6318" xr:uid="{00000000-0005-0000-0000-0000190E0000}"/>
    <cellStyle name="Normal 12 2 7 3 2" xfId="15644" xr:uid="{6261103E-FBFD-4F82-A0E7-CF00BA1E4E96}"/>
    <cellStyle name="Normal 12 2 7 4" xfId="11427" xr:uid="{99C573A4-06D8-45DD-A4A7-3D5C255CCE62}"/>
    <cellStyle name="Normal 12 2 8" xfId="2448" xr:uid="{00000000-0005-0000-0000-00001A0E0000}"/>
    <cellStyle name="Normal 12 2 8 2" xfId="6731" xr:uid="{00000000-0005-0000-0000-00001B0E0000}"/>
    <cellStyle name="Normal 12 2 8 2 2" xfId="16057" xr:uid="{64978494-8B5B-431A-9AD9-B6F9BC440291}"/>
    <cellStyle name="Normal 12 2 8 3" xfId="11840" xr:uid="{F01700EB-D2CA-4D50-BBAE-5DA5679819A8}"/>
    <cellStyle name="Normal 12 2 9" xfId="4665" xr:uid="{00000000-0005-0000-0000-00001C0E0000}"/>
    <cellStyle name="Normal 12 2 9 2" xfId="13991" xr:uid="{10BEF3D1-8258-4234-975D-681DCFF8DE83}"/>
    <cellStyle name="Normal 12 3" xfId="264" xr:uid="{00000000-0005-0000-0000-00001D0E0000}"/>
    <cellStyle name="Normal 12 3 10" xfId="9778" xr:uid="{A051DE35-B265-4F6C-ADE2-ABBE6B0106E3}"/>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6E924F44-E98A-4A23-BE5C-335091C43C60}"/>
    <cellStyle name="Normal 12 3 2 2 2 3" xfId="12338" xr:uid="{F961FCB4-1899-48CB-AEC9-7898601EAC73}"/>
    <cellStyle name="Normal 12 3 2 2 3" xfId="5084" xr:uid="{00000000-0005-0000-0000-0000220E0000}"/>
    <cellStyle name="Normal 12 3 2 2 3 2" xfId="14410" xr:uid="{87516B1D-0402-4EA8-B7A4-2F08034DCC80}"/>
    <cellStyle name="Normal 12 3 2 2 4" xfId="9505" xr:uid="{B127619B-367D-40AD-851E-01DDBB2DCD13}"/>
    <cellStyle name="Normal 12 3 2 2 4 2" xfId="18818" xr:uid="{28BA207A-9FAE-45F4-99C9-69AE4CEF3E26}"/>
    <cellStyle name="Normal 12 3 2 2 5" xfId="10193" xr:uid="{7AE0E857-D094-4EAE-9447-070E620D4458}"/>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B35A2A71-9727-4D65-AC0F-3A3424E6B6BD}"/>
    <cellStyle name="Normal 12 3 2 3 2 3" xfId="12751" xr:uid="{82649509-339A-4C81-BD83-782C44EDE864}"/>
    <cellStyle name="Normal 12 3 2 3 3" xfId="5497" xr:uid="{00000000-0005-0000-0000-0000260E0000}"/>
    <cellStyle name="Normal 12 3 2 3 3 2" xfId="14823" xr:uid="{620F93C3-D4A8-432D-B0BB-87F95DCFF84A}"/>
    <cellStyle name="Normal 12 3 2 3 4" xfId="10606" xr:uid="{5D186B12-8411-4BC6-B63B-7E8C1990789D}"/>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B67A96CD-D716-47A4-A918-F278C89A67C9}"/>
    <cellStyle name="Normal 12 3 2 4 2 3" xfId="13164" xr:uid="{970890C2-3A4B-4313-A216-1B07CC7DD169}"/>
    <cellStyle name="Normal 12 3 2 4 3" xfId="5910" xr:uid="{00000000-0005-0000-0000-00002A0E0000}"/>
    <cellStyle name="Normal 12 3 2 4 3 2" xfId="15236" xr:uid="{DC70CCF4-24C0-4479-81EE-D7568CA203C0}"/>
    <cellStyle name="Normal 12 3 2 4 4" xfId="11019" xr:uid="{B3C4728B-4E60-4A6D-BFEB-059284AA1A73}"/>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B373B6E2-12CC-4EA8-B832-6CEFFCAA3465}"/>
    <cellStyle name="Normal 12 3 2 5 2 3" xfId="13577" xr:uid="{64BD726E-2D93-412A-92B2-75B408B204DC}"/>
    <cellStyle name="Normal 12 3 2 5 3" xfId="6323" xr:uid="{00000000-0005-0000-0000-00002E0E0000}"/>
    <cellStyle name="Normal 12 3 2 5 3 2" xfId="15649" xr:uid="{34C06299-6407-46A9-8B8F-CDE8A99399EF}"/>
    <cellStyle name="Normal 12 3 2 5 4" xfId="11432" xr:uid="{4AAC505F-D505-450A-8814-0D34E6A7335A}"/>
    <cellStyle name="Normal 12 3 2 6" xfId="2453" xr:uid="{00000000-0005-0000-0000-00002F0E0000}"/>
    <cellStyle name="Normal 12 3 2 6 2" xfId="6736" xr:uid="{00000000-0005-0000-0000-0000300E0000}"/>
    <cellStyle name="Normal 12 3 2 6 2 2" xfId="16062" xr:uid="{E4E59DED-92CB-4278-BD72-2CDBEA26DF74}"/>
    <cellStyle name="Normal 12 3 2 6 3" xfId="11845" xr:uid="{C8FFF60A-3710-4611-A109-0FB854BB5F8F}"/>
    <cellStyle name="Normal 12 3 2 7" xfId="4670" xr:uid="{00000000-0005-0000-0000-0000310E0000}"/>
    <cellStyle name="Normal 12 3 2 7 2" xfId="13996" xr:uid="{85805A9B-F701-4D37-BBDB-910A9FD889B6}"/>
    <cellStyle name="Normal 12 3 2 8" xfId="9080" xr:uid="{403F3083-4A9F-4295-B676-C31241B8936E}"/>
    <cellStyle name="Normal 12 3 2 8 2" xfId="18403" xr:uid="{5EDE39F9-E886-480C-BC24-F44361C9B2C1}"/>
    <cellStyle name="Normal 12 3 2 9" xfId="9779" xr:uid="{7F65CB27-0E29-45E0-A9CD-167ADD3D43F4}"/>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23DCDFE2-542F-4041-A0E8-5FE5CF432824}"/>
    <cellStyle name="Normal 12 3 3 2 3" xfId="12337" xr:uid="{14A70A9C-F459-47D9-B2DD-523F88F3D021}"/>
    <cellStyle name="Normal 12 3 3 3" xfId="5083" xr:uid="{00000000-0005-0000-0000-0000350E0000}"/>
    <cellStyle name="Normal 12 3 3 3 2" xfId="14409" xr:uid="{CDAD1839-3C75-4CDE-B459-59784F7EB35C}"/>
    <cellStyle name="Normal 12 3 3 4" xfId="9298" xr:uid="{A6F9D711-F86A-406D-B160-91678C261745}"/>
    <cellStyle name="Normal 12 3 3 4 2" xfId="18611" xr:uid="{55F0C488-EFCC-481D-B23F-68029C2EF888}"/>
    <cellStyle name="Normal 12 3 3 5" xfId="10192" xr:uid="{681E5AE5-F9F8-405B-95AB-19606CA302E0}"/>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9CA55FBB-9222-49D1-85D9-873EB8E20DEA}"/>
    <cellStyle name="Normal 12 3 4 2 3" xfId="12750" xr:uid="{5E0F010D-18AB-4B39-868D-0BB0858EEF89}"/>
    <cellStyle name="Normal 12 3 4 3" xfId="5496" xr:uid="{00000000-0005-0000-0000-0000390E0000}"/>
    <cellStyle name="Normal 12 3 4 3 2" xfId="14822" xr:uid="{1EA59336-0E51-4760-BAF4-69C28E7EDE30}"/>
    <cellStyle name="Normal 12 3 4 4" xfId="10605" xr:uid="{E4A37F69-37FB-4460-8573-0FCB80C18EFE}"/>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C07D5641-2F55-4306-8AE1-4ADD246057A6}"/>
    <cellStyle name="Normal 12 3 5 2 3" xfId="13163" xr:uid="{BCEE9CAA-809A-40CC-A868-9527AF1F9712}"/>
    <cellStyle name="Normal 12 3 5 3" xfId="5909" xr:uid="{00000000-0005-0000-0000-00003D0E0000}"/>
    <cellStyle name="Normal 12 3 5 3 2" xfId="15235" xr:uid="{4A56B274-97F5-45F1-B4D3-F024593C775B}"/>
    <cellStyle name="Normal 12 3 5 4" xfId="11018" xr:uid="{93C9071C-A44D-4F03-9648-F3B51A650FDB}"/>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FC40BE1B-5F27-4CEF-86BB-CC133A7025F9}"/>
    <cellStyle name="Normal 12 3 6 2 3" xfId="13576" xr:uid="{DDEA146A-F057-4551-A612-CD95E15A303F}"/>
    <cellStyle name="Normal 12 3 6 3" xfId="6322" xr:uid="{00000000-0005-0000-0000-0000410E0000}"/>
    <cellStyle name="Normal 12 3 6 3 2" xfId="15648" xr:uid="{13EFD627-BB6B-424D-9EFE-86D74D433507}"/>
    <cellStyle name="Normal 12 3 6 4" xfId="11431" xr:uid="{C588770B-894E-434E-93C8-682672235177}"/>
    <cellStyle name="Normal 12 3 7" xfId="2452" xr:uid="{00000000-0005-0000-0000-0000420E0000}"/>
    <cellStyle name="Normal 12 3 7 2" xfId="6735" xr:uid="{00000000-0005-0000-0000-0000430E0000}"/>
    <cellStyle name="Normal 12 3 7 2 2" xfId="16061" xr:uid="{6D35B6C5-906A-4F7D-9DD6-ADA170C6B7BA}"/>
    <cellStyle name="Normal 12 3 7 3" xfId="11844" xr:uid="{B043B11A-8909-440B-9460-4D695E0C8608}"/>
    <cellStyle name="Normal 12 3 8" xfId="4669" xr:uid="{00000000-0005-0000-0000-0000440E0000}"/>
    <cellStyle name="Normal 12 3 8 2" xfId="13995" xr:uid="{8F5EB2CD-406C-41EA-BFC4-59B34FE4C02C}"/>
    <cellStyle name="Normal 12 3 9" xfId="8873" xr:uid="{72AE7E6C-F254-4BFC-80A7-F73848FA4F21}"/>
    <cellStyle name="Normal 12 3 9 2" xfId="18196" xr:uid="{70A7B37C-4E5E-4E3A-A5F1-CABDC67FB4F7}"/>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3347581D-1F58-4938-B59D-E5FDD9A71753}"/>
    <cellStyle name="Normal 12 4 2 2 3" xfId="12339" xr:uid="{BA21AB8C-F003-40F1-9889-132DA12E842E}"/>
    <cellStyle name="Normal 12 4 2 3" xfId="5085" xr:uid="{00000000-0005-0000-0000-0000490E0000}"/>
    <cellStyle name="Normal 12 4 2 3 2" xfId="14411" xr:uid="{AA384DAA-9EA2-48A8-B9FC-F7034F08FF8F}"/>
    <cellStyle name="Normal 12 4 2 4" xfId="9402" xr:uid="{F40C9AB7-F4D0-4A65-BBAA-FF5409160FE5}"/>
    <cellStyle name="Normal 12 4 2 4 2" xfId="18715" xr:uid="{689DE3C6-E54B-4836-A2E7-525115A7A6BA}"/>
    <cellStyle name="Normal 12 4 2 5" xfId="10194" xr:uid="{711FE235-FBEA-4BC1-9948-F34DF657C08F}"/>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7BFDBA88-F7CD-4FC2-ACD3-C15897DF845E}"/>
    <cellStyle name="Normal 12 4 3 2 3" xfId="12752" xr:uid="{319AEB68-BD9A-4D90-8C61-D24881205879}"/>
    <cellStyle name="Normal 12 4 3 3" xfId="5498" xr:uid="{00000000-0005-0000-0000-00004D0E0000}"/>
    <cellStyle name="Normal 12 4 3 3 2" xfId="14824" xr:uid="{F72BB7BA-00AF-46F5-B547-998D7ABE8D3D}"/>
    <cellStyle name="Normal 12 4 3 4" xfId="10607" xr:uid="{CE9CCBA8-D271-4273-BF93-4D59F5B984F1}"/>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B1CB0053-2BDD-41F3-8A96-99C2D6660EE8}"/>
    <cellStyle name="Normal 12 4 4 2 3" xfId="13165" xr:uid="{F0A0D2D8-6BC2-4EAA-B6A2-2927C8214A86}"/>
    <cellStyle name="Normal 12 4 4 3" xfId="5911" xr:uid="{00000000-0005-0000-0000-0000510E0000}"/>
    <cellStyle name="Normal 12 4 4 3 2" xfId="15237" xr:uid="{0D4D260F-4128-4587-A121-863B9C9B0B59}"/>
    <cellStyle name="Normal 12 4 4 4" xfId="11020" xr:uid="{E4A89749-E079-4FCE-862B-DCB04B305AC3}"/>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CDAFA708-7EA7-4BDF-88F6-CB48A133B4D7}"/>
    <cellStyle name="Normal 12 4 5 2 3" xfId="13578" xr:uid="{CB0A0E90-8829-44FC-BFD4-3929036DB74C}"/>
    <cellStyle name="Normal 12 4 5 3" xfId="6324" xr:uid="{00000000-0005-0000-0000-0000550E0000}"/>
    <cellStyle name="Normal 12 4 5 3 2" xfId="15650" xr:uid="{ADEB2E9F-E816-4E43-BFC8-CE31B3A4F7FE}"/>
    <cellStyle name="Normal 12 4 5 4" xfId="11433" xr:uid="{22F19899-0D89-47E6-8B7E-8120F9988E18}"/>
    <cellStyle name="Normal 12 4 6" xfId="2454" xr:uid="{00000000-0005-0000-0000-0000560E0000}"/>
    <cellStyle name="Normal 12 4 6 2" xfId="6737" xr:uid="{00000000-0005-0000-0000-0000570E0000}"/>
    <cellStyle name="Normal 12 4 6 2 2" xfId="16063" xr:uid="{232AE650-4F0F-48BB-8A6E-75D03755BCB4}"/>
    <cellStyle name="Normal 12 4 6 3" xfId="11846" xr:uid="{4EA417B7-57D2-4EDB-A64C-3E6B5316EAB7}"/>
    <cellStyle name="Normal 12 4 7" xfId="4671" xr:uid="{00000000-0005-0000-0000-0000580E0000}"/>
    <cellStyle name="Normal 12 4 7 2" xfId="13997" xr:uid="{C36A8E67-1936-490C-9E19-0EAFE1D2E06E}"/>
    <cellStyle name="Normal 12 4 8" xfId="8977" xr:uid="{5BFFE5F3-99F6-4DA1-A3EF-BF749B3B7ACB}"/>
    <cellStyle name="Normal 12 4 8 2" xfId="18300" xr:uid="{18688C0A-06C1-4568-AB0C-157E26D4FB77}"/>
    <cellStyle name="Normal 12 4 9" xfId="9780" xr:uid="{EE429D33-B5AA-4EC6-9914-305FB6E0A63E}"/>
    <cellStyle name="Normal 12 5" xfId="267" xr:uid="{00000000-0005-0000-0000-0000590E0000}"/>
    <cellStyle name="Normal 12 5 2" xfId="9579" xr:uid="{43940F87-8803-4E34-B3E0-736FAF89CA32}"/>
    <cellStyle name="Normal 12 5 2 2" xfId="18892" xr:uid="{6B44FE8D-A355-4A14-9338-C451415F3823}"/>
    <cellStyle name="Normal 12 5 3" xfId="9586" xr:uid="{72B01073-C2DA-4DF8-9E0D-6932F6AF67FF}"/>
    <cellStyle name="Normal 12 5 4" xfId="9156" xr:uid="{4BCB05AE-5738-4A10-9D4D-B3A4CD16FD2C}"/>
    <cellStyle name="Normal 12 5 4 2" xfId="18477" xr:uid="{7507AABF-6F4B-439F-A512-443408C35471}"/>
    <cellStyle name="Normal 12 6" xfId="760" xr:uid="{00000000-0005-0000-0000-00005A0E0000}"/>
    <cellStyle name="Normal 12 6 2" xfId="3001" xr:uid="{00000000-0005-0000-0000-00005B0E0000}"/>
    <cellStyle name="Normal 12 6 2 2" xfId="7223" xr:uid="{00000000-0005-0000-0000-00005C0E0000}"/>
    <cellStyle name="Normal 12 6 2 2 2" xfId="16549" xr:uid="{0E0F4233-6164-47E8-AA48-1E087AF3BBED}"/>
    <cellStyle name="Normal 12 6 2 3" xfId="12332" xr:uid="{FD339583-6915-46FC-A1BD-52B8C4E2F3B3}"/>
    <cellStyle name="Normal 12 6 3" xfId="5078" xr:uid="{00000000-0005-0000-0000-00005D0E0000}"/>
    <cellStyle name="Normal 12 6 3 2" xfId="14404" xr:uid="{8358AF33-4DED-4B75-B16D-CC5670F4483C}"/>
    <cellStyle name="Normal 12 6 4" xfId="9194" xr:uid="{92D32932-3865-4F6F-A551-9A99EC116A43}"/>
    <cellStyle name="Normal 12 6 4 2" xfId="18508" xr:uid="{4E703EC7-0793-4A99-A854-98376AA2E8F6}"/>
    <cellStyle name="Normal 12 6 5" xfId="10187" xr:uid="{6D7ED7DD-4A90-4F97-BF24-B06CC4E2CE38}"/>
    <cellStyle name="Normal 12 7" xfId="1183" xr:uid="{00000000-0005-0000-0000-00005E0E0000}"/>
    <cellStyle name="Normal 12 7 2" xfId="3414" xr:uid="{00000000-0005-0000-0000-00005F0E0000}"/>
    <cellStyle name="Normal 12 7 2 2" xfId="7636" xr:uid="{00000000-0005-0000-0000-0000600E0000}"/>
    <cellStyle name="Normal 12 7 2 2 2" xfId="16962" xr:uid="{38B6B55D-6D2B-41C7-AD27-AF751A21627E}"/>
    <cellStyle name="Normal 12 7 2 3" xfId="12745" xr:uid="{D91904C8-6947-47E9-86C9-97FE719CFECA}"/>
    <cellStyle name="Normal 12 7 3" xfId="5491" xr:uid="{00000000-0005-0000-0000-0000610E0000}"/>
    <cellStyle name="Normal 12 7 3 2" xfId="14817" xr:uid="{81C885F6-B7B7-408C-A9B1-40778C34347E}"/>
    <cellStyle name="Normal 12 7 4" xfId="10600" xr:uid="{DA233479-E1B3-4F13-B0E4-C8ACA86D0462}"/>
    <cellStyle name="Normal 12 8" xfId="1597" xr:uid="{00000000-0005-0000-0000-0000620E0000}"/>
    <cellStyle name="Normal 12 8 2" xfId="3827" xr:uid="{00000000-0005-0000-0000-0000630E0000}"/>
    <cellStyle name="Normal 12 8 2 2" xfId="8049" xr:uid="{00000000-0005-0000-0000-0000640E0000}"/>
    <cellStyle name="Normal 12 8 2 2 2" xfId="17375" xr:uid="{2B8F014D-FA23-4D32-A889-4DC2EA04FBA7}"/>
    <cellStyle name="Normal 12 8 2 3" xfId="13158" xr:uid="{E7704B58-722C-41DF-A525-A02010ED0A63}"/>
    <cellStyle name="Normal 12 8 3" xfId="5904" xr:uid="{00000000-0005-0000-0000-0000650E0000}"/>
    <cellStyle name="Normal 12 8 3 2" xfId="15230" xr:uid="{BCB25A47-0093-4FA8-AE1E-8CF583A57F66}"/>
    <cellStyle name="Normal 12 8 4" xfId="11013" xr:uid="{9E4686D5-B9D0-4E8C-B1B9-6F26A1E80F4F}"/>
    <cellStyle name="Normal 12 9" xfId="2011" xr:uid="{00000000-0005-0000-0000-0000660E0000}"/>
    <cellStyle name="Normal 12 9 2" xfId="4240" xr:uid="{00000000-0005-0000-0000-0000670E0000}"/>
    <cellStyle name="Normal 12 9 2 2" xfId="8462" xr:uid="{00000000-0005-0000-0000-0000680E0000}"/>
    <cellStyle name="Normal 12 9 2 2 2" xfId="17788" xr:uid="{EACF2941-9F50-412C-AAC3-7083F0177B66}"/>
    <cellStyle name="Normal 12 9 2 3" xfId="13571" xr:uid="{AFDC6D5C-A0B5-4937-AAFC-B33D30EE3759}"/>
    <cellStyle name="Normal 12 9 3" xfId="6317" xr:uid="{00000000-0005-0000-0000-0000690E0000}"/>
    <cellStyle name="Normal 12 9 3 2" xfId="15643" xr:uid="{6643D870-CC0E-413E-97C7-BF3331438445}"/>
    <cellStyle name="Normal 12 9 4" xfId="11426" xr:uid="{6AB60829-06FB-4660-AC05-FAC979B532C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1EF23C50-40B8-4591-B0DA-659C2681F38B}"/>
    <cellStyle name="Normal 14 2 2 3" xfId="12340" xr:uid="{7F60EE43-7BB6-434C-ADAE-09A06B902746}"/>
    <cellStyle name="Normal 14 2 3" xfId="5086" xr:uid="{00000000-0005-0000-0000-0000700E0000}"/>
    <cellStyle name="Normal 14 2 3 2" xfId="14412" xr:uid="{6F1DD67F-0D09-46FD-9C29-917DF1578A39}"/>
    <cellStyle name="Normal 14 2 4" xfId="9371" xr:uid="{E1AFB5B4-F468-480A-B09F-3374B2F03BDA}"/>
    <cellStyle name="Normal 14 2 4 2" xfId="18684" xr:uid="{B59B1D56-95C7-4FA8-9C81-3F73A8CA5156}"/>
    <cellStyle name="Normal 14 2 5" xfId="10195" xr:uid="{6D9A65DD-317E-4A6B-9E5B-54CF284176F8}"/>
    <cellStyle name="Normal 14 3" xfId="1191" xr:uid="{00000000-0005-0000-0000-0000710E0000}"/>
    <cellStyle name="Normal 14 3 2" xfId="3422" xr:uid="{00000000-0005-0000-0000-0000720E0000}"/>
    <cellStyle name="Normal 14 3 2 2" xfId="7644" xr:uid="{00000000-0005-0000-0000-0000730E0000}"/>
    <cellStyle name="Normal 14 3 2 2 2" xfId="16970" xr:uid="{33BD377A-D2FA-4DDF-9BC0-29ED62FA12BC}"/>
    <cellStyle name="Normal 14 3 2 3" xfId="12753" xr:uid="{F7A3393B-8650-4918-8C29-D06EAD2D36E8}"/>
    <cellStyle name="Normal 14 3 3" xfId="5499" xr:uid="{00000000-0005-0000-0000-0000740E0000}"/>
    <cellStyle name="Normal 14 3 3 2" xfId="14825" xr:uid="{22358583-41F9-40B0-BBB5-38298C37E875}"/>
    <cellStyle name="Normal 14 3 4" xfId="10608" xr:uid="{A928A1F7-3FDC-4081-B214-4047C0633616}"/>
    <cellStyle name="Normal 14 4" xfId="1605" xr:uid="{00000000-0005-0000-0000-0000750E0000}"/>
    <cellStyle name="Normal 14 4 2" xfId="3835" xr:uid="{00000000-0005-0000-0000-0000760E0000}"/>
    <cellStyle name="Normal 14 4 2 2" xfId="8057" xr:uid="{00000000-0005-0000-0000-0000770E0000}"/>
    <cellStyle name="Normal 14 4 2 2 2" xfId="17383" xr:uid="{2D8B4BDF-62E6-4930-AB3B-BCAFD0989A27}"/>
    <cellStyle name="Normal 14 4 2 3" xfId="13166" xr:uid="{CFE658BA-63E7-44A0-84FC-6D66A131D90E}"/>
    <cellStyle name="Normal 14 4 3" xfId="5912" xr:uid="{00000000-0005-0000-0000-0000780E0000}"/>
    <cellStyle name="Normal 14 4 3 2" xfId="15238" xr:uid="{53263D82-8C2B-4704-89D6-EC1B7FCE4B71}"/>
    <cellStyle name="Normal 14 4 4" xfId="11021" xr:uid="{482CA453-C1D7-425F-8150-B61676C0402A}"/>
    <cellStyle name="Normal 14 5" xfId="2019" xr:uid="{00000000-0005-0000-0000-0000790E0000}"/>
    <cellStyle name="Normal 14 5 2" xfId="4248" xr:uid="{00000000-0005-0000-0000-00007A0E0000}"/>
    <cellStyle name="Normal 14 5 2 2" xfId="8470" xr:uid="{00000000-0005-0000-0000-00007B0E0000}"/>
    <cellStyle name="Normal 14 5 2 2 2" xfId="17796" xr:uid="{4477C575-8426-47F4-B1BC-AE1417C495CF}"/>
    <cellStyle name="Normal 14 5 2 3" xfId="13579" xr:uid="{0AE10131-0DD8-4402-A8F4-0CBD858A9EF3}"/>
    <cellStyle name="Normal 14 5 3" xfId="6325" xr:uid="{00000000-0005-0000-0000-00007C0E0000}"/>
    <cellStyle name="Normal 14 5 3 2" xfId="15651" xr:uid="{69484C2A-637D-4052-A9C2-3A3F64EDA3EE}"/>
    <cellStyle name="Normal 14 5 4" xfId="11434" xr:uid="{627F639B-C062-4131-AA8F-D2F7BB004035}"/>
    <cellStyle name="Normal 14 6" xfId="2455" xr:uid="{00000000-0005-0000-0000-00007D0E0000}"/>
    <cellStyle name="Normal 14 6 2" xfId="6738" xr:uid="{00000000-0005-0000-0000-00007E0E0000}"/>
    <cellStyle name="Normal 14 6 2 2" xfId="16064" xr:uid="{BBC50686-BF29-4777-AC34-72F8AB5A5FB0}"/>
    <cellStyle name="Normal 14 6 3" xfId="11847" xr:uid="{26ACB014-EC15-4BC6-8650-465330CBE0AD}"/>
    <cellStyle name="Normal 14 7" xfId="4672" xr:uid="{00000000-0005-0000-0000-00007F0E0000}"/>
    <cellStyle name="Normal 14 7 2" xfId="13998" xr:uid="{0F514673-D527-4695-9C17-01E445987FAD}"/>
    <cellStyle name="Normal 14 8" xfId="8946" xr:uid="{DD997A1C-6669-41AA-8AC1-78121AFC796C}"/>
    <cellStyle name="Normal 14 8 2" xfId="18269" xr:uid="{13803F31-7597-47BF-88AC-7614476881CB}"/>
    <cellStyle name="Normal 14 9" xfId="9781" xr:uid="{7C3199E6-002F-4111-B188-B253155046D5}"/>
    <cellStyle name="Normal 15" xfId="4496" xr:uid="{00000000-0005-0000-0000-0000800E0000}"/>
    <cellStyle name="Normal 15 2" xfId="9578" xr:uid="{99513E76-E7E2-49D8-ADC5-F882C61FFC79}"/>
    <cellStyle name="Normal 15 2 2" xfId="18891" xr:uid="{A2A2FC67-5329-4F2C-89CD-F6D40AA12F3F}"/>
    <cellStyle name="Normal 15 3" xfId="9155" xr:uid="{47700DD8-A88A-4CB4-BFAD-BA75A2D4FC8E}"/>
    <cellStyle name="Normal 15 3 2" xfId="18476" xr:uid="{DEA9DE64-A212-41E0-A674-2FB0BC020ACB}"/>
    <cellStyle name="Normal 15 4" xfId="13824" xr:uid="{2726B749-0B5C-4F43-BC98-773999DE9F44}"/>
    <cellStyle name="Normal 16" xfId="4500" xr:uid="{00000000-0005-0000-0000-0000810E0000}"/>
    <cellStyle name="Normal 16 2" xfId="8715" xr:uid="{00000000-0005-0000-0000-0000820E0000}"/>
    <cellStyle name="Normal 16 2 2" xfId="18041" xr:uid="{9A2F401D-A45C-4A2D-B1E4-3190320B6904}"/>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E1A25B15-8422-428F-B4AD-93164F31C89A}"/>
    <cellStyle name="Normal 16 3 2 2 2 2 3" xfId="18057" xr:uid="{9CA28D9D-852A-4988-8385-814B1E1E0AE2}"/>
    <cellStyle name="Normal 16 3 2 2 2 3" xfId="18054" xr:uid="{465652DB-81C8-4FB9-A84A-97CB2E821A1F}"/>
    <cellStyle name="Normal 16 3 2 2 3" xfId="18050" xr:uid="{9CD2611C-4AB7-4151-8288-785DD637613E}"/>
    <cellStyle name="Normal 16 3 2 3" xfId="18047" xr:uid="{5760E1DD-9B1C-4E43-9941-222DE0BDE9FA}"/>
    <cellStyle name="Normal 16 3 3" xfId="18044" xr:uid="{8C6F672B-9E93-4058-93A4-966F251DEC48}"/>
    <cellStyle name="Normal 16 4" xfId="9612" xr:uid="{8729F6E8-3534-4DAE-B0B2-B2AF3CDCD313}"/>
    <cellStyle name="Normal 16 5" xfId="13827" xr:uid="{034676B3-A94D-49DF-A379-D93A844951C5}"/>
    <cellStyle name="Normal 17" xfId="8728" xr:uid="{3FF0972C-833B-4475-99D8-1A6907499E71}"/>
    <cellStyle name="Normal 17 2" xfId="9157" xr:uid="{6C872296-5E17-4821-9139-E52AD113B06C}"/>
    <cellStyle name="Normal 17 3" xfId="9154" xr:uid="{DC3FF210-EC1F-47CE-8CCE-F8F5460671B1}"/>
    <cellStyle name="Normal 17 4" xfId="18053" xr:uid="{18105373-397A-49F9-AAAA-B8B7ABC20BFA}"/>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1" xr:uid="{62FC5251-05D7-4C37-B0F5-B351EFE5D26A}"/>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77C612B1-EBD8-4C15-A80D-3E448ED47702}"/>
    <cellStyle name="Normal 2 4 2 10 2 3" xfId="13580" xr:uid="{420AB57F-C35C-47B9-8C2D-2CD8EAEAA43B}"/>
    <cellStyle name="Normal 2 4 2 10 3" xfId="6326" xr:uid="{00000000-0005-0000-0000-0000910E0000}"/>
    <cellStyle name="Normal 2 4 2 10 3 2" xfId="15652" xr:uid="{162835BF-8D48-4D5E-AEE2-7DCAEC057942}"/>
    <cellStyle name="Normal 2 4 2 10 4" xfId="11435" xr:uid="{1980AABD-07FF-436A-BB9C-C4911496ED83}"/>
    <cellStyle name="Normal 2 4 2 11" xfId="2456" xr:uid="{00000000-0005-0000-0000-0000920E0000}"/>
    <cellStyle name="Normal 2 4 2 11 2" xfId="6739" xr:uid="{00000000-0005-0000-0000-0000930E0000}"/>
    <cellStyle name="Normal 2 4 2 11 2 2" xfId="16065" xr:uid="{4A74C0BB-9E61-4249-A811-15B30E99D204}"/>
    <cellStyle name="Normal 2 4 2 11 3" xfId="11848" xr:uid="{65618D94-9ECA-4DEA-A56A-1DA9B878B0B4}"/>
    <cellStyle name="Normal 2 4 2 12" xfId="4673" xr:uid="{00000000-0005-0000-0000-0000940E0000}"/>
    <cellStyle name="Normal 2 4 2 12 2" xfId="13999" xr:uid="{89EB88F2-4B22-4247-99A6-EBB21112B0F8}"/>
    <cellStyle name="Normal 2 4 2 13" xfId="8757" xr:uid="{563A76DD-F7DD-49F0-A61E-0419F4C31301}"/>
    <cellStyle name="Normal 2 4 2 13 2" xfId="18080" xr:uid="{2B9AC1BE-E44C-47CF-894A-A7A983466750}"/>
    <cellStyle name="Normal 2 4 2 14" xfId="9782" xr:uid="{AF44E1CD-35CF-4DDD-ABC0-84AA1F967790}"/>
    <cellStyle name="Normal 2 4 2 2" xfId="280" xr:uid="{00000000-0005-0000-0000-0000950E0000}"/>
    <cellStyle name="Normal 2 4 2 3" xfId="281" xr:uid="{00000000-0005-0000-0000-0000960E0000}"/>
    <cellStyle name="Normal 2 4 2 3 10" xfId="4674" xr:uid="{00000000-0005-0000-0000-0000970E0000}"/>
    <cellStyle name="Normal 2 4 2 3 10 2" xfId="14000" xr:uid="{0A8C0986-5768-48B9-A568-D16E16C3B1AD}"/>
    <cellStyle name="Normal 2 4 2 3 11" xfId="8788" xr:uid="{EAD3D227-C8EF-4F54-8D24-EE1EA1F017BB}"/>
    <cellStyle name="Normal 2 4 2 3 11 2" xfId="18111" xr:uid="{A7A4716D-7DF4-4422-BDE7-588F532305FC}"/>
    <cellStyle name="Normal 2 4 2 3 12" xfId="9783" xr:uid="{BDBEA3B5-BE87-40D7-9740-FBE70A11A1E2}"/>
    <cellStyle name="Normal 2 4 2 3 2" xfId="282" xr:uid="{00000000-0005-0000-0000-0000980E0000}"/>
    <cellStyle name="Normal 2 4 2 3 2 10" xfId="8813" xr:uid="{C03AE35D-2438-4E07-AE9C-6D04EC6DA2B7}"/>
    <cellStyle name="Normal 2 4 2 3 2 10 2" xfId="18136" xr:uid="{DD1757F8-D651-4677-AD91-8E5A2468AF9F}"/>
    <cellStyle name="Normal 2 4 2 3 2 11" xfId="9784" xr:uid="{4DD8CE29-8233-4E1D-975D-4C047B77C718}"/>
    <cellStyle name="Normal 2 4 2 3 2 2" xfId="283" xr:uid="{00000000-0005-0000-0000-0000990E0000}"/>
    <cellStyle name="Normal 2 4 2 3 2 2 10" xfId="9785" xr:uid="{DE731E6D-5B7D-4241-8CF6-4A6305F70DB3}"/>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C82F7BF0-6494-41EA-9283-C48769F2C1C6}"/>
    <cellStyle name="Normal 2 4 2 3 2 2 2 2 2 3" xfId="12345" xr:uid="{FAD84818-2BED-4C45-ADBF-07B69D161BCE}"/>
    <cellStyle name="Normal 2 4 2 3 2 2 2 2 3" xfId="5091" xr:uid="{00000000-0005-0000-0000-00009E0E0000}"/>
    <cellStyle name="Normal 2 4 2 3 2 2 2 2 3 2" xfId="14417" xr:uid="{11DB4368-D7F1-491D-8493-5CB39AF39881}"/>
    <cellStyle name="Normal 2 4 2 3 2 2 2 2 4" xfId="9548" xr:uid="{29E7289E-B3F4-4F63-9B9C-B531B0E50CEB}"/>
    <cellStyle name="Normal 2 4 2 3 2 2 2 2 4 2" xfId="18861" xr:uid="{2FD4E9BF-07A7-4501-B89A-0A03C5E6E0C8}"/>
    <cellStyle name="Normal 2 4 2 3 2 2 2 2 5" xfId="10200" xr:uid="{811CBDA9-6D14-4F3F-9004-9B12F7ADC51E}"/>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D1CA19B2-C8EE-4E0F-956A-5C4C35C27429}"/>
    <cellStyle name="Normal 2 4 2 3 2 2 2 3 2 3" xfId="12758" xr:uid="{64A79E53-A610-4F4C-A823-35367397CDDB}"/>
    <cellStyle name="Normal 2 4 2 3 2 2 2 3 3" xfId="5504" xr:uid="{00000000-0005-0000-0000-0000A20E0000}"/>
    <cellStyle name="Normal 2 4 2 3 2 2 2 3 3 2" xfId="14830" xr:uid="{C171F517-01B8-458C-B404-3E3087C0C0B3}"/>
    <cellStyle name="Normal 2 4 2 3 2 2 2 3 4" xfId="10613" xr:uid="{B955A200-2469-4D4C-9C8A-E4695C608E12}"/>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22DEA34B-BB61-471E-84F0-BC8C5CC03CC6}"/>
    <cellStyle name="Normal 2 4 2 3 2 2 2 4 2 3" xfId="13171" xr:uid="{60CD5AFC-7380-49F8-9798-24258ACC9ED1}"/>
    <cellStyle name="Normal 2 4 2 3 2 2 2 4 3" xfId="5917" xr:uid="{00000000-0005-0000-0000-0000A60E0000}"/>
    <cellStyle name="Normal 2 4 2 3 2 2 2 4 3 2" xfId="15243" xr:uid="{3B43B77B-E829-4753-85EE-DE7D25F9F201}"/>
    <cellStyle name="Normal 2 4 2 3 2 2 2 4 4" xfId="11026" xr:uid="{C422B34C-4A0F-4F51-8706-C548A456E1B8}"/>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107AAF80-2869-41FB-B327-DD96E825046A}"/>
    <cellStyle name="Normal 2 4 2 3 2 2 2 5 2 3" xfId="13584" xr:uid="{18408530-15EA-4FE8-9256-43CBDB7A4781}"/>
    <cellStyle name="Normal 2 4 2 3 2 2 2 5 3" xfId="6330" xr:uid="{00000000-0005-0000-0000-0000AA0E0000}"/>
    <cellStyle name="Normal 2 4 2 3 2 2 2 5 3 2" xfId="15656" xr:uid="{81C50354-8724-4D66-B8D0-9CC1783A99AF}"/>
    <cellStyle name="Normal 2 4 2 3 2 2 2 5 4" xfId="11439" xr:uid="{DBB5D0A9-A889-4BB9-A134-6BF2AE14C1B6}"/>
    <cellStyle name="Normal 2 4 2 3 2 2 2 6" xfId="2460" xr:uid="{00000000-0005-0000-0000-0000AB0E0000}"/>
    <cellStyle name="Normal 2 4 2 3 2 2 2 6 2" xfId="6743" xr:uid="{00000000-0005-0000-0000-0000AC0E0000}"/>
    <cellStyle name="Normal 2 4 2 3 2 2 2 6 2 2" xfId="16069" xr:uid="{88BBFC73-DD5A-4E58-BBDB-50D8EF94A8B7}"/>
    <cellStyle name="Normal 2 4 2 3 2 2 2 6 3" xfId="11852" xr:uid="{F0D0857B-3114-44FC-9BA6-FD893E7EFA22}"/>
    <cellStyle name="Normal 2 4 2 3 2 2 2 7" xfId="4677" xr:uid="{00000000-0005-0000-0000-0000AD0E0000}"/>
    <cellStyle name="Normal 2 4 2 3 2 2 2 7 2" xfId="14003" xr:uid="{74AEEACB-3099-4A37-B0C4-CCFA4DBC9398}"/>
    <cellStyle name="Normal 2 4 2 3 2 2 2 8" xfId="9123" xr:uid="{9F0183A9-880D-46D9-BB7D-5696E4723F5F}"/>
    <cellStyle name="Normal 2 4 2 3 2 2 2 8 2" xfId="18446" xr:uid="{5E87C25D-6C40-43BD-87D3-C63F6268F078}"/>
    <cellStyle name="Normal 2 4 2 3 2 2 2 9" xfId="9786" xr:uid="{852ECA9D-E895-4842-81A3-0AB66D4CA03C}"/>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77F58647-EB37-4F01-A9AA-4BF6AEF013B4}"/>
    <cellStyle name="Normal 2 4 2 3 2 2 3 2 3" xfId="12344" xr:uid="{ADFC5A7F-9341-4D0D-90DF-1C7C606392A0}"/>
    <cellStyle name="Normal 2 4 2 3 2 2 3 3" xfId="5090" xr:uid="{00000000-0005-0000-0000-0000B10E0000}"/>
    <cellStyle name="Normal 2 4 2 3 2 2 3 3 2" xfId="14416" xr:uid="{0F16C62F-2B52-470F-BBD6-86D5B1930F52}"/>
    <cellStyle name="Normal 2 4 2 3 2 2 3 4" xfId="9341" xr:uid="{4F113FF5-050D-47D1-A7D5-F829C93D993D}"/>
    <cellStyle name="Normal 2 4 2 3 2 2 3 4 2" xfId="18654" xr:uid="{61AB8616-80E2-4564-93A4-FABAA6186FAA}"/>
    <cellStyle name="Normal 2 4 2 3 2 2 3 5" xfId="10199" xr:uid="{C1CDAFEB-07F4-4969-B3C0-FBD57ADE0626}"/>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3ED1D5B3-5F3B-42AE-976F-92783AB778D2}"/>
    <cellStyle name="Normal 2 4 2 3 2 2 4 2 3" xfId="12757" xr:uid="{01F1A75C-C211-441D-A389-0DF30AB821AA}"/>
    <cellStyle name="Normal 2 4 2 3 2 2 4 3" xfId="5503" xr:uid="{00000000-0005-0000-0000-0000B50E0000}"/>
    <cellStyle name="Normal 2 4 2 3 2 2 4 3 2" xfId="14829" xr:uid="{1600A733-4C35-42D6-8319-B2FC5A35BD1C}"/>
    <cellStyle name="Normal 2 4 2 3 2 2 4 4" xfId="10612" xr:uid="{F40CCA09-37D3-4617-9E3B-7C3E592A28D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0C323E2F-CC90-4854-925A-E312C6189C84}"/>
    <cellStyle name="Normal 2 4 2 3 2 2 5 2 3" xfId="13170" xr:uid="{04001C0D-1897-41C7-A00E-F398B82040F8}"/>
    <cellStyle name="Normal 2 4 2 3 2 2 5 3" xfId="5916" xr:uid="{00000000-0005-0000-0000-0000B90E0000}"/>
    <cellStyle name="Normal 2 4 2 3 2 2 5 3 2" xfId="15242" xr:uid="{FCADF671-DFA0-4998-A6EF-13D180414003}"/>
    <cellStyle name="Normal 2 4 2 3 2 2 5 4" xfId="11025" xr:uid="{40EAE1D9-715F-4BBA-AE67-BDC9A8752339}"/>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F839A47C-F26D-41F2-90F7-67EEE28B57C5}"/>
    <cellStyle name="Normal 2 4 2 3 2 2 6 2 3" xfId="13583" xr:uid="{2F03C70D-3A10-4272-BCAB-9C5F2FFC4766}"/>
    <cellStyle name="Normal 2 4 2 3 2 2 6 3" xfId="6329" xr:uid="{00000000-0005-0000-0000-0000BD0E0000}"/>
    <cellStyle name="Normal 2 4 2 3 2 2 6 3 2" xfId="15655" xr:uid="{5D29CA0E-1B50-4964-A4E8-359A4A14C9E4}"/>
    <cellStyle name="Normal 2 4 2 3 2 2 6 4" xfId="11438" xr:uid="{06C92548-CACE-44A4-A8B6-8AE87E810E2D}"/>
    <cellStyle name="Normal 2 4 2 3 2 2 7" xfId="2459" xr:uid="{00000000-0005-0000-0000-0000BE0E0000}"/>
    <cellStyle name="Normal 2 4 2 3 2 2 7 2" xfId="6742" xr:uid="{00000000-0005-0000-0000-0000BF0E0000}"/>
    <cellStyle name="Normal 2 4 2 3 2 2 7 2 2" xfId="16068" xr:uid="{8A5E34CB-B3DA-479C-B864-D209294533EF}"/>
    <cellStyle name="Normal 2 4 2 3 2 2 7 3" xfId="11851" xr:uid="{5C73447E-205B-4614-B132-FE5D9ADCDA83}"/>
    <cellStyle name="Normal 2 4 2 3 2 2 8" xfId="4676" xr:uid="{00000000-0005-0000-0000-0000C00E0000}"/>
    <cellStyle name="Normal 2 4 2 3 2 2 8 2" xfId="14002" xr:uid="{DC7F0449-5454-4147-A0A3-6A7161AD1462}"/>
    <cellStyle name="Normal 2 4 2 3 2 2 9" xfId="8916" xr:uid="{1EF18CC7-44BB-43EB-8DB6-D193CEF128C1}"/>
    <cellStyle name="Normal 2 4 2 3 2 2 9 2" xfId="18239" xr:uid="{89AAF2C5-C5FC-428A-A084-4A618BF519C5}"/>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41CAD776-8E0F-4211-94BA-7B005EB07895}"/>
    <cellStyle name="Normal 2 4 2 3 2 3 2 2 3" xfId="12346" xr:uid="{2541CA45-B0F7-483D-80ED-1B4347A2974C}"/>
    <cellStyle name="Normal 2 4 2 3 2 3 2 3" xfId="5092" xr:uid="{00000000-0005-0000-0000-0000C50E0000}"/>
    <cellStyle name="Normal 2 4 2 3 2 3 2 3 2" xfId="14418" xr:uid="{E2CEA6FA-E771-477F-9524-ED54FBCAFB59}"/>
    <cellStyle name="Normal 2 4 2 3 2 3 2 4" xfId="9445" xr:uid="{67F9E33C-8554-469D-8D7A-1147F632F3B0}"/>
    <cellStyle name="Normal 2 4 2 3 2 3 2 4 2" xfId="18758" xr:uid="{E2525749-51A3-4B42-AB0B-9DC535206093}"/>
    <cellStyle name="Normal 2 4 2 3 2 3 2 5" xfId="10201" xr:uid="{808B6C3A-9A8F-40BE-B129-DD4A8E4C6642}"/>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58DA93E7-F2EC-417F-B631-3671F8C04101}"/>
    <cellStyle name="Normal 2 4 2 3 2 3 3 2 3" xfId="12759" xr:uid="{5459A876-15F2-4C23-8573-253701226119}"/>
    <cellStyle name="Normal 2 4 2 3 2 3 3 3" xfId="5505" xr:uid="{00000000-0005-0000-0000-0000C90E0000}"/>
    <cellStyle name="Normal 2 4 2 3 2 3 3 3 2" xfId="14831" xr:uid="{416AA9E8-DC29-4BAF-9ED7-2D42F4C0214B}"/>
    <cellStyle name="Normal 2 4 2 3 2 3 3 4" xfId="10614" xr:uid="{41EF6114-1322-4CF8-B3AE-8878BC3FDB5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139FB459-3293-4968-8939-83998381187F}"/>
    <cellStyle name="Normal 2 4 2 3 2 3 4 2 3" xfId="13172" xr:uid="{FBA84B48-5B82-46CE-B651-F4DF3C44326C}"/>
    <cellStyle name="Normal 2 4 2 3 2 3 4 3" xfId="5918" xr:uid="{00000000-0005-0000-0000-0000CD0E0000}"/>
    <cellStyle name="Normal 2 4 2 3 2 3 4 3 2" xfId="15244" xr:uid="{0A7F43F8-FC51-4E6A-B150-75A56CE05CE7}"/>
    <cellStyle name="Normal 2 4 2 3 2 3 4 4" xfId="11027" xr:uid="{48C432A4-AC96-4DBA-A169-7DD4F4023528}"/>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8B237B04-9A0F-45E1-84D2-36CF5D2D4D29}"/>
    <cellStyle name="Normal 2 4 2 3 2 3 5 2 3" xfId="13585" xr:uid="{1FF3032A-8803-4AA8-AA77-ED6ED6DD5BD6}"/>
    <cellStyle name="Normal 2 4 2 3 2 3 5 3" xfId="6331" xr:uid="{00000000-0005-0000-0000-0000D10E0000}"/>
    <cellStyle name="Normal 2 4 2 3 2 3 5 3 2" xfId="15657" xr:uid="{05F59632-26F9-42F0-B022-A246FD8E8468}"/>
    <cellStyle name="Normal 2 4 2 3 2 3 5 4" xfId="11440" xr:uid="{105AA1D1-8A7E-4297-A6BD-5EB8BD9733E5}"/>
    <cellStyle name="Normal 2 4 2 3 2 3 6" xfId="2461" xr:uid="{00000000-0005-0000-0000-0000D20E0000}"/>
    <cellStyle name="Normal 2 4 2 3 2 3 6 2" xfId="6744" xr:uid="{00000000-0005-0000-0000-0000D30E0000}"/>
    <cellStyle name="Normal 2 4 2 3 2 3 6 2 2" xfId="16070" xr:uid="{4D547DCF-022C-4B48-B3F2-2B93351B0AE7}"/>
    <cellStyle name="Normal 2 4 2 3 2 3 6 3" xfId="11853" xr:uid="{5832274B-3E80-491B-9567-019B16ADBFB9}"/>
    <cellStyle name="Normal 2 4 2 3 2 3 7" xfId="4678" xr:uid="{00000000-0005-0000-0000-0000D40E0000}"/>
    <cellStyle name="Normal 2 4 2 3 2 3 7 2" xfId="14004" xr:uid="{82B3FFF2-CE9A-4B17-B6EC-047BBF5D8351}"/>
    <cellStyle name="Normal 2 4 2 3 2 3 8" xfId="9020" xr:uid="{5718F785-8E2C-4B45-91D1-4597173D90A6}"/>
    <cellStyle name="Normal 2 4 2 3 2 3 8 2" xfId="18343" xr:uid="{4ECFB0E3-C99A-459F-9F64-F4579CCA0A61}"/>
    <cellStyle name="Normal 2 4 2 3 2 3 9" xfId="9787" xr:uid="{C51B97CC-BDD9-46E7-AF1A-A29819D1416E}"/>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DA5CF412-F2FF-49A4-8E04-B2224746ABE6}"/>
    <cellStyle name="Normal 2 4 2 3 2 4 2 3" xfId="12343" xr:uid="{A33C1104-F6EF-462F-B6CD-A0A588398CAC}"/>
    <cellStyle name="Normal 2 4 2 3 2 4 3" xfId="5089" xr:uid="{00000000-0005-0000-0000-0000D80E0000}"/>
    <cellStyle name="Normal 2 4 2 3 2 4 3 2" xfId="14415" xr:uid="{A85240F1-3BE2-4BD6-B187-C72D4048C84A}"/>
    <cellStyle name="Normal 2 4 2 3 2 4 4" xfId="9238" xr:uid="{BC6E5A3D-C256-46E9-A109-D643C24AA206}"/>
    <cellStyle name="Normal 2 4 2 3 2 4 4 2" xfId="18551" xr:uid="{4A368002-F59A-481B-93C1-C0E427EAAFE4}"/>
    <cellStyle name="Normal 2 4 2 3 2 4 5" xfId="10198" xr:uid="{BE8A659F-1C52-45F8-A85C-65C08E8A6C8B}"/>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164907AB-CFF3-4EC4-A5D1-2F260DFB2FAB}"/>
    <cellStyle name="Normal 2 4 2 3 2 5 2 3" xfId="12756" xr:uid="{D998F315-26B3-482C-80D0-DBCC0B478450}"/>
    <cellStyle name="Normal 2 4 2 3 2 5 3" xfId="5502" xr:uid="{00000000-0005-0000-0000-0000DC0E0000}"/>
    <cellStyle name="Normal 2 4 2 3 2 5 3 2" xfId="14828" xr:uid="{625EA44D-B475-4616-B4F3-67CB57DBC9AE}"/>
    <cellStyle name="Normal 2 4 2 3 2 5 4" xfId="10611" xr:uid="{3D3002C2-BB31-4EA2-BA13-88F08AF5EB1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C6BD2EA1-1381-48DB-A4CE-67E9A0FBA24F}"/>
    <cellStyle name="Normal 2 4 2 3 2 6 2 3" xfId="13169" xr:uid="{2EE9D1D7-B786-4440-9E88-7D3FCCE72526}"/>
    <cellStyle name="Normal 2 4 2 3 2 6 3" xfId="5915" xr:uid="{00000000-0005-0000-0000-0000E00E0000}"/>
    <cellStyle name="Normal 2 4 2 3 2 6 3 2" xfId="15241" xr:uid="{41672024-B5A9-4DE5-B4D8-AF9DCC4065CE}"/>
    <cellStyle name="Normal 2 4 2 3 2 6 4" xfId="11024" xr:uid="{7E964441-EEA9-4B28-A58E-2282E870652E}"/>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68014FB3-340B-40DD-BE2F-5DAB08FF220B}"/>
    <cellStyle name="Normal 2 4 2 3 2 7 2 3" xfId="13582" xr:uid="{15C77567-79F0-47CC-8CB5-96B8A61583B2}"/>
    <cellStyle name="Normal 2 4 2 3 2 7 3" xfId="6328" xr:uid="{00000000-0005-0000-0000-0000E40E0000}"/>
    <cellStyle name="Normal 2 4 2 3 2 7 3 2" xfId="15654" xr:uid="{CF590783-4456-41ED-A025-3FBDEACACF44}"/>
    <cellStyle name="Normal 2 4 2 3 2 7 4" xfId="11437" xr:uid="{6F5B079A-6538-4FBC-AA37-CBAD338FF050}"/>
    <cellStyle name="Normal 2 4 2 3 2 8" xfId="2458" xr:uid="{00000000-0005-0000-0000-0000E50E0000}"/>
    <cellStyle name="Normal 2 4 2 3 2 8 2" xfId="6741" xr:uid="{00000000-0005-0000-0000-0000E60E0000}"/>
    <cellStyle name="Normal 2 4 2 3 2 8 2 2" xfId="16067" xr:uid="{ABD483B3-B144-4350-A88F-0355216F46E6}"/>
    <cellStyle name="Normal 2 4 2 3 2 8 3" xfId="11850" xr:uid="{D22DBCE3-A0D2-43BB-83CC-8BA5F70AA3D0}"/>
    <cellStyle name="Normal 2 4 2 3 2 9" xfId="4675" xr:uid="{00000000-0005-0000-0000-0000E70E0000}"/>
    <cellStyle name="Normal 2 4 2 3 2 9 2" xfId="14001" xr:uid="{DE45334B-C0F1-484F-A892-2D5DB23EBDF8}"/>
    <cellStyle name="Normal 2 4 2 3 3" xfId="286" xr:uid="{00000000-0005-0000-0000-0000E80E0000}"/>
    <cellStyle name="Normal 2 4 2 3 3 10" xfId="9788" xr:uid="{E9E79745-9B88-4E4A-BEFE-C7EC83429054}"/>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983D0533-66B1-4515-9535-1304FA27FB90}"/>
    <cellStyle name="Normal 2 4 2 3 3 2 2 2 3" xfId="12348" xr:uid="{0DA97D9E-9716-466E-95E0-CE3B345B4225}"/>
    <cellStyle name="Normal 2 4 2 3 3 2 2 3" xfId="5094" xr:uid="{00000000-0005-0000-0000-0000ED0E0000}"/>
    <cellStyle name="Normal 2 4 2 3 3 2 2 3 2" xfId="14420" xr:uid="{DD6B5648-BDF0-4B6F-BEB2-3F5E23AF1BB5}"/>
    <cellStyle name="Normal 2 4 2 3 3 2 2 4" xfId="9523" xr:uid="{49BCB42B-3FEB-4D87-8E20-52FE775F87DD}"/>
    <cellStyle name="Normal 2 4 2 3 3 2 2 4 2" xfId="18836" xr:uid="{17EF99F6-7BF3-47B2-A4DF-C0C52D9E6C93}"/>
    <cellStyle name="Normal 2 4 2 3 3 2 2 5" xfId="10203" xr:uid="{791B6C87-4241-42C3-A142-226B211DDCC9}"/>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6F731F8B-6937-4A08-BD88-A3ED9984F74C}"/>
    <cellStyle name="Normal 2 4 2 3 3 2 3 2 3" xfId="12761" xr:uid="{ADF588B5-7BF4-4269-89E9-E797643BFB60}"/>
    <cellStyle name="Normal 2 4 2 3 3 2 3 3" xfId="5507" xr:uid="{00000000-0005-0000-0000-0000F10E0000}"/>
    <cellStyle name="Normal 2 4 2 3 3 2 3 3 2" xfId="14833" xr:uid="{6879E156-D53A-406E-BC8A-5EE54D59F200}"/>
    <cellStyle name="Normal 2 4 2 3 3 2 3 4" xfId="10616" xr:uid="{DB835FB6-3FD3-4E41-A1CB-B6070700C2AE}"/>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66354750-4080-4D21-88E3-0AF65BF6B110}"/>
    <cellStyle name="Normal 2 4 2 3 3 2 4 2 3" xfId="13174" xr:uid="{FBBC8348-CA6E-409A-ABD3-BC60C111E57D}"/>
    <cellStyle name="Normal 2 4 2 3 3 2 4 3" xfId="5920" xr:uid="{00000000-0005-0000-0000-0000F50E0000}"/>
    <cellStyle name="Normal 2 4 2 3 3 2 4 3 2" xfId="15246" xr:uid="{D0AAADB1-523B-4D36-BC50-76D57B696FA8}"/>
    <cellStyle name="Normal 2 4 2 3 3 2 4 4" xfId="11029" xr:uid="{53BE8E35-76AF-49AE-8325-99D62C018642}"/>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058C0350-20A5-4433-95BD-048DF9660F08}"/>
    <cellStyle name="Normal 2 4 2 3 3 2 5 2 3" xfId="13587" xr:uid="{F0607A5E-0AFD-469C-93E6-68C4A5A9609B}"/>
    <cellStyle name="Normal 2 4 2 3 3 2 5 3" xfId="6333" xr:uid="{00000000-0005-0000-0000-0000F90E0000}"/>
    <cellStyle name="Normal 2 4 2 3 3 2 5 3 2" xfId="15659" xr:uid="{2A5F98A5-1431-48BB-9A8E-9F0443E920AF}"/>
    <cellStyle name="Normal 2 4 2 3 3 2 5 4" xfId="11442" xr:uid="{264CFEA7-FF77-4FDE-8DD1-0FA9193762CE}"/>
    <cellStyle name="Normal 2 4 2 3 3 2 6" xfId="2463" xr:uid="{00000000-0005-0000-0000-0000FA0E0000}"/>
    <cellStyle name="Normal 2 4 2 3 3 2 6 2" xfId="6746" xr:uid="{00000000-0005-0000-0000-0000FB0E0000}"/>
    <cellStyle name="Normal 2 4 2 3 3 2 6 2 2" xfId="16072" xr:uid="{5B5AC34E-AC04-4DD8-8B70-43B1AE8B3196}"/>
    <cellStyle name="Normal 2 4 2 3 3 2 6 3" xfId="11855" xr:uid="{1CAEBB85-37DE-4444-A97C-1903E9D24B01}"/>
    <cellStyle name="Normal 2 4 2 3 3 2 7" xfId="4680" xr:uid="{00000000-0005-0000-0000-0000FC0E0000}"/>
    <cellStyle name="Normal 2 4 2 3 3 2 7 2" xfId="14006" xr:uid="{B543C8B7-8F47-4698-92DF-3C8CDBB38F23}"/>
    <cellStyle name="Normal 2 4 2 3 3 2 8" xfId="9098" xr:uid="{15335B31-FFDD-479D-88EC-FAB83DC4E6EC}"/>
    <cellStyle name="Normal 2 4 2 3 3 2 8 2" xfId="18421" xr:uid="{6CD00642-6BBE-4680-B7E5-0BC072BB448A}"/>
    <cellStyle name="Normal 2 4 2 3 3 2 9" xfId="9789" xr:uid="{F570F78E-9A7E-4C1F-BC40-1A8DEB8E129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0E45AA88-7581-40E1-81AD-58C15BC52F2E}"/>
    <cellStyle name="Normal 2 4 2 3 3 3 2 3" xfId="12347" xr:uid="{3960CB09-F857-4D93-8300-F884D0AB953B}"/>
    <cellStyle name="Normal 2 4 2 3 3 3 3" xfId="5093" xr:uid="{00000000-0005-0000-0000-0000000F0000}"/>
    <cellStyle name="Normal 2 4 2 3 3 3 3 2" xfId="14419" xr:uid="{1684BACD-B58A-4C28-9550-118BDA6D059A}"/>
    <cellStyle name="Normal 2 4 2 3 3 3 4" xfId="9316" xr:uid="{C8C83D09-5A3A-4C90-8A04-9D7CD8C85B11}"/>
    <cellStyle name="Normal 2 4 2 3 3 3 4 2" xfId="18629" xr:uid="{F0E27184-F83F-42C2-8E3B-1A2BB30BE867}"/>
    <cellStyle name="Normal 2 4 2 3 3 3 5" xfId="10202" xr:uid="{A03E07A7-BDB3-4872-BABB-BBDE02D683F5}"/>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630E0196-158E-452A-9F2A-D4C78C219C82}"/>
    <cellStyle name="Normal 2 4 2 3 3 4 2 3" xfId="12760" xr:uid="{D6F89582-EA58-4049-A08F-C7B422B4B854}"/>
    <cellStyle name="Normal 2 4 2 3 3 4 3" xfId="5506" xr:uid="{00000000-0005-0000-0000-0000040F0000}"/>
    <cellStyle name="Normal 2 4 2 3 3 4 3 2" xfId="14832" xr:uid="{E69735F0-D967-4AAA-98FA-197C5A79003E}"/>
    <cellStyle name="Normal 2 4 2 3 3 4 4" xfId="10615" xr:uid="{25AB7949-D6A2-4230-9779-B05EF7CD9FB5}"/>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8A2A667E-1299-4D63-8F2A-4AFBAC7E5AE0}"/>
    <cellStyle name="Normal 2 4 2 3 3 5 2 3" xfId="13173" xr:uid="{55255C3E-843F-40A4-817B-36FBD28A5F06}"/>
    <cellStyle name="Normal 2 4 2 3 3 5 3" xfId="5919" xr:uid="{00000000-0005-0000-0000-0000080F0000}"/>
    <cellStyle name="Normal 2 4 2 3 3 5 3 2" xfId="15245" xr:uid="{08D4FC94-D34B-4E34-A630-FF84A9F7D1E6}"/>
    <cellStyle name="Normal 2 4 2 3 3 5 4" xfId="11028" xr:uid="{EE42828A-2F3A-4F92-8210-A0EC69EF3B0A}"/>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2BCAD049-C4BB-49B7-BDA8-6AD8B5D78C77}"/>
    <cellStyle name="Normal 2 4 2 3 3 6 2 3" xfId="13586" xr:uid="{42482349-ABF9-48FA-AAB0-948F59B520E9}"/>
    <cellStyle name="Normal 2 4 2 3 3 6 3" xfId="6332" xr:uid="{00000000-0005-0000-0000-00000C0F0000}"/>
    <cellStyle name="Normal 2 4 2 3 3 6 3 2" xfId="15658" xr:uid="{0BD4E4A2-609A-4FD5-9BC4-C9BA31D3BFD5}"/>
    <cellStyle name="Normal 2 4 2 3 3 6 4" xfId="11441" xr:uid="{50E8368C-2F0E-4667-B83C-B5A4785DE629}"/>
    <cellStyle name="Normal 2 4 2 3 3 7" xfId="2462" xr:uid="{00000000-0005-0000-0000-00000D0F0000}"/>
    <cellStyle name="Normal 2 4 2 3 3 7 2" xfId="6745" xr:uid="{00000000-0005-0000-0000-00000E0F0000}"/>
    <cellStyle name="Normal 2 4 2 3 3 7 2 2" xfId="16071" xr:uid="{1B7AFC3A-5ECB-46AA-B202-659B037ACE56}"/>
    <cellStyle name="Normal 2 4 2 3 3 7 3" xfId="11854" xr:uid="{02658612-B607-4D59-9B55-0C365145EC46}"/>
    <cellStyle name="Normal 2 4 2 3 3 8" xfId="4679" xr:uid="{00000000-0005-0000-0000-00000F0F0000}"/>
    <cellStyle name="Normal 2 4 2 3 3 8 2" xfId="14005" xr:uid="{A71E62C7-B0A1-4E40-BFD5-F19DD7624786}"/>
    <cellStyle name="Normal 2 4 2 3 3 9" xfId="8891" xr:uid="{D2DF60A1-A34B-4A3F-B29E-E581EFBA8360}"/>
    <cellStyle name="Normal 2 4 2 3 3 9 2" xfId="18214" xr:uid="{B6898EF0-E23A-4DA2-A2A1-664653590C6D}"/>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D298EB83-163E-4C07-92BF-847A01233AD0}"/>
    <cellStyle name="Normal 2 4 2 3 4 2 2 3" xfId="12349" xr:uid="{89768625-C638-45DC-B44A-602CB5C79DF8}"/>
    <cellStyle name="Normal 2 4 2 3 4 2 3" xfId="5095" xr:uid="{00000000-0005-0000-0000-0000140F0000}"/>
    <cellStyle name="Normal 2 4 2 3 4 2 3 2" xfId="14421" xr:uid="{41EF4585-851B-4E6C-8CC2-60AB7D3A4888}"/>
    <cellStyle name="Normal 2 4 2 3 4 2 4" xfId="9420" xr:uid="{49E252B3-99BC-416A-A0CB-FE2641ECFDE3}"/>
    <cellStyle name="Normal 2 4 2 3 4 2 4 2" xfId="18733" xr:uid="{F3009574-1136-49F7-962F-3A6566A6710F}"/>
    <cellStyle name="Normal 2 4 2 3 4 2 5" xfId="10204" xr:uid="{CE55E741-2A28-45EC-A7BC-9E6CC5228A18}"/>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E4501804-8445-4E53-9248-C10300F2336C}"/>
    <cellStyle name="Normal 2 4 2 3 4 3 2 3" xfId="12762" xr:uid="{E0CCF0DB-D5FB-4FCD-A5C5-9DB2EE36A51C}"/>
    <cellStyle name="Normal 2 4 2 3 4 3 3" xfId="5508" xr:uid="{00000000-0005-0000-0000-0000180F0000}"/>
    <cellStyle name="Normal 2 4 2 3 4 3 3 2" xfId="14834" xr:uid="{0110606C-49B8-475F-A238-2E038CD4A0D6}"/>
    <cellStyle name="Normal 2 4 2 3 4 3 4" xfId="10617" xr:uid="{3EBC8E45-3851-47A5-A5E9-4E0880DAD8EF}"/>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DBADF398-8546-4F46-AE0E-E3038DB06051}"/>
    <cellStyle name="Normal 2 4 2 3 4 4 2 3" xfId="13175" xr:uid="{3025F33E-E959-4BCC-9200-24213DC81CDF}"/>
    <cellStyle name="Normal 2 4 2 3 4 4 3" xfId="5921" xr:uid="{00000000-0005-0000-0000-00001C0F0000}"/>
    <cellStyle name="Normal 2 4 2 3 4 4 3 2" xfId="15247" xr:uid="{76B788F9-3CB0-4887-BF7E-51784875369A}"/>
    <cellStyle name="Normal 2 4 2 3 4 4 4" xfId="11030" xr:uid="{9A34F763-9265-4553-B3C9-774352E35CC1}"/>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D45ABF29-1373-4730-AE1F-C48536BC5A24}"/>
    <cellStyle name="Normal 2 4 2 3 4 5 2 3" xfId="13588" xr:uid="{839C31EA-9FD9-4412-8BF8-857648B41789}"/>
    <cellStyle name="Normal 2 4 2 3 4 5 3" xfId="6334" xr:uid="{00000000-0005-0000-0000-0000200F0000}"/>
    <cellStyle name="Normal 2 4 2 3 4 5 3 2" xfId="15660" xr:uid="{961EA4EE-DD16-4971-85ED-73658DD0975B}"/>
    <cellStyle name="Normal 2 4 2 3 4 5 4" xfId="11443" xr:uid="{8B67EF2A-F638-40E7-AEE8-472A8EB3C2B0}"/>
    <cellStyle name="Normal 2 4 2 3 4 6" xfId="2464" xr:uid="{00000000-0005-0000-0000-0000210F0000}"/>
    <cellStyle name="Normal 2 4 2 3 4 6 2" xfId="6747" xr:uid="{00000000-0005-0000-0000-0000220F0000}"/>
    <cellStyle name="Normal 2 4 2 3 4 6 2 2" xfId="16073" xr:uid="{CF5B6684-0F5D-490E-9A39-883503B7269F}"/>
    <cellStyle name="Normal 2 4 2 3 4 6 3" xfId="11856" xr:uid="{D7E5C39D-5E32-4BE7-922B-55DE3BF5ED05}"/>
    <cellStyle name="Normal 2 4 2 3 4 7" xfId="4681" xr:uid="{00000000-0005-0000-0000-0000230F0000}"/>
    <cellStyle name="Normal 2 4 2 3 4 7 2" xfId="14007" xr:uid="{BB865D4C-1D2B-471F-BB2B-DD9025AFC965}"/>
    <cellStyle name="Normal 2 4 2 3 4 8" xfId="8995" xr:uid="{EEE25A27-4C18-4948-8341-FF27707A7A86}"/>
    <cellStyle name="Normal 2 4 2 3 4 8 2" xfId="18318" xr:uid="{C0829BF2-C050-465A-87E2-29D16B1B33A5}"/>
    <cellStyle name="Normal 2 4 2 3 4 9" xfId="9790" xr:uid="{E9F3B426-823E-497C-8727-D3D0DC91C0AB}"/>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294A955D-4E8F-4115-A09D-A37C5A9F62FE}"/>
    <cellStyle name="Normal 2 4 2 3 5 2 3" xfId="12342" xr:uid="{E9953B17-3F1E-48BC-BCE5-619E3A73EDCC}"/>
    <cellStyle name="Normal 2 4 2 3 5 3" xfId="5088" xr:uid="{00000000-0005-0000-0000-0000270F0000}"/>
    <cellStyle name="Normal 2 4 2 3 5 3 2" xfId="14414" xr:uid="{BA9E0126-B5BC-45DD-BF4F-168C3B12675D}"/>
    <cellStyle name="Normal 2 4 2 3 5 4" xfId="9212" xr:uid="{39F1BF9F-C79C-4226-B2D8-665EAA6F3686}"/>
    <cellStyle name="Normal 2 4 2 3 5 4 2" xfId="18526" xr:uid="{3F1A52BB-CB57-440A-BABB-47BBDAD6C939}"/>
    <cellStyle name="Normal 2 4 2 3 5 5" xfId="10197" xr:uid="{E502187F-4907-4D76-8203-9C603BB6997D}"/>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7B590436-B688-420B-BFF7-0F3422522F15}"/>
    <cellStyle name="Normal 2 4 2 3 6 2 3" xfId="12755" xr:uid="{674D0C0C-3DB8-40A1-B9BC-87629EE585FB}"/>
    <cellStyle name="Normal 2 4 2 3 6 3" xfId="5501" xr:uid="{00000000-0005-0000-0000-00002B0F0000}"/>
    <cellStyle name="Normal 2 4 2 3 6 3 2" xfId="14827" xr:uid="{51324A2D-DF9B-41DE-81E9-921AF3EE377E}"/>
    <cellStyle name="Normal 2 4 2 3 6 4" xfId="10610" xr:uid="{9BA79632-B0C3-4713-9B96-C3F79B37CAA0}"/>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5227D85F-3B67-4926-848E-1219EC27B5EC}"/>
    <cellStyle name="Normal 2 4 2 3 7 2 3" xfId="13168" xr:uid="{805ADF12-85FF-4360-B904-918C02C5411D}"/>
    <cellStyle name="Normal 2 4 2 3 7 3" xfId="5914" xr:uid="{00000000-0005-0000-0000-00002F0F0000}"/>
    <cellStyle name="Normal 2 4 2 3 7 3 2" xfId="15240" xr:uid="{4319F8FD-F649-48D2-BD76-F9052835A5F1}"/>
    <cellStyle name="Normal 2 4 2 3 7 4" xfId="11023" xr:uid="{78E35C85-F7AC-4413-9746-1862F3B89C1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6E54446A-EBAF-429A-9A64-212867DF9A26}"/>
    <cellStyle name="Normal 2 4 2 3 8 2 3" xfId="13581" xr:uid="{6E00F997-0321-4EFC-B96E-47372E278227}"/>
    <cellStyle name="Normal 2 4 2 3 8 3" xfId="6327" xr:uid="{00000000-0005-0000-0000-0000330F0000}"/>
    <cellStyle name="Normal 2 4 2 3 8 3 2" xfId="15653" xr:uid="{695F5C9D-C8B3-4A9D-B5F4-A45F37B6CA86}"/>
    <cellStyle name="Normal 2 4 2 3 8 4" xfId="11436" xr:uid="{69D80995-B69D-4692-84B6-36F85FB4398E}"/>
    <cellStyle name="Normal 2 4 2 3 9" xfId="2457" xr:uid="{00000000-0005-0000-0000-0000340F0000}"/>
    <cellStyle name="Normal 2 4 2 3 9 2" xfId="6740" xr:uid="{00000000-0005-0000-0000-0000350F0000}"/>
    <cellStyle name="Normal 2 4 2 3 9 2 2" xfId="16066" xr:uid="{2B0CD56D-46E2-4630-A856-BF4FBD78E6AF}"/>
    <cellStyle name="Normal 2 4 2 3 9 3" xfId="11849" xr:uid="{2B6F76C0-6BB2-4D33-AC80-D3140983771C}"/>
    <cellStyle name="Normal 2 4 2 4" xfId="289" xr:uid="{00000000-0005-0000-0000-0000360F0000}"/>
    <cellStyle name="Normal 2 4 2 4 10" xfId="8812" xr:uid="{C2E08BA7-2068-4F74-AFE2-E0AED0B82FE2}"/>
    <cellStyle name="Normal 2 4 2 4 10 2" xfId="18135" xr:uid="{EA2ED636-B7AB-45E3-96D9-4F02BF812844}"/>
    <cellStyle name="Normal 2 4 2 4 11" xfId="9791" xr:uid="{909F1DF2-4727-4F21-AED3-928EEB08C3AF}"/>
    <cellStyle name="Normal 2 4 2 4 2" xfId="290" xr:uid="{00000000-0005-0000-0000-0000370F0000}"/>
    <cellStyle name="Normal 2 4 2 4 2 10" xfId="9792" xr:uid="{C35841DA-E478-4BEF-A7A1-E428BFF929B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2D28818A-918C-4523-BF88-6C3604369892}"/>
    <cellStyle name="Normal 2 4 2 4 2 2 2 2 3" xfId="12352" xr:uid="{CE165C0D-521A-4835-8668-C47F838E1D73}"/>
    <cellStyle name="Normal 2 4 2 4 2 2 2 3" xfId="5098" xr:uid="{00000000-0005-0000-0000-00003C0F0000}"/>
    <cellStyle name="Normal 2 4 2 4 2 2 2 3 2" xfId="14424" xr:uid="{EE28F824-DACB-4BC1-B096-E5A1988BB8FE}"/>
    <cellStyle name="Normal 2 4 2 4 2 2 2 4" xfId="9547" xr:uid="{F8909421-8B16-4168-8B85-A5523C430C3C}"/>
    <cellStyle name="Normal 2 4 2 4 2 2 2 4 2" xfId="18860" xr:uid="{091FAFEC-E170-4CE0-A316-AF90A74D2279}"/>
    <cellStyle name="Normal 2 4 2 4 2 2 2 5" xfId="10207" xr:uid="{1C80D444-AA7E-4A0E-9D59-066A7BAC7D5D}"/>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FC589C30-AADF-440C-AE1E-76B0EE1F3F17}"/>
    <cellStyle name="Normal 2 4 2 4 2 2 3 2 3" xfId="12765" xr:uid="{B4AF3417-2AF4-4820-AA43-CE28AE2556F2}"/>
    <cellStyle name="Normal 2 4 2 4 2 2 3 3" xfId="5511" xr:uid="{00000000-0005-0000-0000-0000400F0000}"/>
    <cellStyle name="Normal 2 4 2 4 2 2 3 3 2" xfId="14837" xr:uid="{78F0B648-36EE-4723-ACE1-E58FF8991081}"/>
    <cellStyle name="Normal 2 4 2 4 2 2 3 4" xfId="10620" xr:uid="{B0F58462-487F-42AC-8F94-0333723FD358}"/>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A7204030-5445-4E0E-B942-A9CC116F04FB}"/>
    <cellStyle name="Normal 2 4 2 4 2 2 4 2 3" xfId="13178" xr:uid="{D9B0CF98-4FBD-4899-A147-371243D8E1F9}"/>
    <cellStyle name="Normal 2 4 2 4 2 2 4 3" xfId="5924" xr:uid="{00000000-0005-0000-0000-0000440F0000}"/>
    <cellStyle name="Normal 2 4 2 4 2 2 4 3 2" xfId="15250" xr:uid="{7B5C0405-053C-42D0-B0D1-4271BFABC73F}"/>
    <cellStyle name="Normal 2 4 2 4 2 2 4 4" xfId="11033" xr:uid="{5EF7829C-D168-46DF-BAB2-E36FEA7CB15B}"/>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59B3A259-6228-420B-A3D5-31DDA799EB1E}"/>
    <cellStyle name="Normal 2 4 2 4 2 2 5 2 3" xfId="13591" xr:uid="{8B136BA9-8862-46C6-9BA6-3B9B659529C3}"/>
    <cellStyle name="Normal 2 4 2 4 2 2 5 3" xfId="6337" xr:uid="{00000000-0005-0000-0000-0000480F0000}"/>
    <cellStyle name="Normal 2 4 2 4 2 2 5 3 2" xfId="15663" xr:uid="{6E727EC1-EDAB-4BBC-BDEA-FD7FCCFE877F}"/>
    <cellStyle name="Normal 2 4 2 4 2 2 5 4" xfId="11446" xr:uid="{8D61B667-E4B3-40EA-9B6E-DEBD651F2E97}"/>
    <cellStyle name="Normal 2 4 2 4 2 2 6" xfId="2467" xr:uid="{00000000-0005-0000-0000-0000490F0000}"/>
    <cellStyle name="Normal 2 4 2 4 2 2 6 2" xfId="6750" xr:uid="{00000000-0005-0000-0000-00004A0F0000}"/>
    <cellStyle name="Normal 2 4 2 4 2 2 6 2 2" xfId="16076" xr:uid="{CA68E7F9-4AA1-4C7F-9A41-49058E79726D}"/>
    <cellStyle name="Normal 2 4 2 4 2 2 6 3" xfId="11859" xr:uid="{3C518D6A-FB77-4C1A-BF94-7A7425DC8A79}"/>
    <cellStyle name="Normal 2 4 2 4 2 2 7" xfId="4684" xr:uid="{00000000-0005-0000-0000-00004B0F0000}"/>
    <cellStyle name="Normal 2 4 2 4 2 2 7 2" xfId="14010" xr:uid="{137BE8F6-0B75-415B-B08C-DDFE5C569394}"/>
    <cellStyle name="Normal 2 4 2 4 2 2 8" xfId="9122" xr:uid="{861CB008-611F-4F3F-9D09-5BCA5A4CB255}"/>
    <cellStyle name="Normal 2 4 2 4 2 2 8 2" xfId="18445" xr:uid="{45DD0F57-C06B-4817-B653-E8D8D9BB222C}"/>
    <cellStyle name="Normal 2 4 2 4 2 2 9" xfId="9793" xr:uid="{67F59AB8-EE0E-4ED1-9D38-A08225F2654D}"/>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FA2D1578-3BF5-4BEA-BB93-341EBF145B92}"/>
    <cellStyle name="Normal 2 4 2 4 2 3 2 3" xfId="12351" xr:uid="{65C485BF-AFC8-4947-B6C8-20C608386AA3}"/>
    <cellStyle name="Normal 2 4 2 4 2 3 3" xfId="5097" xr:uid="{00000000-0005-0000-0000-00004F0F0000}"/>
    <cellStyle name="Normal 2 4 2 4 2 3 3 2" xfId="14423" xr:uid="{CDC670E4-B44A-412A-8273-5FB374078AE0}"/>
    <cellStyle name="Normal 2 4 2 4 2 3 4" xfId="9340" xr:uid="{2D1F2F91-F6E8-42AC-98D0-B8667E0ECE37}"/>
    <cellStyle name="Normal 2 4 2 4 2 3 4 2" xfId="18653" xr:uid="{95949009-643A-4105-A58D-11273B0C1EF8}"/>
    <cellStyle name="Normal 2 4 2 4 2 3 5" xfId="10206" xr:uid="{CED19D3C-4555-4F93-B3D5-ED374FCC415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DB38024D-35A3-4709-88CA-B5F70B855903}"/>
    <cellStyle name="Normal 2 4 2 4 2 4 2 3" xfId="12764" xr:uid="{470CCC5A-5F00-49D6-8F3A-D2FA02DFF86B}"/>
    <cellStyle name="Normal 2 4 2 4 2 4 3" xfId="5510" xr:uid="{00000000-0005-0000-0000-0000530F0000}"/>
    <cellStyle name="Normal 2 4 2 4 2 4 3 2" xfId="14836" xr:uid="{5CCBC9E4-4080-4175-9EB7-4D071AA57BD8}"/>
    <cellStyle name="Normal 2 4 2 4 2 4 4" xfId="10619" xr:uid="{9A1489C4-8DC9-4272-A2EE-9AFA00D9454C}"/>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A0172C92-60F6-40C9-8DFF-2C4DF9C7590B}"/>
    <cellStyle name="Normal 2 4 2 4 2 5 2 3" xfId="13177" xr:uid="{903A5934-4278-4ED3-AA09-DEA53565CDD0}"/>
    <cellStyle name="Normal 2 4 2 4 2 5 3" xfId="5923" xr:uid="{00000000-0005-0000-0000-0000570F0000}"/>
    <cellStyle name="Normal 2 4 2 4 2 5 3 2" xfId="15249" xr:uid="{71C8B1A8-C369-4BD3-898A-450BBE5670D1}"/>
    <cellStyle name="Normal 2 4 2 4 2 5 4" xfId="11032" xr:uid="{50709EB6-FD30-4C3F-AEFF-BB1CE32D2C31}"/>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219EA845-DF62-4484-A30E-2398C150710B}"/>
    <cellStyle name="Normal 2 4 2 4 2 6 2 3" xfId="13590" xr:uid="{CD4FF541-98F6-45C4-B568-27D357E082B3}"/>
    <cellStyle name="Normal 2 4 2 4 2 6 3" xfId="6336" xr:uid="{00000000-0005-0000-0000-00005B0F0000}"/>
    <cellStyle name="Normal 2 4 2 4 2 6 3 2" xfId="15662" xr:uid="{B4A80024-7B9D-4FF5-B986-5202CC9088A7}"/>
    <cellStyle name="Normal 2 4 2 4 2 6 4" xfId="11445" xr:uid="{FB1D6650-3D53-49C7-9E5A-320644D860B3}"/>
    <cellStyle name="Normal 2 4 2 4 2 7" xfId="2466" xr:uid="{00000000-0005-0000-0000-00005C0F0000}"/>
    <cellStyle name="Normal 2 4 2 4 2 7 2" xfId="6749" xr:uid="{00000000-0005-0000-0000-00005D0F0000}"/>
    <cellStyle name="Normal 2 4 2 4 2 7 2 2" xfId="16075" xr:uid="{F4F1F89B-AA6B-4370-AE03-87B49D64C799}"/>
    <cellStyle name="Normal 2 4 2 4 2 7 3" xfId="11858" xr:uid="{A34A868C-4655-4A71-9D80-91AF6440933C}"/>
    <cellStyle name="Normal 2 4 2 4 2 8" xfId="4683" xr:uid="{00000000-0005-0000-0000-00005E0F0000}"/>
    <cellStyle name="Normal 2 4 2 4 2 8 2" xfId="14009" xr:uid="{99B92685-24B1-49E4-BF25-877B3A5EEAEF}"/>
    <cellStyle name="Normal 2 4 2 4 2 9" xfId="8915" xr:uid="{2BEB15AA-2AFA-47D4-AC0E-63DAF2CFE119}"/>
    <cellStyle name="Normal 2 4 2 4 2 9 2" xfId="18238" xr:uid="{7A8C569D-DE9C-4980-9C49-B597AD51D8A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5395EB1B-11F5-4966-AF53-D16497F74470}"/>
    <cellStyle name="Normal 2 4 2 4 3 2 2 3" xfId="12353" xr:uid="{9D9C449A-5422-415F-8946-5765577FC213}"/>
    <cellStyle name="Normal 2 4 2 4 3 2 3" xfId="5099" xr:uid="{00000000-0005-0000-0000-0000630F0000}"/>
    <cellStyle name="Normal 2 4 2 4 3 2 3 2" xfId="14425" xr:uid="{7F6FF287-6829-4666-A0D9-C96439F2CBC2}"/>
    <cellStyle name="Normal 2 4 2 4 3 2 4" xfId="9444" xr:uid="{807939DF-E7C0-4015-A3D8-AE9E56020172}"/>
    <cellStyle name="Normal 2 4 2 4 3 2 4 2" xfId="18757" xr:uid="{44FA0CFB-3C2D-4F28-AFDC-82E14AA25FCF}"/>
    <cellStyle name="Normal 2 4 2 4 3 2 5" xfId="10208" xr:uid="{9345AEFA-5EBA-47DB-B744-CCB2BD1063CA}"/>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F0BAF4CE-C7F4-4010-9546-3AE6267C4D88}"/>
    <cellStyle name="Normal 2 4 2 4 3 3 2 3" xfId="12766" xr:uid="{4EFBDB65-84F1-46CE-A944-9BA15B32B486}"/>
    <cellStyle name="Normal 2 4 2 4 3 3 3" xfId="5512" xr:uid="{00000000-0005-0000-0000-0000670F0000}"/>
    <cellStyle name="Normal 2 4 2 4 3 3 3 2" xfId="14838" xr:uid="{BA3C2E88-78E1-420E-943A-910E9AA8C94C}"/>
    <cellStyle name="Normal 2 4 2 4 3 3 4" xfId="10621" xr:uid="{EBEFC78D-00BE-4347-A335-3BC204591812}"/>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086E71FA-7BCF-4ADD-8AA8-C5640B1DAAB1}"/>
    <cellStyle name="Normal 2 4 2 4 3 4 2 3" xfId="13179" xr:uid="{1D1F2A57-D194-4C99-ADF1-5041A5088E45}"/>
    <cellStyle name="Normal 2 4 2 4 3 4 3" xfId="5925" xr:uid="{00000000-0005-0000-0000-00006B0F0000}"/>
    <cellStyle name="Normal 2 4 2 4 3 4 3 2" xfId="15251" xr:uid="{FAECC518-825C-44DE-BCC0-3BCF991768BE}"/>
    <cellStyle name="Normal 2 4 2 4 3 4 4" xfId="11034" xr:uid="{54861819-5252-40E5-B55F-FA63FC2F5BE8}"/>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38340CA5-E924-48D5-913A-4029BA1DD710}"/>
    <cellStyle name="Normal 2 4 2 4 3 5 2 3" xfId="13592" xr:uid="{436AECB4-0728-43E9-BD87-E8B10A444969}"/>
    <cellStyle name="Normal 2 4 2 4 3 5 3" xfId="6338" xr:uid="{00000000-0005-0000-0000-00006F0F0000}"/>
    <cellStyle name="Normal 2 4 2 4 3 5 3 2" xfId="15664" xr:uid="{6DC95B19-6F2A-4678-BEF0-A46F5212B7D7}"/>
    <cellStyle name="Normal 2 4 2 4 3 5 4" xfId="11447" xr:uid="{8F569383-874F-4ADC-B8D7-F66085DC1BCC}"/>
    <cellStyle name="Normal 2 4 2 4 3 6" xfId="2468" xr:uid="{00000000-0005-0000-0000-0000700F0000}"/>
    <cellStyle name="Normal 2 4 2 4 3 6 2" xfId="6751" xr:uid="{00000000-0005-0000-0000-0000710F0000}"/>
    <cellStyle name="Normal 2 4 2 4 3 6 2 2" xfId="16077" xr:uid="{008E3DD6-1FB8-4020-A4AA-205812D4DB0E}"/>
    <cellStyle name="Normal 2 4 2 4 3 6 3" xfId="11860" xr:uid="{7315D498-6157-4BAD-AC47-84A1EF70DC1F}"/>
    <cellStyle name="Normal 2 4 2 4 3 7" xfId="4685" xr:uid="{00000000-0005-0000-0000-0000720F0000}"/>
    <cellStyle name="Normal 2 4 2 4 3 7 2" xfId="14011" xr:uid="{A47AC4D9-402E-43A9-98A4-747A9001D39F}"/>
    <cellStyle name="Normal 2 4 2 4 3 8" xfId="9019" xr:uid="{1F22810F-FF7D-4FF4-861A-F2BA8F253428}"/>
    <cellStyle name="Normal 2 4 2 4 3 8 2" xfId="18342" xr:uid="{F2E08497-350D-4C37-9653-1536C3F1A0D2}"/>
    <cellStyle name="Normal 2 4 2 4 3 9" xfId="9794" xr:uid="{7FF4CEF3-9504-45BD-9112-CF00CAC999C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CE6F68E3-9E0E-4EE6-82AF-7EA6AE7DF78F}"/>
    <cellStyle name="Normal 2 4 2 4 4 2 3" xfId="12350" xr:uid="{4292FB6C-BBC2-4FA1-AC96-1F3531EAB797}"/>
    <cellStyle name="Normal 2 4 2 4 4 3" xfId="5096" xr:uid="{00000000-0005-0000-0000-0000760F0000}"/>
    <cellStyle name="Normal 2 4 2 4 4 3 2" xfId="14422" xr:uid="{614A6F8F-2F20-4A27-9038-35A555042A7D}"/>
    <cellStyle name="Normal 2 4 2 4 4 4" xfId="9237" xr:uid="{FF4B133D-A40B-4895-9E3D-E727B18E66C8}"/>
    <cellStyle name="Normal 2 4 2 4 4 4 2" xfId="18550" xr:uid="{5F193FF3-7ACE-4414-A68C-546D379B98CC}"/>
    <cellStyle name="Normal 2 4 2 4 4 5" xfId="10205" xr:uid="{C1AF8F60-48B9-4C15-A7A6-845FEF76C1AB}"/>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71556689-7FD5-40C8-9E82-9CBB3EA90527}"/>
    <cellStyle name="Normal 2 4 2 4 5 2 3" xfId="12763" xr:uid="{EFBE0C12-E359-4DD8-B33B-A478550A9DCE}"/>
    <cellStyle name="Normal 2 4 2 4 5 3" xfId="5509" xr:uid="{00000000-0005-0000-0000-00007A0F0000}"/>
    <cellStyle name="Normal 2 4 2 4 5 3 2" xfId="14835" xr:uid="{76384BE0-0DE7-402A-A2C9-FE1F64C0BE0A}"/>
    <cellStyle name="Normal 2 4 2 4 5 4" xfId="10618" xr:uid="{24E4FAC5-6D6C-4D95-AF73-7AC11685388F}"/>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9DC57414-BE31-4A98-8910-2F3F9E1B76E2}"/>
    <cellStyle name="Normal 2 4 2 4 6 2 3" xfId="13176" xr:uid="{544960B5-FC65-4ABC-89AD-F454D86B0016}"/>
    <cellStyle name="Normal 2 4 2 4 6 3" xfId="5922" xr:uid="{00000000-0005-0000-0000-00007E0F0000}"/>
    <cellStyle name="Normal 2 4 2 4 6 3 2" xfId="15248" xr:uid="{E820661C-4857-4E47-B589-C1B03716303F}"/>
    <cellStyle name="Normal 2 4 2 4 6 4" xfId="11031" xr:uid="{A3728C04-BA4C-4692-A7C7-F87EFBAE4EFF}"/>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0A914EE7-B80F-47C1-8877-92ED9FE104BD}"/>
    <cellStyle name="Normal 2 4 2 4 7 2 3" xfId="13589" xr:uid="{83A1E1DC-6A55-4EB0-85A1-D96CB33CCC09}"/>
    <cellStyle name="Normal 2 4 2 4 7 3" xfId="6335" xr:uid="{00000000-0005-0000-0000-0000820F0000}"/>
    <cellStyle name="Normal 2 4 2 4 7 3 2" xfId="15661" xr:uid="{BCB2C86B-7AAE-4FC7-9A31-8EB14AED2A78}"/>
    <cellStyle name="Normal 2 4 2 4 7 4" xfId="11444" xr:uid="{B180A430-A042-4774-8D1C-ABAED2338DE4}"/>
    <cellStyle name="Normal 2 4 2 4 8" xfId="2465" xr:uid="{00000000-0005-0000-0000-0000830F0000}"/>
    <cellStyle name="Normal 2 4 2 4 8 2" xfId="6748" xr:uid="{00000000-0005-0000-0000-0000840F0000}"/>
    <cellStyle name="Normal 2 4 2 4 8 2 2" xfId="16074" xr:uid="{E1C9BC33-E82C-4E8D-8527-3BB9153823BC}"/>
    <cellStyle name="Normal 2 4 2 4 8 3" xfId="11857" xr:uid="{462AD86B-2D24-4E29-980D-A926B6FF2026}"/>
    <cellStyle name="Normal 2 4 2 4 9" xfId="4682" xr:uid="{00000000-0005-0000-0000-0000850F0000}"/>
    <cellStyle name="Normal 2 4 2 4 9 2" xfId="14008" xr:uid="{4C8D2224-5927-404E-A1BB-F6BE38F84FEE}"/>
    <cellStyle name="Normal 2 4 2 5" xfId="293" xr:uid="{00000000-0005-0000-0000-0000860F0000}"/>
    <cellStyle name="Normal 2 4 2 5 10" xfId="9795" xr:uid="{0BE77BB6-6F12-48ED-AC6D-BCDFBCDCD92C}"/>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9CF7AA01-5448-4CE1-A52F-3A7E00DA993E}"/>
    <cellStyle name="Normal 2 4 2 5 2 2 2 3" xfId="12355" xr:uid="{D5F527C4-F1E0-4E57-9416-4849CE14172E}"/>
    <cellStyle name="Normal 2 4 2 5 2 2 3" xfId="5101" xr:uid="{00000000-0005-0000-0000-00008B0F0000}"/>
    <cellStyle name="Normal 2 4 2 5 2 2 3 2" xfId="14427" xr:uid="{FA62B67E-EC98-424E-A057-94AC66B44AC7}"/>
    <cellStyle name="Normal 2 4 2 5 2 2 4" xfId="9492" xr:uid="{07DC9204-2F52-408E-80EE-617A106DD9FD}"/>
    <cellStyle name="Normal 2 4 2 5 2 2 4 2" xfId="18805" xr:uid="{BA5A6BC8-B080-4F03-BCE0-1C6A137AAA87}"/>
    <cellStyle name="Normal 2 4 2 5 2 2 5" xfId="10210" xr:uid="{4AEA5CDB-65AC-4902-B3B7-C5D29F499DA7}"/>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DB9F624C-19E3-4245-AD5D-EA3A0901BBB4}"/>
    <cellStyle name="Normal 2 4 2 5 2 3 2 3" xfId="12768" xr:uid="{9E11A23B-059B-41A5-AB15-FD67F2F3F1BD}"/>
    <cellStyle name="Normal 2 4 2 5 2 3 3" xfId="5514" xr:uid="{00000000-0005-0000-0000-00008F0F0000}"/>
    <cellStyle name="Normal 2 4 2 5 2 3 3 2" xfId="14840" xr:uid="{C363BBF8-9219-4055-A947-45BAF2F19309}"/>
    <cellStyle name="Normal 2 4 2 5 2 3 4" xfId="10623" xr:uid="{F8DF81C5-3254-4217-85D3-160F01D3B1CB}"/>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87997F08-0B98-4220-A7C4-ABE9F9C2AA35}"/>
    <cellStyle name="Normal 2 4 2 5 2 4 2 3" xfId="13181" xr:uid="{A1110ED5-CBAA-4301-9A77-46E4CA2A1369}"/>
    <cellStyle name="Normal 2 4 2 5 2 4 3" xfId="5927" xr:uid="{00000000-0005-0000-0000-0000930F0000}"/>
    <cellStyle name="Normal 2 4 2 5 2 4 3 2" xfId="15253" xr:uid="{ADF39527-90CB-4945-9EB7-B80EDE654785}"/>
    <cellStyle name="Normal 2 4 2 5 2 4 4" xfId="11036" xr:uid="{76889CFE-BB49-4F95-8780-0CF511D7B5CC}"/>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1354D3C3-3C94-47F0-853F-B21CCAB6670A}"/>
    <cellStyle name="Normal 2 4 2 5 2 5 2 3" xfId="13594" xr:uid="{46D15792-41D5-4827-B897-091F19002D24}"/>
    <cellStyle name="Normal 2 4 2 5 2 5 3" xfId="6340" xr:uid="{00000000-0005-0000-0000-0000970F0000}"/>
    <cellStyle name="Normal 2 4 2 5 2 5 3 2" xfId="15666" xr:uid="{640532CB-2B67-4D6E-A313-488CE3876736}"/>
    <cellStyle name="Normal 2 4 2 5 2 5 4" xfId="11449" xr:uid="{7B6494CF-65F0-40F8-9858-48EE39D2EFD0}"/>
    <cellStyle name="Normal 2 4 2 5 2 6" xfId="2470" xr:uid="{00000000-0005-0000-0000-0000980F0000}"/>
    <cellStyle name="Normal 2 4 2 5 2 6 2" xfId="6753" xr:uid="{00000000-0005-0000-0000-0000990F0000}"/>
    <cellStyle name="Normal 2 4 2 5 2 6 2 2" xfId="16079" xr:uid="{75344571-D4B5-48CD-A7EE-2063F9E02CDD}"/>
    <cellStyle name="Normal 2 4 2 5 2 6 3" xfId="11862" xr:uid="{03169CF8-A172-4B24-B815-65622EBE06DD}"/>
    <cellStyle name="Normal 2 4 2 5 2 7" xfId="4687" xr:uid="{00000000-0005-0000-0000-00009A0F0000}"/>
    <cellStyle name="Normal 2 4 2 5 2 7 2" xfId="14013" xr:uid="{C7610668-6815-454E-8AEE-EEF68AF05943}"/>
    <cellStyle name="Normal 2 4 2 5 2 8" xfId="9067" xr:uid="{89D5CB5A-ADE0-44B8-BC1E-FDE984B579C9}"/>
    <cellStyle name="Normal 2 4 2 5 2 8 2" xfId="18390" xr:uid="{86DBEC48-1A4E-4A73-9002-CF17EEA4BC3A}"/>
    <cellStyle name="Normal 2 4 2 5 2 9" xfId="9796" xr:uid="{20D354B9-C88A-4BDB-B17E-3167E7806F0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B0A688A3-206F-46D4-8428-56DA5155B2C4}"/>
    <cellStyle name="Normal 2 4 2 5 3 2 3" xfId="12354" xr:uid="{E9FB020A-3937-4654-897B-9D21751ACD0F}"/>
    <cellStyle name="Normal 2 4 2 5 3 3" xfId="5100" xr:uid="{00000000-0005-0000-0000-00009E0F0000}"/>
    <cellStyle name="Normal 2 4 2 5 3 3 2" xfId="14426" xr:uid="{06FF14E7-3AF5-40B4-A700-222D7196852F}"/>
    <cellStyle name="Normal 2 4 2 5 3 4" xfId="9285" xr:uid="{5DA39FB9-904E-46D3-8E24-58BF2F19DA5B}"/>
    <cellStyle name="Normal 2 4 2 5 3 4 2" xfId="18598" xr:uid="{46233D99-F1DA-472C-A310-38268599C3A8}"/>
    <cellStyle name="Normal 2 4 2 5 3 5" xfId="10209" xr:uid="{DC2882B0-61E8-4AFB-A519-D79E4ABF6DD6}"/>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3243E316-9418-4893-B9D1-19BCB940B9B8}"/>
    <cellStyle name="Normal 2 4 2 5 4 2 3" xfId="12767" xr:uid="{A9F5E1A8-A9D7-47A4-B322-28715EF24625}"/>
    <cellStyle name="Normal 2 4 2 5 4 3" xfId="5513" xr:uid="{00000000-0005-0000-0000-0000A20F0000}"/>
    <cellStyle name="Normal 2 4 2 5 4 3 2" xfId="14839" xr:uid="{A6BA94DA-0D26-4AD9-82F7-E1C307D88A22}"/>
    <cellStyle name="Normal 2 4 2 5 4 4" xfId="10622" xr:uid="{25D4655A-D723-4189-BE30-C0967F8DC35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C31880F8-8D26-4814-B98C-466590AD5EE2}"/>
    <cellStyle name="Normal 2 4 2 5 5 2 3" xfId="13180" xr:uid="{8FA31705-AFB0-4591-845F-57A3EB553FB6}"/>
    <cellStyle name="Normal 2 4 2 5 5 3" xfId="5926" xr:uid="{00000000-0005-0000-0000-0000A60F0000}"/>
    <cellStyle name="Normal 2 4 2 5 5 3 2" xfId="15252" xr:uid="{C4A0019E-4F3B-4411-AD11-548F90F32705}"/>
    <cellStyle name="Normal 2 4 2 5 5 4" xfId="11035" xr:uid="{F7EC6D1D-5F4D-47DF-9C57-1B85E640520E}"/>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C1CCCBC1-0BCE-44B9-B8CE-B9D32F811F5E}"/>
    <cellStyle name="Normal 2 4 2 5 6 2 3" xfId="13593" xr:uid="{A7F720C0-4634-47B6-A23E-D41C279297EE}"/>
    <cellStyle name="Normal 2 4 2 5 6 3" xfId="6339" xr:uid="{00000000-0005-0000-0000-0000AA0F0000}"/>
    <cellStyle name="Normal 2 4 2 5 6 3 2" xfId="15665" xr:uid="{6D923257-21B3-4D9B-9834-C7C84F3D93D4}"/>
    <cellStyle name="Normal 2 4 2 5 6 4" xfId="11448" xr:uid="{770F1D26-CA4A-49EB-81F1-93D26447BA65}"/>
    <cellStyle name="Normal 2 4 2 5 7" xfId="2469" xr:uid="{00000000-0005-0000-0000-0000AB0F0000}"/>
    <cellStyle name="Normal 2 4 2 5 7 2" xfId="6752" xr:uid="{00000000-0005-0000-0000-0000AC0F0000}"/>
    <cellStyle name="Normal 2 4 2 5 7 2 2" xfId="16078" xr:uid="{8ECE0D62-ADFE-45D3-823E-AE71403806F5}"/>
    <cellStyle name="Normal 2 4 2 5 7 3" xfId="11861" xr:uid="{FCB2F65F-3221-4013-821B-E1CD78CEFFA6}"/>
    <cellStyle name="Normal 2 4 2 5 8" xfId="4686" xr:uid="{00000000-0005-0000-0000-0000AD0F0000}"/>
    <cellStyle name="Normal 2 4 2 5 8 2" xfId="14012" xr:uid="{0017016F-D08B-4B45-8199-00C7ACF1F3B6}"/>
    <cellStyle name="Normal 2 4 2 5 9" xfId="8860" xr:uid="{5FAFEFC0-3249-464B-9F12-2B1DA137C588}"/>
    <cellStyle name="Normal 2 4 2 5 9 2" xfId="18183" xr:uid="{F4A38B2B-CAA0-4656-8791-54C973C956F7}"/>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7E23F319-9317-4AD1-9A0C-AA4F98B47ABA}"/>
    <cellStyle name="Normal 2 4 2 6 2 2 3" xfId="12356" xr:uid="{F97D1A4A-42C6-45DC-B9DC-47E6F2BA373D}"/>
    <cellStyle name="Normal 2 4 2 6 2 3" xfId="5102" xr:uid="{00000000-0005-0000-0000-0000B20F0000}"/>
    <cellStyle name="Normal 2 4 2 6 2 3 2" xfId="14428" xr:uid="{AA3522E9-E072-4298-9FE5-1D628E3D6509}"/>
    <cellStyle name="Normal 2 4 2 6 2 4" xfId="9401" xr:uid="{C89DD342-23DD-474B-84C5-F9DED42F169B}"/>
    <cellStyle name="Normal 2 4 2 6 2 4 2" xfId="18714" xr:uid="{D6073DE3-0586-4862-B1B4-B77AB31C0A0D}"/>
    <cellStyle name="Normal 2 4 2 6 2 5" xfId="10211" xr:uid="{04D7A434-49BF-4757-86DE-E3C482F96F90}"/>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8D7D8B1A-11AC-4D8E-8455-4BBA2BED7714}"/>
    <cellStyle name="Normal 2 4 2 6 3 2 3" xfId="12769" xr:uid="{907D17C8-BC77-4216-95D8-C060D4C6B47E}"/>
    <cellStyle name="Normal 2 4 2 6 3 3" xfId="5515" xr:uid="{00000000-0005-0000-0000-0000B60F0000}"/>
    <cellStyle name="Normal 2 4 2 6 3 3 2" xfId="14841" xr:uid="{F0AAB4C0-4519-46C7-8186-E1AF5E8DBA48}"/>
    <cellStyle name="Normal 2 4 2 6 3 4" xfId="10624" xr:uid="{D655CCA7-655F-4867-913A-554559846F5B}"/>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45D0D298-A249-4479-AB5A-583CE177864B}"/>
    <cellStyle name="Normal 2 4 2 6 4 2 3" xfId="13182" xr:uid="{A6BC1532-8A18-41B4-857B-767D874FC298}"/>
    <cellStyle name="Normal 2 4 2 6 4 3" xfId="5928" xr:uid="{00000000-0005-0000-0000-0000BA0F0000}"/>
    <cellStyle name="Normal 2 4 2 6 4 3 2" xfId="15254" xr:uid="{288B0381-C689-4B55-9906-308775A7DBCF}"/>
    <cellStyle name="Normal 2 4 2 6 4 4" xfId="11037" xr:uid="{717F213E-ADFC-4B2F-AF5B-BE53DE026406}"/>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49CBEC7C-73E9-43F6-A7B9-854D7E77BC11}"/>
    <cellStyle name="Normal 2 4 2 6 5 2 3" xfId="13595" xr:uid="{5017C6A2-1D82-4979-A031-53CFE7BF5AEE}"/>
    <cellStyle name="Normal 2 4 2 6 5 3" xfId="6341" xr:uid="{00000000-0005-0000-0000-0000BE0F0000}"/>
    <cellStyle name="Normal 2 4 2 6 5 3 2" xfId="15667" xr:uid="{A89CD390-0C50-42A2-AF1E-F074ED03EB48}"/>
    <cellStyle name="Normal 2 4 2 6 5 4" xfId="11450" xr:uid="{6E6D0D3E-85AF-4F66-B1C9-89545FC2D2E2}"/>
    <cellStyle name="Normal 2 4 2 6 6" xfId="2471" xr:uid="{00000000-0005-0000-0000-0000BF0F0000}"/>
    <cellStyle name="Normal 2 4 2 6 6 2" xfId="6754" xr:uid="{00000000-0005-0000-0000-0000C00F0000}"/>
    <cellStyle name="Normal 2 4 2 6 6 2 2" xfId="16080" xr:uid="{7B8451A7-F964-452E-8D92-E1EB11BDF0F5}"/>
    <cellStyle name="Normal 2 4 2 6 6 3" xfId="11863" xr:uid="{E32849C8-D47D-4CAF-90C0-D6DD6F1D1908}"/>
    <cellStyle name="Normal 2 4 2 6 7" xfId="4688" xr:uid="{00000000-0005-0000-0000-0000C10F0000}"/>
    <cellStyle name="Normal 2 4 2 6 7 2" xfId="14014" xr:uid="{0A9DE122-E95F-4B50-B46E-3EA223B49800}"/>
    <cellStyle name="Normal 2 4 2 6 8" xfId="8976" xr:uid="{6DEAFF8C-68CB-4364-A161-479509F453AE}"/>
    <cellStyle name="Normal 2 4 2 6 8 2" xfId="18299" xr:uid="{A621733C-4A76-44D1-88C6-154F51F7714E}"/>
    <cellStyle name="Normal 2 4 2 6 9" xfId="9797" xr:uid="{6881E59B-5B4B-4611-8870-CF89AFE9BF02}"/>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33CAC755-C1AA-4A08-B18C-D30CD8222905}"/>
    <cellStyle name="Normal 2 4 2 7 2 3" xfId="12341" xr:uid="{F31F8D3A-FFFF-48E7-AA63-FA4FC8AE1BB3}"/>
    <cellStyle name="Normal 2 4 2 7 3" xfId="5087" xr:uid="{00000000-0005-0000-0000-0000C50F0000}"/>
    <cellStyle name="Normal 2 4 2 7 3 2" xfId="14413" xr:uid="{6A0303D1-3195-4E2B-BF03-299F1E945DB0}"/>
    <cellStyle name="Normal 2 4 2 7 4" xfId="9179" xr:uid="{D1C44CED-398E-43B3-AFA3-1E7DC60C5D92}"/>
    <cellStyle name="Normal 2 4 2 7 4 2" xfId="18495" xr:uid="{3EDB2311-1A80-4268-8260-6AEBF33AC32A}"/>
    <cellStyle name="Normal 2 4 2 7 5" xfId="10196" xr:uid="{0CDAB165-AD4D-4044-AF90-D48B723D0A18}"/>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19B0ED85-4153-43CC-9A5D-CC8C770906EF}"/>
    <cellStyle name="Normal 2 4 2 8 2 3" xfId="12754" xr:uid="{D24BC303-9478-469C-AADA-4E16BCF695F2}"/>
    <cellStyle name="Normal 2 4 2 8 3" xfId="5500" xr:uid="{00000000-0005-0000-0000-0000C90F0000}"/>
    <cellStyle name="Normal 2 4 2 8 3 2" xfId="14826" xr:uid="{569CF79E-B2A1-4810-8162-C490922B5D25}"/>
    <cellStyle name="Normal 2 4 2 8 4" xfId="10609" xr:uid="{81D67973-BE87-4E44-B9A8-F322C6B1EB88}"/>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890ED688-FF56-43C9-970F-F537348A7471}"/>
    <cellStyle name="Normal 2 4 2 9 2 3" xfId="13167" xr:uid="{AFF7DE40-D343-4894-8B4D-B83AB782C323}"/>
    <cellStyle name="Normal 2 4 2 9 3" xfId="5913" xr:uid="{00000000-0005-0000-0000-0000CD0F0000}"/>
    <cellStyle name="Normal 2 4 2 9 3 2" xfId="15239" xr:uid="{273CD6D8-1125-4357-874E-19DB8C47ABA2}"/>
    <cellStyle name="Normal 2 4 2 9 4" xfId="11022" xr:uid="{03ADE757-1B45-4CFA-A3E8-7A75679EDCEF}"/>
    <cellStyle name="Normal 2 4 3" xfId="296" xr:uid="{00000000-0005-0000-0000-0000CE0F0000}"/>
    <cellStyle name="Normal 2 4 3 10" xfId="9798" xr:uid="{41699FAA-DC2C-4F17-94B0-3F213427CF8D}"/>
    <cellStyle name="Normal 2 4 3 2" xfId="297" xr:uid="{00000000-0005-0000-0000-0000CF0F0000}"/>
    <cellStyle name="Normal 2 4 3 3" xfId="298" xr:uid="{00000000-0005-0000-0000-0000D00F0000}"/>
    <cellStyle name="Normal 2 4 3 3 10" xfId="8814" xr:uid="{F78EFD99-FCC5-4915-ACA3-DFC3FC0D45A5}"/>
    <cellStyle name="Normal 2 4 3 3 10 2" xfId="18137" xr:uid="{DFE9A4E0-83CB-437B-9F76-72D127F4A16D}"/>
    <cellStyle name="Normal 2 4 3 3 11" xfId="9799" xr:uid="{79CE4C5F-8D9C-4B57-B7E6-566B16417C1A}"/>
    <cellStyle name="Normal 2 4 3 3 2" xfId="299" xr:uid="{00000000-0005-0000-0000-0000D10F0000}"/>
    <cellStyle name="Normal 2 4 3 3 2 10" xfId="9800" xr:uid="{A03DD324-F4D8-48E0-891D-0AFE55B0712A}"/>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F19B3A69-40F3-4A2B-ADAB-03F1BEFD23A4}"/>
    <cellStyle name="Normal 2 4 3 3 2 2 2 2 3" xfId="12360" xr:uid="{E4B5EAFB-33B6-4C82-916E-EF2FC9A1F033}"/>
    <cellStyle name="Normal 2 4 3 3 2 2 2 3" xfId="5106" xr:uid="{00000000-0005-0000-0000-0000D60F0000}"/>
    <cellStyle name="Normal 2 4 3 3 2 2 2 3 2" xfId="14432" xr:uid="{A295A55B-6266-4138-A595-6B1459DB7C76}"/>
    <cellStyle name="Normal 2 4 3 3 2 2 2 4" xfId="9549" xr:uid="{EA88B7BC-E37D-4688-A768-0D7FE5EF9F42}"/>
    <cellStyle name="Normal 2 4 3 3 2 2 2 4 2" xfId="18862" xr:uid="{EA163261-9B10-4C98-B1A1-1D7260E9DC96}"/>
    <cellStyle name="Normal 2 4 3 3 2 2 2 5" xfId="10215" xr:uid="{9976B4FE-D661-455C-BE5B-B02B357420A9}"/>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E748B60A-7152-4451-9B63-47D7286F0665}"/>
    <cellStyle name="Normal 2 4 3 3 2 2 3 2 3" xfId="12773" xr:uid="{40F131AA-95DE-4017-B102-D5A820278AE3}"/>
    <cellStyle name="Normal 2 4 3 3 2 2 3 3" xfId="5519" xr:uid="{00000000-0005-0000-0000-0000DA0F0000}"/>
    <cellStyle name="Normal 2 4 3 3 2 2 3 3 2" xfId="14845" xr:uid="{7FED9282-7BED-44C7-B367-9CE6B960EDC8}"/>
    <cellStyle name="Normal 2 4 3 3 2 2 3 4" xfId="10628" xr:uid="{223C3B3A-25F8-4C62-8AFD-5E2FC9CD3B0F}"/>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10B3891F-7D0C-4650-A10C-A7EBC88E0004}"/>
    <cellStyle name="Normal 2 4 3 3 2 2 4 2 3" xfId="13186" xr:uid="{6EDA9329-D8B8-43FC-BEB1-32782CABC624}"/>
    <cellStyle name="Normal 2 4 3 3 2 2 4 3" xfId="5932" xr:uid="{00000000-0005-0000-0000-0000DE0F0000}"/>
    <cellStyle name="Normal 2 4 3 3 2 2 4 3 2" xfId="15258" xr:uid="{31871510-083D-4D19-9284-8381180C91F5}"/>
    <cellStyle name="Normal 2 4 3 3 2 2 4 4" xfId="11041" xr:uid="{1DF8F7F8-D609-45AC-877A-4DBA16D1B2EF}"/>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4D52BEC5-4392-4ADD-9B84-2A8370486F4C}"/>
    <cellStyle name="Normal 2 4 3 3 2 2 5 2 3" xfId="13599" xr:uid="{1A8B1026-3B44-4BF6-ACC2-6F19C386856A}"/>
    <cellStyle name="Normal 2 4 3 3 2 2 5 3" xfId="6345" xr:uid="{00000000-0005-0000-0000-0000E20F0000}"/>
    <cellStyle name="Normal 2 4 3 3 2 2 5 3 2" xfId="15671" xr:uid="{84BED486-C059-46B5-A591-D8FF518A01B1}"/>
    <cellStyle name="Normal 2 4 3 3 2 2 5 4" xfId="11454" xr:uid="{D9C72C05-1F6B-4117-AB58-75ECA9C87EA3}"/>
    <cellStyle name="Normal 2 4 3 3 2 2 6" xfId="2475" xr:uid="{00000000-0005-0000-0000-0000E30F0000}"/>
    <cellStyle name="Normal 2 4 3 3 2 2 6 2" xfId="6758" xr:uid="{00000000-0005-0000-0000-0000E40F0000}"/>
    <cellStyle name="Normal 2 4 3 3 2 2 6 2 2" xfId="16084" xr:uid="{778B02E9-6EA0-4B58-9EC4-8FCE229AA066}"/>
    <cellStyle name="Normal 2 4 3 3 2 2 6 3" xfId="11867" xr:uid="{6946BC5F-D43A-42C5-8F24-5DC843526BE4}"/>
    <cellStyle name="Normal 2 4 3 3 2 2 7" xfId="4692" xr:uid="{00000000-0005-0000-0000-0000E50F0000}"/>
    <cellStyle name="Normal 2 4 3 3 2 2 7 2" xfId="14018" xr:uid="{46AC18AF-9177-4509-924A-B8A5463878CA}"/>
    <cellStyle name="Normal 2 4 3 3 2 2 8" xfId="9124" xr:uid="{1FF2B195-09C8-4D7B-A363-E8AF809A669B}"/>
    <cellStyle name="Normal 2 4 3 3 2 2 8 2" xfId="18447" xr:uid="{DDA55A2F-312F-4127-8F51-6AA13CB1C5FD}"/>
    <cellStyle name="Normal 2 4 3 3 2 2 9" xfId="9801" xr:uid="{808832D4-22CA-4FD1-BF81-5179B30E3E5F}"/>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E62A3C90-C874-4668-8558-C53C8C7B0955}"/>
    <cellStyle name="Normal 2 4 3 3 2 3 2 3" xfId="12359" xr:uid="{5C06667E-C8C1-49E2-BB0C-AE921EF12773}"/>
    <cellStyle name="Normal 2 4 3 3 2 3 3" xfId="5105" xr:uid="{00000000-0005-0000-0000-0000E90F0000}"/>
    <cellStyle name="Normal 2 4 3 3 2 3 3 2" xfId="14431" xr:uid="{208E182A-E34F-43D4-A11C-852472609BA0}"/>
    <cellStyle name="Normal 2 4 3 3 2 3 4" xfId="9342" xr:uid="{41454CF9-47C1-4E8A-868A-8F39341308EB}"/>
    <cellStyle name="Normal 2 4 3 3 2 3 4 2" xfId="18655" xr:uid="{534DFF88-B9CF-43D0-91CA-721C7B374154}"/>
    <cellStyle name="Normal 2 4 3 3 2 3 5" xfId="10214" xr:uid="{D7E54C78-BF2E-4618-905A-F3223B410A88}"/>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ADA02BB9-C423-4FA8-ACCB-F140E1FF8CB9}"/>
    <cellStyle name="Normal 2 4 3 3 2 4 2 3" xfId="12772" xr:uid="{CEE4A1FF-8C93-4AEA-98E9-6F78E068D3ED}"/>
    <cellStyle name="Normal 2 4 3 3 2 4 3" xfId="5518" xr:uid="{00000000-0005-0000-0000-0000ED0F0000}"/>
    <cellStyle name="Normal 2 4 3 3 2 4 3 2" xfId="14844" xr:uid="{8744A771-3096-49C3-B87E-20C62952E5F0}"/>
    <cellStyle name="Normal 2 4 3 3 2 4 4" xfId="10627" xr:uid="{CD033515-E175-47E0-BA4A-DCD76722CB48}"/>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BE93B683-24F5-4934-8296-A39ECDB8E595}"/>
    <cellStyle name="Normal 2 4 3 3 2 5 2 3" xfId="13185" xr:uid="{A409A386-4D70-4D1E-BF23-11AD5362D20E}"/>
    <cellStyle name="Normal 2 4 3 3 2 5 3" xfId="5931" xr:uid="{00000000-0005-0000-0000-0000F10F0000}"/>
    <cellStyle name="Normal 2 4 3 3 2 5 3 2" xfId="15257" xr:uid="{CDE75AE0-6686-4429-8022-44BE863E0C29}"/>
    <cellStyle name="Normal 2 4 3 3 2 5 4" xfId="11040" xr:uid="{11C82078-6414-4C1F-8FBA-73210A9B542E}"/>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A6A2F3EF-15A8-4040-B3C2-2F5292AD7717}"/>
    <cellStyle name="Normal 2 4 3 3 2 6 2 3" xfId="13598" xr:uid="{B9D6A4DD-C88A-45BE-BA83-CA63090E7E1C}"/>
    <cellStyle name="Normal 2 4 3 3 2 6 3" xfId="6344" xr:uid="{00000000-0005-0000-0000-0000F50F0000}"/>
    <cellStyle name="Normal 2 4 3 3 2 6 3 2" xfId="15670" xr:uid="{2B2866EE-84FC-4E1F-BCBF-BBCD10C7E3A0}"/>
    <cellStyle name="Normal 2 4 3 3 2 6 4" xfId="11453" xr:uid="{03DEAA3B-595E-4469-B414-15E79223617F}"/>
    <cellStyle name="Normal 2 4 3 3 2 7" xfId="2474" xr:uid="{00000000-0005-0000-0000-0000F60F0000}"/>
    <cellStyle name="Normal 2 4 3 3 2 7 2" xfId="6757" xr:uid="{00000000-0005-0000-0000-0000F70F0000}"/>
    <cellStyle name="Normal 2 4 3 3 2 7 2 2" xfId="16083" xr:uid="{59D129FB-6043-4117-A75E-3DED09EEE499}"/>
    <cellStyle name="Normal 2 4 3 3 2 7 3" xfId="11866" xr:uid="{D52740F7-8951-418E-ADE2-8C16FDDF0B51}"/>
    <cellStyle name="Normal 2 4 3 3 2 8" xfId="4691" xr:uid="{00000000-0005-0000-0000-0000F80F0000}"/>
    <cellStyle name="Normal 2 4 3 3 2 8 2" xfId="14017" xr:uid="{C4BC4883-17AB-4FF3-99B9-9C9190B21782}"/>
    <cellStyle name="Normal 2 4 3 3 2 9" xfId="8917" xr:uid="{1E22693C-F4B1-4678-80B0-65CF6DC31586}"/>
    <cellStyle name="Normal 2 4 3 3 2 9 2" xfId="18240" xr:uid="{313E4EA7-79FF-43B7-BCCC-88932103316F}"/>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2D341B88-4E65-4E52-AB33-34B3C131C1E8}"/>
    <cellStyle name="Normal 2 4 3 3 3 2 2 3" xfId="12361" xr:uid="{7F81923A-5587-41F8-A691-F80D04E9533E}"/>
    <cellStyle name="Normal 2 4 3 3 3 2 3" xfId="5107" xr:uid="{00000000-0005-0000-0000-0000FD0F0000}"/>
    <cellStyle name="Normal 2 4 3 3 3 2 3 2" xfId="14433" xr:uid="{D3C6D974-6AB0-43F7-8AF6-ACBA6A83C537}"/>
    <cellStyle name="Normal 2 4 3 3 3 2 4" xfId="9446" xr:uid="{7ACDBBC8-943F-41CF-9832-96F56BCB3985}"/>
    <cellStyle name="Normal 2 4 3 3 3 2 4 2" xfId="18759" xr:uid="{280B78EE-C992-43AB-A5B6-B2BAB33610C6}"/>
    <cellStyle name="Normal 2 4 3 3 3 2 5" xfId="10216" xr:uid="{0623CA99-8880-4F1E-823D-83C99EA25E0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95407081-4517-40DA-B388-182D86ED44B3}"/>
    <cellStyle name="Normal 2 4 3 3 3 3 2 3" xfId="12774" xr:uid="{23D04C54-7950-4F3B-9147-75FD21262DE9}"/>
    <cellStyle name="Normal 2 4 3 3 3 3 3" xfId="5520" xr:uid="{00000000-0005-0000-0000-000001100000}"/>
    <cellStyle name="Normal 2 4 3 3 3 3 3 2" xfId="14846" xr:uid="{4372CC7A-9AF2-40BD-BFB8-8C2C8CF2ABA4}"/>
    <cellStyle name="Normal 2 4 3 3 3 3 4" xfId="10629" xr:uid="{5CA5B91B-3DEF-4EC8-BDED-2BE33ED79C7F}"/>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E6B7DE43-436C-4562-BE28-2797B26B6B00}"/>
    <cellStyle name="Normal 2 4 3 3 3 4 2 3" xfId="13187" xr:uid="{C0E8208D-985D-43C2-9F35-8B76F21AA333}"/>
    <cellStyle name="Normal 2 4 3 3 3 4 3" xfId="5933" xr:uid="{00000000-0005-0000-0000-000005100000}"/>
    <cellStyle name="Normal 2 4 3 3 3 4 3 2" xfId="15259" xr:uid="{53BF3ED4-1326-4E8A-9C38-18FCA4FDF129}"/>
    <cellStyle name="Normal 2 4 3 3 3 4 4" xfId="11042" xr:uid="{E6F74369-A25E-4E70-A172-DB635DF431D8}"/>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155B1A80-199A-4054-A137-1AD739286E17}"/>
    <cellStyle name="Normal 2 4 3 3 3 5 2 3" xfId="13600" xr:uid="{ABD42217-28E6-4EC4-8D88-87945B424171}"/>
    <cellStyle name="Normal 2 4 3 3 3 5 3" xfId="6346" xr:uid="{00000000-0005-0000-0000-000009100000}"/>
    <cellStyle name="Normal 2 4 3 3 3 5 3 2" xfId="15672" xr:uid="{CBC536C7-FADD-4FB0-979C-AE09BD180380}"/>
    <cellStyle name="Normal 2 4 3 3 3 5 4" xfId="11455" xr:uid="{26E5EC9E-0C25-4794-BBB5-4043E4072160}"/>
    <cellStyle name="Normal 2 4 3 3 3 6" xfId="2476" xr:uid="{00000000-0005-0000-0000-00000A100000}"/>
    <cellStyle name="Normal 2 4 3 3 3 6 2" xfId="6759" xr:uid="{00000000-0005-0000-0000-00000B100000}"/>
    <cellStyle name="Normal 2 4 3 3 3 6 2 2" xfId="16085" xr:uid="{22FFFF86-D199-4B55-8A59-A2811AF80565}"/>
    <cellStyle name="Normal 2 4 3 3 3 6 3" xfId="11868" xr:uid="{F05DDB1E-B1F3-4D28-A24E-0B233094AC99}"/>
    <cellStyle name="Normal 2 4 3 3 3 7" xfId="4693" xr:uid="{00000000-0005-0000-0000-00000C100000}"/>
    <cellStyle name="Normal 2 4 3 3 3 7 2" xfId="14019" xr:uid="{5214A1C9-D527-456A-9E69-1FF187A3FCD1}"/>
    <cellStyle name="Normal 2 4 3 3 3 8" xfId="9021" xr:uid="{4EC0F035-DC07-4262-9C58-7142AC357944}"/>
    <cellStyle name="Normal 2 4 3 3 3 8 2" xfId="18344" xr:uid="{60D1E66F-B3E6-4EF6-A5B4-5D6B4F2D6C75}"/>
    <cellStyle name="Normal 2 4 3 3 3 9" xfId="9802" xr:uid="{7A7F9AB6-D976-4B9A-939A-2DE9E035845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D56CE23F-936B-4876-B599-06E34D218FA7}"/>
    <cellStyle name="Normal 2 4 3 3 4 2 3" xfId="12358" xr:uid="{22A5C81E-9426-45F2-932A-7B82A70833CB}"/>
    <cellStyle name="Normal 2 4 3 3 4 3" xfId="5104" xr:uid="{00000000-0005-0000-0000-000010100000}"/>
    <cellStyle name="Normal 2 4 3 3 4 3 2" xfId="14430" xr:uid="{56272426-9669-47DB-B188-E3E897BDD58B}"/>
    <cellStyle name="Normal 2 4 3 3 4 4" xfId="9239" xr:uid="{3DCBA9AF-C63D-4CA9-81B6-AC7CB7B67292}"/>
    <cellStyle name="Normal 2 4 3 3 4 4 2" xfId="18552" xr:uid="{0B84F852-F92A-41A2-A8DA-07EACEDBCDD5}"/>
    <cellStyle name="Normal 2 4 3 3 4 5" xfId="10213" xr:uid="{53CA8013-66C1-48CE-8AAB-2F2847A6EB2D}"/>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1D2F2A3F-3F0E-4FD0-BCB6-F8F763380A92}"/>
    <cellStyle name="Normal 2 4 3 3 5 2 3" xfId="12771" xr:uid="{9D744560-1230-4F99-8D3F-32149A9FB5C6}"/>
    <cellStyle name="Normal 2 4 3 3 5 3" xfId="5517" xr:uid="{00000000-0005-0000-0000-000014100000}"/>
    <cellStyle name="Normal 2 4 3 3 5 3 2" xfId="14843" xr:uid="{0026078D-0AC1-4EE4-921A-9E517E49E569}"/>
    <cellStyle name="Normal 2 4 3 3 5 4" xfId="10626" xr:uid="{57EBB1E7-D85A-4481-99AD-B25CF255D6D9}"/>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445B110E-A0E0-4F25-8C48-AC17506823F4}"/>
    <cellStyle name="Normal 2 4 3 3 6 2 3" xfId="13184" xr:uid="{211E89F1-F422-49E6-8CB5-73F1D6D1B9F8}"/>
    <cellStyle name="Normal 2 4 3 3 6 3" xfId="5930" xr:uid="{00000000-0005-0000-0000-000018100000}"/>
    <cellStyle name="Normal 2 4 3 3 6 3 2" xfId="15256" xr:uid="{1A0ABB41-CE6C-4A1D-B357-90291519B466}"/>
    <cellStyle name="Normal 2 4 3 3 6 4" xfId="11039" xr:uid="{6E1009E4-BF11-452F-AB26-23979A828141}"/>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FB57C70D-7EC8-48F1-8948-37C9715B083C}"/>
    <cellStyle name="Normal 2 4 3 3 7 2 3" xfId="13597" xr:uid="{BBEFB4EF-DE5F-49D3-B287-BBED02D5A6B0}"/>
    <cellStyle name="Normal 2 4 3 3 7 3" xfId="6343" xr:uid="{00000000-0005-0000-0000-00001C100000}"/>
    <cellStyle name="Normal 2 4 3 3 7 3 2" xfId="15669" xr:uid="{7E59B67B-92EB-4482-9B01-D3F03FE6674D}"/>
    <cellStyle name="Normal 2 4 3 3 7 4" xfId="11452" xr:uid="{3A05FDC9-6D26-4792-8A87-331831EEC165}"/>
    <cellStyle name="Normal 2 4 3 3 8" xfId="2473" xr:uid="{00000000-0005-0000-0000-00001D100000}"/>
    <cellStyle name="Normal 2 4 3 3 8 2" xfId="6756" xr:uid="{00000000-0005-0000-0000-00001E100000}"/>
    <cellStyle name="Normal 2 4 3 3 8 2 2" xfId="16082" xr:uid="{78C35A5C-51BD-4ED6-8F87-C744CD4FC9E5}"/>
    <cellStyle name="Normal 2 4 3 3 8 3" xfId="11865" xr:uid="{87D0A910-285D-4114-B582-A79CF063FB76}"/>
    <cellStyle name="Normal 2 4 3 3 9" xfId="4690" xr:uid="{00000000-0005-0000-0000-00001F100000}"/>
    <cellStyle name="Normal 2 4 3 3 9 2" xfId="14016" xr:uid="{1F08A5C8-AAD9-4DF6-A42D-A23A9C06127F}"/>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54815B6D-11B1-4E5E-AB03-7786C940AC19}"/>
    <cellStyle name="Normal 2 4 3 4 2 3" xfId="12357" xr:uid="{3BC97309-FDD2-4AEB-9767-D38E05BB1AC7}"/>
    <cellStyle name="Normal 2 4 3 4 3" xfId="5103" xr:uid="{00000000-0005-0000-0000-000023100000}"/>
    <cellStyle name="Normal 2 4 3 4 3 2" xfId="14429" xr:uid="{3605F7F4-8D07-4D60-B468-9528224F60CE}"/>
    <cellStyle name="Normal 2 4 3 4 4" xfId="9605" xr:uid="{31B075F0-6828-4EC6-AC77-4B4B0626A722}"/>
    <cellStyle name="Normal 2 4 3 4 4 2" xfId="18904" xr:uid="{D95C2FEE-F51D-48A5-AE14-2899B97F2840}"/>
    <cellStyle name="Normal 2 4 3 4 5" xfId="10212" xr:uid="{CE08B682-8274-4129-8F4A-1AC6ED115AC4}"/>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D6C5633A-A58E-4D72-933C-1A067BE66BF8}"/>
    <cellStyle name="Normal 2 4 3 5 2 3" xfId="12770" xr:uid="{017582A7-36A7-459E-83F3-DA0A6ADBFD89}"/>
    <cellStyle name="Normal 2 4 3 5 3" xfId="5516" xr:uid="{00000000-0005-0000-0000-000027100000}"/>
    <cellStyle name="Normal 2 4 3 5 3 2" xfId="14842" xr:uid="{00AE348A-FEF1-4C11-8B45-2AE926AD66BB}"/>
    <cellStyle name="Normal 2 4 3 5 4" xfId="10625" xr:uid="{EC4B5D02-ED41-4820-B892-9B5726BBDD41}"/>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290353C5-EA53-41D7-BD21-4745B3A81720}"/>
    <cellStyle name="Normal 2 4 3 6 2 3" xfId="13183" xr:uid="{775ED439-FC66-42B2-8900-A84FCBF605E7}"/>
    <cellStyle name="Normal 2 4 3 6 3" xfId="5929" xr:uid="{00000000-0005-0000-0000-00002B100000}"/>
    <cellStyle name="Normal 2 4 3 6 3 2" xfId="15255" xr:uid="{B75F8E9A-F9BA-4557-8311-7555A725F37E}"/>
    <cellStyle name="Normal 2 4 3 6 4" xfId="11038" xr:uid="{FE73BD8F-9BC4-4EA8-9AAF-A2D2F22F1CA3}"/>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7DC7A738-49A7-4E7E-AA33-F7288BA4B504}"/>
    <cellStyle name="Normal 2 4 3 7 2 3" xfId="13596" xr:uid="{EB69EDE0-8402-4C3B-A8AE-7D095EFAFA30}"/>
    <cellStyle name="Normal 2 4 3 7 3" xfId="6342" xr:uid="{00000000-0005-0000-0000-00002F100000}"/>
    <cellStyle name="Normal 2 4 3 7 3 2" xfId="15668" xr:uid="{05058DE8-B756-4296-B94D-0B4DDF97BEFF}"/>
    <cellStyle name="Normal 2 4 3 7 4" xfId="11451" xr:uid="{A81BF074-97C6-4509-AFFB-BA2CBCD2BDDE}"/>
    <cellStyle name="Normal 2 4 3 8" xfId="2472" xr:uid="{00000000-0005-0000-0000-000030100000}"/>
    <cellStyle name="Normal 2 4 3 8 2" xfId="6755" xr:uid="{00000000-0005-0000-0000-000031100000}"/>
    <cellStyle name="Normal 2 4 3 8 2 2" xfId="16081" xr:uid="{6630DE51-A93B-4E07-B3EE-FB1F0BF8971A}"/>
    <cellStyle name="Normal 2 4 3 8 3" xfId="11864" xr:uid="{6857B246-6FC3-488B-BA4A-FEBC85D91112}"/>
    <cellStyle name="Normal 2 4 3 9" xfId="4689" xr:uid="{00000000-0005-0000-0000-000032100000}"/>
    <cellStyle name="Normal 2 4 3 9 2" xfId="14015" xr:uid="{A65F8067-489D-40FC-909A-0597BB7D70D4}"/>
    <cellStyle name="Normal 2 4 4" xfId="302" xr:uid="{00000000-0005-0000-0000-000033100000}"/>
    <cellStyle name="Normal 2 4 5" xfId="303" xr:uid="{00000000-0005-0000-0000-000034100000}"/>
    <cellStyle name="Normal 2 4 5 10" xfId="4694" xr:uid="{00000000-0005-0000-0000-000035100000}"/>
    <cellStyle name="Normal 2 4 5 10 2" xfId="14020" xr:uid="{88B1F13B-4B19-42E3-BC10-E0955BB9E986}"/>
    <cellStyle name="Normal 2 4 5 11" xfId="8780" xr:uid="{7650B30D-5C17-47F0-B17B-A5E27258C29E}"/>
    <cellStyle name="Normal 2 4 5 11 2" xfId="18103" xr:uid="{2C05E74E-BA02-43E7-AF1F-E30AE08C7391}"/>
    <cellStyle name="Normal 2 4 5 12" xfId="9803" xr:uid="{3D1DD77A-DAE4-444E-8645-F811288382BC}"/>
    <cellStyle name="Normal 2 4 5 2" xfId="304" xr:uid="{00000000-0005-0000-0000-000036100000}"/>
    <cellStyle name="Normal 2 4 5 2 10" xfId="8815" xr:uid="{40A5EFE5-2EC9-4F25-B9EC-CAF9321E00F7}"/>
    <cellStyle name="Normal 2 4 5 2 10 2" xfId="18138" xr:uid="{234353B7-8C21-4489-81E3-E6F36BFBA6A9}"/>
    <cellStyle name="Normal 2 4 5 2 11" xfId="9804" xr:uid="{AC99F8FD-1388-4277-A179-B9E0BDC2BCBD}"/>
    <cellStyle name="Normal 2 4 5 2 2" xfId="305" xr:uid="{00000000-0005-0000-0000-000037100000}"/>
    <cellStyle name="Normal 2 4 5 2 2 10" xfId="9805" xr:uid="{7ADF3CC7-DF1F-4F5F-BD6E-9C37BC58CEF8}"/>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F8B26328-F52E-48E0-B3BD-F9C3AF84165C}"/>
    <cellStyle name="Normal 2 4 5 2 2 2 2 2 3" xfId="12365" xr:uid="{248F6CA0-3EF3-426A-A602-B8BA2E45AE34}"/>
    <cellStyle name="Normal 2 4 5 2 2 2 2 3" xfId="5111" xr:uid="{00000000-0005-0000-0000-00003C100000}"/>
    <cellStyle name="Normal 2 4 5 2 2 2 2 3 2" xfId="14437" xr:uid="{E1E66A9B-56B0-4CE0-958C-95CA44D6F4C3}"/>
    <cellStyle name="Normal 2 4 5 2 2 2 2 4" xfId="9550" xr:uid="{8A7671EC-AB7E-4F51-9B1B-FE1F0FDC42A9}"/>
    <cellStyle name="Normal 2 4 5 2 2 2 2 4 2" xfId="18863" xr:uid="{63989AC2-7A01-4152-8B04-57630E1CB064}"/>
    <cellStyle name="Normal 2 4 5 2 2 2 2 5" xfId="10220" xr:uid="{D770CF64-3FC8-4B7D-9033-D81FF563D2E3}"/>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21C64C78-F437-4345-AC00-B3E60C698135}"/>
    <cellStyle name="Normal 2 4 5 2 2 2 3 2 3" xfId="12778" xr:uid="{FC391467-8371-4627-8691-625D0E16E7F3}"/>
    <cellStyle name="Normal 2 4 5 2 2 2 3 3" xfId="5524" xr:uid="{00000000-0005-0000-0000-000040100000}"/>
    <cellStyle name="Normal 2 4 5 2 2 2 3 3 2" xfId="14850" xr:uid="{1109B033-2286-41D1-8CF5-54BDD454F495}"/>
    <cellStyle name="Normal 2 4 5 2 2 2 3 4" xfId="10633" xr:uid="{8D43EC1A-57D0-48CB-8594-AD0382E09B32}"/>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AF3B3DAE-EDBA-4560-93A8-8069B751D892}"/>
    <cellStyle name="Normal 2 4 5 2 2 2 4 2 3" xfId="13191" xr:uid="{CE77BCA1-14D7-4A75-A8CC-216415D9D554}"/>
    <cellStyle name="Normal 2 4 5 2 2 2 4 3" xfId="5937" xr:uid="{00000000-0005-0000-0000-000044100000}"/>
    <cellStyle name="Normal 2 4 5 2 2 2 4 3 2" xfId="15263" xr:uid="{41DCF8DB-36EE-426E-9D45-FF326D3E456F}"/>
    <cellStyle name="Normal 2 4 5 2 2 2 4 4" xfId="11046" xr:uid="{C6701497-716C-492E-B14B-3E13E79DD03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CD166281-D2D0-4B0B-A441-62696DDCB06D}"/>
    <cellStyle name="Normal 2 4 5 2 2 2 5 2 3" xfId="13604" xr:uid="{F04E37FE-AAA2-4828-B76A-60DCB4C865B1}"/>
    <cellStyle name="Normal 2 4 5 2 2 2 5 3" xfId="6350" xr:uid="{00000000-0005-0000-0000-000048100000}"/>
    <cellStyle name="Normal 2 4 5 2 2 2 5 3 2" xfId="15676" xr:uid="{D9338F1C-6C4A-4A04-9EF6-658ED4DA6AD2}"/>
    <cellStyle name="Normal 2 4 5 2 2 2 5 4" xfId="11459" xr:uid="{F1DDAE05-4187-4DC6-BDE2-67E769A69BCD}"/>
    <cellStyle name="Normal 2 4 5 2 2 2 6" xfId="2480" xr:uid="{00000000-0005-0000-0000-000049100000}"/>
    <cellStyle name="Normal 2 4 5 2 2 2 6 2" xfId="6763" xr:uid="{00000000-0005-0000-0000-00004A100000}"/>
    <cellStyle name="Normal 2 4 5 2 2 2 6 2 2" xfId="16089" xr:uid="{DAA13226-884C-468E-81E3-9C89EE181B69}"/>
    <cellStyle name="Normal 2 4 5 2 2 2 6 3" xfId="11872" xr:uid="{FB61F13F-45D8-47F7-B9B3-3CC54EC4B3F4}"/>
    <cellStyle name="Normal 2 4 5 2 2 2 7" xfId="4697" xr:uid="{00000000-0005-0000-0000-00004B100000}"/>
    <cellStyle name="Normal 2 4 5 2 2 2 7 2" xfId="14023" xr:uid="{D339E344-0D72-400C-893D-6ABA4289DB12}"/>
    <cellStyle name="Normal 2 4 5 2 2 2 8" xfId="9125" xr:uid="{AE6B93A1-5C0B-49F1-AF15-6FC3FAFFE3B2}"/>
    <cellStyle name="Normal 2 4 5 2 2 2 8 2" xfId="18448" xr:uid="{CB23A0C5-B6D5-48C6-91D6-B8D9791831DF}"/>
    <cellStyle name="Normal 2 4 5 2 2 2 9" xfId="9806" xr:uid="{0E0CF611-A184-4D01-8AB5-408D751C4387}"/>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17CC3E2B-0768-4EDB-BA48-1130A0FA1BBB}"/>
    <cellStyle name="Normal 2 4 5 2 2 3 2 3" xfId="12364" xr:uid="{2BF38AFC-BC09-41BA-9BEC-9F8E0BDFCFC6}"/>
    <cellStyle name="Normal 2 4 5 2 2 3 3" xfId="5110" xr:uid="{00000000-0005-0000-0000-00004F100000}"/>
    <cellStyle name="Normal 2 4 5 2 2 3 3 2" xfId="14436" xr:uid="{5505587C-170C-472A-8CB5-E4872C1A2B0C}"/>
    <cellStyle name="Normal 2 4 5 2 2 3 4" xfId="9343" xr:uid="{FC4CD386-4202-45E2-8021-2A85CACF4E8B}"/>
    <cellStyle name="Normal 2 4 5 2 2 3 4 2" xfId="18656" xr:uid="{FA6357DC-D876-48F5-B4BB-83C690BFE25B}"/>
    <cellStyle name="Normal 2 4 5 2 2 3 5" xfId="10219" xr:uid="{C310B0CD-3620-44EF-934C-4B0EBC5B9F5F}"/>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FC039CD9-F5D1-483E-9318-8521923E1BF0}"/>
    <cellStyle name="Normal 2 4 5 2 2 4 2 3" xfId="12777" xr:uid="{09721E16-2D35-44F1-BBEC-E6A0FFE2F7F0}"/>
    <cellStyle name="Normal 2 4 5 2 2 4 3" xfId="5523" xr:uid="{00000000-0005-0000-0000-000053100000}"/>
    <cellStyle name="Normal 2 4 5 2 2 4 3 2" xfId="14849" xr:uid="{B1DF927C-B192-4592-827C-F6492FD68DC1}"/>
    <cellStyle name="Normal 2 4 5 2 2 4 4" xfId="10632" xr:uid="{9C11A4DE-C114-45BE-ADFC-A0464F21ADA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E16CE6E1-61EF-47DE-9B40-0D9BFAB4D15E}"/>
    <cellStyle name="Normal 2 4 5 2 2 5 2 3" xfId="13190" xr:uid="{7AD8D573-7B38-4B3D-96DE-A6B27171B6C1}"/>
    <cellStyle name="Normal 2 4 5 2 2 5 3" xfId="5936" xr:uid="{00000000-0005-0000-0000-000057100000}"/>
    <cellStyle name="Normal 2 4 5 2 2 5 3 2" xfId="15262" xr:uid="{4F1886DA-CD73-4747-A079-7142D6C6824B}"/>
    <cellStyle name="Normal 2 4 5 2 2 5 4" xfId="11045" xr:uid="{B8AE1915-17B1-4297-B2F7-226EA8BC6058}"/>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53AA19F1-6D38-4148-9A2E-F89E245E9687}"/>
    <cellStyle name="Normal 2 4 5 2 2 6 2 3" xfId="13603" xr:uid="{30E79E71-6764-4FDD-B85C-ED59ACC7194E}"/>
    <cellStyle name="Normal 2 4 5 2 2 6 3" xfId="6349" xr:uid="{00000000-0005-0000-0000-00005B100000}"/>
    <cellStyle name="Normal 2 4 5 2 2 6 3 2" xfId="15675" xr:uid="{BDA6345B-0213-49F6-BEF0-3A66657376E0}"/>
    <cellStyle name="Normal 2 4 5 2 2 6 4" xfId="11458" xr:uid="{C7C0863F-161E-4E38-8C79-F704D6C146E2}"/>
    <cellStyle name="Normal 2 4 5 2 2 7" xfId="2479" xr:uid="{00000000-0005-0000-0000-00005C100000}"/>
    <cellStyle name="Normal 2 4 5 2 2 7 2" xfId="6762" xr:uid="{00000000-0005-0000-0000-00005D100000}"/>
    <cellStyle name="Normal 2 4 5 2 2 7 2 2" xfId="16088" xr:uid="{DE93C9B5-457B-499E-9505-48F01F1B0627}"/>
    <cellStyle name="Normal 2 4 5 2 2 7 3" xfId="11871" xr:uid="{02C33B33-1E68-418E-8E82-A6690B56E3B6}"/>
    <cellStyle name="Normal 2 4 5 2 2 8" xfId="4696" xr:uid="{00000000-0005-0000-0000-00005E100000}"/>
    <cellStyle name="Normal 2 4 5 2 2 8 2" xfId="14022" xr:uid="{269A06CF-6575-4CFB-8782-8C10AF652205}"/>
    <cellStyle name="Normal 2 4 5 2 2 9" xfId="8918" xr:uid="{C191AFB9-5B9B-45BF-8589-0BB68E370D0F}"/>
    <cellStyle name="Normal 2 4 5 2 2 9 2" xfId="18241" xr:uid="{79D7D99F-88CF-49C8-B0B8-D6D78C415B8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ED62800F-BABF-4F24-9452-00CCAA11BA23}"/>
    <cellStyle name="Normal 2 4 5 2 3 2 2 3" xfId="12366" xr:uid="{92FA418C-EC76-4F2D-BA36-1C6A8CAA57C7}"/>
    <cellStyle name="Normal 2 4 5 2 3 2 3" xfId="5112" xr:uid="{00000000-0005-0000-0000-000063100000}"/>
    <cellStyle name="Normal 2 4 5 2 3 2 3 2" xfId="14438" xr:uid="{3FA1348E-2AF3-415F-8044-2AA60828186E}"/>
    <cellStyle name="Normal 2 4 5 2 3 2 4" xfId="9447" xr:uid="{5DAE67B2-15F6-4C7F-9310-B9C816D42F72}"/>
    <cellStyle name="Normal 2 4 5 2 3 2 4 2" xfId="18760" xr:uid="{962BD7F0-6F61-4F6C-95BD-E380D464AAC7}"/>
    <cellStyle name="Normal 2 4 5 2 3 2 5" xfId="10221" xr:uid="{6B9139B4-3987-4E05-89F1-B66687B80AEE}"/>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77D63187-7787-4351-96D5-12C3C02F0D4F}"/>
    <cellStyle name="Normal 2 4 5 2 3 3 2 3" xfId="12779" xr:uid="{2647AFC2-26BA-4CAD-9BD9-A3DCEAC91FBB}"/>
    <cellStyle name="Normal 2 4 5 2 3 3 3" xfId="5525" xr:uid="{00000000-0005-0000-0000-000067100000}"/>
    <cellStyle name="Normal 2 4 5 2 3 3 3 2" xfId="14851" xr:uid="{DFC2BFA3-BAAD-4C30-BCF8-9B8D509C249B}"/>
    <cellStyle name="Normal 2 4 5 2 3 3 4" xfId="10634" xr:uid="{46DF7367-E1FC-4BAD-9212-368D2F8DEA4C}"/>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C0B36C25-D430-46B9-A66A-AE95B6EBDAEA}"/>
    <cellStyle name="Normal 2 4 5 2 3 4 2 3" xfId="13192" xr:uid="{2E385F45-FAD3-408F-AADD-F262935A5B0F}"/>
    <cellStyle name="Normal 2 4 5 2 3 4 3" xfId="5938" xr:uid="{00000000-0005-0000-0000-00006B100000}"/>
    <cellStyle name="Normal 2 4 5 2 3 4 3 2" xfId="15264" xr:uid="{B7EF039C-59A1-4A39-BDE3-BA640F8CFB39}"/>
    <cellStyle name="Normal 2 4 5 2 3 4 4" xfId="11047" xr:uid="{5EC76605-B3DF-44D0-93FA-3C785227E099}"/>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62B5B14A-4373-4097-96C8-21947AC63B07}"/>
    <cellStyle name="Normal 2 4 5 2 3 5 2 3" xfId="13605" xr:uid="{0AAFF561-FBE3-421E-8A9C-CD71F3D43352}"/>
    <cellStyle name="Normal 2 4 5 2 3 5 3" xfId="6351" xr:uid="{00000000-0005-0000-0000-00006F100000}"/>
    <cellStyle name="Normal 2 4 5 2 3 5 3 2" xfId="15677" xr:uid="{50000FAB-0343-45E7-97AA-018AA60423EB}"/>
    <cellStyle name="Normal 2 4 5 2 3 5 4" xfId="11460" xr:uid="{CE5206FE-E71B-4B5D-B04C-6A057B41E283}"/>
    <cellStyle name="Normal 2 4 5 2 3 6" xfId="2481" xr:uid="{00000000-0005-0000-0000-000070100000}"/>
    <cellStyle name="Normal 2 4 5 2 3 6 2" xfId="6764" xr:uid="{00000000-0005-0000-0000-000071100000}"/>
    <cellStyle name="Normal 2 4 5 2 3 6 2 2" xfId="16090" xr:uid="{5A31D753-AC98-4C69-AA7B-E5DC6B9B6C2B}"/>
    <cellStyle name="Normal 2 4 5 2 3 6 3" xfId="11873" xr:uid="{33F21C1F-3ED8-4EA5-BA0F-B5DEC8DDDCEE}"/>
    <cellStyle name="Normal 2 4 5 2 3 7" xfId="4698" xr:uid="{00000000-0005-0000-0000-000072100000}"/>
    <cellStyle name="Normal 2 4 5 2 3 7 2" xfId="14024" xr:uid="{55C9F2F5-BE02-4DCC-999B-A542635EAACE}"/>
    <cellStyle name="Normal 2 4 5 2 3 8" xfId="9022" xr:uid="{B979F5DF-A88B-437D-B1B4-B92D08856DC7}"/>
    <cellStyle name="Normal 2 4 5 2 3 8 2" xfId="18345" xr:uid="{D13F26AC-271F-442D-B705-065032A39A65}"/>
    <cellStyle name="Normal 2 4 5 2 3 9" xfId="9807" xr:uid="{6CA52A38-AC25-4D7C-B11E-0B97655055D3}"/>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AEC30E5C-E2A3-457C-904B-352D3A0BA901}"/>
    <cellStyle name="Normal 2 4 5 2 4 2 3" xfId="12363" xr:uid="{EB1A20E9-2063-4069-8264-B7E317AAB022}"/>
    <cellStyle name="Normal 2 4 5 2 4 3" xfId="5109" xr:uid="{00000000-0005-0000-0000-000076100000}"/>
    <cellStyle name="Normal 2 4 5 2 4 3 2" xfId="14435" xr:uid="{961F3DD0-9FCB-4C3B-9320-7A7983CC0B66}"/>
    <cellStyle name="Normal 2 4 5 2 4 4" xfId="9240" xr:uid="{16FBE981-4867-4157-8C0D-9C1339DB5B3F}"/>
    <cellStyle name="Normal 2 4 5 2 4 4 2" xfId="18553" xr:uid="{79B5CF5C-95F8-4941-9C10-3C8A58AC7F4D}"/>
    <cellStyle name="Normal 2 4 5 2 4 5" xfId="10218" xr:uid="{F8E34DA5-9233-4B95-8D37-BDB6701E453E}"/>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EC7053A8-80DE-412A-8507-3275F170364E}"/>
    <cellStyle name="Normal 2 4 5 2 5 2 3" xfId="12776" xr:uid="{B46226A6-146C-421D-8008-9107F4B165A5}"/>
    <cellStyle name="Normal 2 4 5 2 5 3" xfId="5522" xr:uid="{00000000-0005-0000-0000-00007A100000}"/>
    <cellStyle name="Normal 2 4 5 2 5 3 2" xfId="14848" xr:uid="{4E48D14E-F0F1-499D-9784-7B4BCD93DD26}"/>
    <cellStyle name="Normal 2 4 5 2 5 4" xfId="10631" xr:uid="{F1976750-12C6-4DA4-80A4-35F67F12EFAB}"/>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119E0F74-1579-4B19-8739-496960AFDEE3}"/>
    <cellStyle name="Normal 2 4 5 2 6 2 3" xfId="13189" xr:uid="{740F20FA-42CF-4303-AD99-C840F7FA5885}"/>
    <cellStyle name="Normal 2 4 5 2 6 3" xfId="5935" xr:uid="{00000000-0005-0000-0000-00007E100000}"/>
    <cellStyle name="Normal 2 4 5 2 6 3 2" xfId="15261" xr:uid="{D0547507-8CA6-43F2-BF1C-508D6174897C}"/>
    <cellStyle name="Normal 2 4 5 2 6 4" xfId="11044" xr:uid="{FB3D3AFF-91FD-426E-8F08-D727DA550AC0}"/>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531821EF-0FCE-4BEA-98D4-48AB34062C94}"/>
    <cellStyle name="Normal 2 4 5 2 7 2 3" xfId="13602" xr:uid="{EA44508C-7CB6-4DED-BC1B-7CCC72AEA9D0}"/>
    <cellStyle name="Normal 2 4 5 2 7 3" xfId="6348" xr:uid="{00000000-0005-0000-0000-000082100000}"/>
    <cellStyle name="Normal 2 4 5 2 7 3 2" xfId="15674" xr:uid="{B843821C-DDBA-479E-9DD0-01639759B58F}"/>
    <cellStyle name="Normal 2 4 5 2 7 4" xfId="11457" xr:uid="{5AD9DE1A-95CE-4A3D-922C-39414884D380}"/>
    <cellStyle name="Normal 2 4 5 2 8" xfId="2478" xr:uid="{00000000-0005-0000-0000-000083100000}"/>
    <cellStyle name="Normal 2 4 5 2 8 2" xfId="6761" xr:uid="{00000000-0005-0000-0000-000084100000}"/>
    <cellStyle name="Normal 2 4 5 2 8 2 2" xfId="16087" xr:uid="{2040F837-A252-4C30-B1BC-20F20D49C682}"/>
    <cellStyle name="Normal 2 4 5 2 8 3" xfId="11870" xr:uid="{198F245A-99C5-43DF-95E3-7B50F0A034B9}"/>
    <cellStyle name="Normal 2 4 5 2 9" xfId="4695" xr:uid="{00000000-0005-0000-0000-000085100000}"/>
    <cellStyle name="Normal 2 4 5 2 9 2" xfId="14021" xr:uid="{A31EAA1C-F15D-4385-99E5-A499AAF9425F}"/>
    <cellStyle name="Normal 2 4 5 3" xfId="308" xr:uid="{00000000-0005-0000-0000-000086100000}"/>
    <cellStyle name="Normal 2 4 5 3 10" xfId="9808" xr:uid="{BF41AFB1-D9BC-4F00-B70B-756CB8AC2DC4}"/>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DF7EA3E5-DCFC-49E1-A977-D6D270AA5675}"/>
    <cellStyle name="Normal 2 4 5 3 2 2 2 3" xfId="12368" xr:uid="{FA434108-B8D8-4E8C-95D7-B5631EF688C9}"/>
    <cellStyle name="Normal 2 4 5 3 2 2 3" xfId="5114" xr:uid="{00000000-0005-0000-0000-00008B100000}"/>
    <cellStyle name="Normal 2 4 5 3 2 2 3 2" xfId="14440" xr:uid="{1DC365B7-1E39-491C-9A07-8CF65EF5FD2E}"/>
    <cellStyle name="Normal 2 4 5 3 2 2 4" xfId="9515" xr:uid="{A1D6949C-773D-44DB-B26F-4DD01D24FF00}"/>
    <cellStyle name="Normal 2 4 5 3 2 2 4 2" xfId="18828" xr:uid="{2DE8789A-8400-4CAD-8B07-4BE5CEF0C437}"/>
    <cellStyle name="Normal 2 4 5 3 2 2 5" xfId="10223" xr:uid="{0A034F11-7E08-47D8-874F-D8DDBB9E0A73}"/>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E17A61E1-C7A7-4111-A48D-4BDDD192540B}"/>
    <cellStyle name="Normal 2 4 5 3 2 3 2 3" xfId="12781" xr:uid="{3B0B7071-5942-485E-AD27-C08C86D78259}"/>
    <cellStyle name="Normal 2 4 5 3 2 3 3" xfId="5527" xr:uid="{00000000-0005-0000-0000-00008F100000}"/>
    <cellStyle name="Normal 2 4 5 3 2 3 3 2" xfId="14853" xr:uid="{B0CBCD04-F152-4F13-BFA4-534FA222AC6C}"/>
    <cellStyle name="Normal 2 4 5 3 2 3 4" xfId="10636" xr:uid="{ECB096BC-C666-4980-87BD-A41020369EF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34E43EA0-3B03-4356-BFDF-5F2FC68D4821}"/>
    <cellStyle name="Normal 2 4 5 3 2 4 2 3" xfId="13194" xr:uid="{F465E7C2-A0C0-4BB6-A6F5-CCE9A634F778}"/>
    <cellStyle name="Normal 2 4 5 3 2 4 3" xfId="5940" xr:uid="{00000000-0005-0000-0000-000093100000}"/>
    <cellStyle name="Normal 2 4 5 3 2 4 3 2" xfId="15266" xr:uid="{CECA9BAD-4DD6-4ABC-A00D-F7A13CE85B27}"/>
    <cellStyle name="Normal 2 4 5 3 2 4 4" xfId="11049" xr:uid="{3625549D-4D71-4113-ABE2-4671A2FAFC5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0B338D16-E569-4803-92A5-A5C705C98827}"/>
    <cellStyle name="Normal 2 4 5 3 2 5 2 3" xfId="13607" xr:uid="{D304B69B-73A4-44BF-A2E6-D68FBB41766A}"/>
    <cellStyle name="Normal 2 4 5 3 2 5 3" xfId="6353" xr:uid="{00000000-0005-0000-0000-000097100000}"/>
    <cellStyle name="Normal 2 4 5 3 2 5 3 2" xfId="15679" xr:uid="{53319E1F-FC5D-46F5-8A25-7C7EBF1D3A30}"/>
    <cellStyle name="Normal 2 4 5 3 2 5 4" xfId="11462" xr:uid="{5628539F-94C4-482E-BCAD-C3D809ED4174}"/>
    <cellStyle name="Normal 2 4 5 3 2 6" xfId="2483" xr:uid="{00000000-0005-0000-0000-000098100000}"/>
    <cellStyle name="Normal 2 4 5 3 2 6 2" xfId="6766" xr:uid="{00000000-0005-0000-0000-000099100000}"/>
    <cellStyle name="Normal 2 4 5 3 2 6 2 2" xfId="16092" xr:uid="{241D4609-6CDB-4DC7-82B2-8A0FC88921FE}"/>
    <cellStyle name="Normal 2 4 5 3 2 6 3" xfId="11875" xr:uid="{233130DD-1A2A-4BCC-B1F6-080E5B7D9546}"/>
    <cellStyle name="Normal 2 4 5 3 2 7" xfId="4700" xr:uid="{00000000-0005-0000-0000-00009A100000}"/>
    <cellStyle name="Normal 2 4 5 3 2 7 2" xfId="14026" xr:uid="{44E5038E-3383-4254-9A74-6BD058BF3C95}"/>
    <cellStyle name="Normal 2 4 5 3 2 8" xfId="9090" xr:uid="{4B64C5F8-5AC3-43D3-B94A-46850BBF79A5}"/>
    <cellStyle name="Normal 2 4 5 3 2 8 2" xfId="18413" xr:uid="{207B6C7B-6E48-4D33-9939-465FFD7EBFE5}"/>
    <cellStyle name="Normal 2 4 5 3 2 9" xfId="9809" xr:uid="{87EE688F-9075-4663-84B6-8E6089B58B54}"/>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E2211DBB-1C8E-4314-AC93-73EB65B09274}"/>
    <cellStyle name="Normal 2 4 5 3 3 2 3" xfId="12367" xr:uid="{7B8DD586-86D0-41D7-9ADE-C6E45626E0C4}"/>
    <cellStyle name="Normal 2 4 5 3 3 3" xfId="5113" xr:uid="{00000000-0005-0000-0000-00009E100000}"/>
    <cellStyle name="Normal 2 4 5 3 3 3 2" xfId="14439" xr:uid="{1CCDBAF6-0F5E-43E6-95F9-ABB047F0BC5A}"/>
    <cellStyle name="Normal 2 4 5 3 3 4" xfId="9308" xr:uid="{40198FFA-4C90-42BE-90C8-42459F1A2A1C}"/>
    <cellStyle name="Normal 2 4 5 3 3 4 2" xfId="18621" xr:uid="{B7EA0C29-0E02-4115-AA4A-3D2149C2959D}"/>
    <cellStyle name="Normal 2 4 5 3 3 5" xfId="10222" xr:uid="{4D453B05-D806-47F1-9F5A-271E027D1EE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4A51781F-7D3A-4A31-B372-519CD42A7378}"/>
    <cellStyle name="Normal 2 4 5 3 4 2 3" xfId="12780" xr:uid="{993D8BAD-6D1D-4C3A-952A-028431BAA2A9}"/>
    <cellStyle name="Normal 2 4 5 3 4 3" xfId="5526" xr:uid="{00000000-0005-0000-0000-0000A2100000}"/>
    <cellStyle name="Normal 2 4 5 3 4 3 2" xfId="14852" xr:uid="{F29116E4-306C-4972-A375-DD81285E6562}"/>
    <cellStyle name="Normal 2 4 5 3 4 4" xfId="10635" xr:uid="{A8361EC5-F998-44E9-B53F-171D8723CDF0}"/>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607BEA1A-6344-49EC-893D-152213C98E29}"/>
    <cellStyle name="Normal 2 4 5 3 5 2 3" xfId="13193" xr:uid="{CF3A595C-DE8E-4ED4-8761-8EBCC100AA59}"/>
    <cellStyle name="Normal 2 4 5 3 5 3" xfId="5939" xr:uid="{00000000-0005-0000-0000-0000A6100000}"/>
    <cellStyle name="Normal 2 4 5 3 5 3 2" xfId="15265" xr:uid="{F479BC1B-CDF8-405E-9862-AC51301D57A4}"/>
    <cellStyle name="Normal 2 4 5 3 5 4" xfId="11048" xr:uid="{CF1DBD4D-1E05-42C8-8652-0479168F4E85}"/>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EE15720D-0C7B-4967-A06D-202B43BA1318}"/>
    <cellStyle name="Normal 2 4 5 3 6 2 3" xfId="13606" xr:uid="{A7383362-6799-4D3E-BBEA-5922CC1DF470}"/>
    <cellStyle name="Normal 2 4 5 3 6 3" xfId="6352" xr:uid="{00000000-0005-0000-0000-0000AA100000}"/>
    <cellStyle name="Normal 2 4 5 3 6 3 2" xfId="15678" xr:uid="{F393173F-D2E2-4EFF-840D-979A797C2861}"/>
    <cellStyle name="Normal 2 4 5 3 6 4" xfId="11461" xr:uid="{567B81D1-3B08-4AF4-9112-FD3B1FD966C3}"/>
    <cellStyle name="Normal 2 4 5 3 7" xfId="2482" xr:uid="{00000000-0005-0000-0000-0000AB100000}"/>
    <cellStyle name="Normal 2 4 5 3 7 2" xfId="6765" xr:uid="{00000000-0005-0000-0000-0000AC100000}"/>
    <cellStyle name="Normal 2 4 5 3 7 2 2" xfId="16091" xr:uid="{EC6EFA9A-DC2B-4C14-A6DF-3CC2EFAE4944}"/>
    <cellStyle name="Normal 2 4 5 3 7 3" xfId="11874" xr:uid="{66CC407B-0680-482A-86AE-1DE7B4419048}"/>
    <cellStyle name="Normal 2 4 5 3 8" xfId="4699" xr:uid="{00000000-0005-0000-0000-0000AD100000}"/>
    <cellStyle name="Normal 2 4 5 3 8 2" xfId="14025" xr:uid="{8617E385-37BD-4F3D-8183-D90713F1CE5A}"/>
    <cellStyle name="Normal 2 4 5 3 9" xfId="8883" xr:uid="{0A470B75-873E-4D74-A257-113E3E343E18}"/>
    <cellStyle name="Normal 2 4 5 3 9 2" xfId="18206" xr:uid="{A94814BA-E6A1-4D63-B284-96B80B8350D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AD24735D-0276-4BFF-87CD-CA3DEFBDD616}"/>
    <cellStyle name="Normal 2 4 5 4 2 2 3" xfId="12369" xr:uid="{CDF6E0F7-E4A0-48D6-A093-7CAE291E256B}"/>
    <cellStyle name="Normal 2 4 5 4 2 3" xfId="5115" xr:uid="{00000000-0005-0000-0000-0000B2100000}"/>
    <cellStyle name="Normal 2 4 5 4 2 3 2" xfId="14441" xr:uid="{886CECB4-1473-4332-8B07-E4F65893767D}"/>
    <cellStyle name="Normal 2 4 5 4 2 4" xfId="9412" xr:uid="{0ECAC303-3EA0-4623-AA0F-854157CA32E5}"/>
    <cellStyle name="Normal 2 4 5 4 2 4 2" xfId="18725" xr:uid="{1C6AAED2-5453-4340-9B7B-A23583F89689}"/>
    <cellStyle name="Normal 2 4 5 4 2 5" xfId="10224" xr:uid="{B8A1724B-4E1E-48AC-8C90-E870FDED1F24}"/>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080DE7C3-F6AF-4574-B960-3D9CF42B7531}"/>
    <cellStyle name="Normal 2 4 5 4 3 2 3" xfId="12782" xr:uid="{33E908CE-5985-4849-A805-B533E59E8240}"/>
    <cellStyle name="Normal 2 4 5 4 3 3" xfId="5528" xr:uid="{00000000-0005-0000-0000-0000B6100000}"/>
    <cellStyle name="Normal 2 4 5 4 3 3 2" xfId="14854" xr:uid="{A6588D00-C4B5-4813-B442-4F23648720EA}"/>
    <cellStyle name="Normal 2 4 5 4 3 4" xfId="10637" xr:uid="{29A9D5F6-F550-4B42-A057-D63FA1F9E875}"/>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7CCA44E9-3FA5-4744-BE1C-4CA0E7F363F4}"/>
    <cellStyle name="Normal 2 4 5 4 4 2 3" xfId="13195" xr:uid="{B26128B1-4276-43F4-A29B-DABA78FC5647}"/>
    <cellStyle name="Normal 2 4 5 4 4 3" xfId="5941" xr:uid="{00000000-0005-0000-0000-0000BA100000}"/>
    <cellStyle name="Normal 2 4 5 4 4 3 2" xfId="15267" xr:uid="{5DDD6802-437F-4A1D-B1E3-4FAE08F8AD77}"/>
    <cellStyle name="Normal 2 4 5 4 4 4" xfId="11050" xr:uid="{B2D6A258-D754-4F45-AD15-77E5BEEBCF20}"/>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7E7286AB-24C7-446F-93FC-8401DB04BDC2}"/>
    <cellStyle name="Normal 2 4 5 4 5 2 3" xfId="13608" xr:uid="{69C6037C-B9A9-40CD-94B5-0E3D4250FFA2}"/>
    <cellStyle name="Normal 2 4 5 4 5 3" xfId="6354" xr:uid="{00000000-0005-0000-0000-0000BE100000}"/>
    <cellStyle name="Normal 2 4 5 4 5 3 2" xfId="15680" xr:uid="{9A0F1CA4-7A30-4CA0-8F5D-1F7B7F671837}"/>
    <cellStyle name="Normal 2 4 5 4 5 4" xfId="11463" xr:uid="{3CDACAF4-361A-4707-A2AB-16D385E5B0D1}"/>
    <cellStyle name="Normal 2 4 5 4 6" xfId="2484" xr:uid="{00000000-0005-0000-0000-0000BF100000}"/>
    <cellStyle name="Normal 2 4 5 4 6 2" xfId="6767" xr:uid="{00000000-0005-0000-0000-0000C0100000}"/>
    <cellStyle name="Normal 2 4 5 4 6 2 2" xfId="16093" xr:uid="{6AC0369D-CF04-40CF-B901-4AAF69D23DC0}"/>
    <cellStyle name="Normal 2 4 5 4 6 3" xfId="11876" xr:uid="{693ED37A-F7A8-4284-89BA-375668398D37}"/>
    <cellStyle name="Normal 2 4 5 4 7" xfId="4701" xr:uid="{00000000-0005-0000-0000-0000C1100000}"/>
    <cellStyle name="Normal 2 4 5 4 7 2" xfId="14027" xr:uid="{4D6712D1-71E2-47D6-B744-74A31AB6FAC7}"/>
    <cellStyle name="Normal 2 4 5 4 8" xfId="8987" xr:uid="{8DC2C01A-3078-41AD-BCFB-AA1CA8EE9C0A}"/>
    <cellStyle name="Normal 2 4 5 4 8 2" xfId="18310" xr:uid="{CF5FD8C5-D8E1-407D-BBD6-DE6795FD4F9C}"/>
    <cellStyle name="Normal 2 4 5 4 9" xfId="9810" xr:uid="{8902E667-9699-4684-9763-A1D22AA44906}"/>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5879EAFC-2C9C-418F-802D-79083042B837}"/>
    <cellStyle name="Normal 2 4 5 5 2 3" xfId="12362" xr:uid="{FF3DF668-7589-487E-A973-741589E03F6E}"/>
    <cellStyle name="Normal 2 4 5 5 3" xfId="5108" xr:uid="{00000000-0005-0000-0000-0000C5100000}"/>
    <cellStyle name="Normal 2 4 5 5 3 2" xfId="14434" xr:uid="{E09D7A1C-9E66-456E-9586-553CE5A250E0}"/>
    <cellStyle name="Normal 2 4 5 5 4" xfId="9204" xr:uid="{BE34B337-03EE-47D8-9E35-2EE6FAB30236}"/>
    <cellStyle name="Normal 2 4 5 5 4 2" xfId="18518" xr:uid="{A9AB5B93-CCBA-4965-8A8E-EE5FD26FEEFB}"/>
    <cellStyle name="Normal 2 4 5 5 5" xfId="10217" xr:uid="{E7E259D4-8A31-47C6-8625-8BEEB7CE7978}"/>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C829B9E3-76B8-42F6-BD6F-C5DA600CE667}"/>
    <cellStyle name="Normal 2 4 5 6 2 3" xfId="12775" xr:uid="{F23AFBE5-12E1-430F-A1B8-6129C8010D53}"/>
    <cellStyle name="Normal 2 4 5 6 3" xfId="5521" xr:uid="{00000000-0005-0000-0000-0000C9100000}"/>
    <cellStyle name="Normal 2 4 5 6 3 2" xfId="14847" xr:uid="{8B5C3BC9-5FEF-41A3-95F0-E147EBB64D3D}"/>
    <cellStyle name="Normal 2 4 5 6 4" xfId="10630" xr:uid="{A7FF82C5-014E-4B2B-9BDC-44D382D48FC4}"/>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B60222FF-233A-4B3E-9408-99B10FE0D431}"/>
    <cellStyle name="Normal 2 4 5 7 2 3" xfId="13188" xr:uid="{461BF468-A4CE-41B6-8E57-41BCBC3C3A5A}"/>
    <cellStyle name="Normal 2 4 5 7 3" xfId="5934" xr:uid="{00000000-0005-0000-0000-0000CD100000}"/>
    <cellStyle name="Normal 2 4 5 7 3 2" xfId="15260" xr:uid="{A3EAF937-1C35-4162-B9D5-6FE13A464CE2}"/>
    <cellStyle name="Normal 2 4 5 7 4" xfId="11043" xr:uid="{D50D770D-3FCA-4F9C-9969-E35F3891EA39}"/>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A92DF19B-E42B-4645-82F7-6EEF89F627F9}"/>
    <cellStyle name="Normal 2 4 5 8 2 3" xfId="13601" xr:uid="{2A379840-4084-40D3-AFDD-4ECCF2A7C754}"/>
    <cellStyle name="Normal 2 4 5 8 3" xfId="6347" xr:uid="{00000000-0005-0000-0000-0000D1100000}"/>
    <cellStyle name="Normal 2 4 5 8 3 2" xfId="15673" xr:uid="{33A22340-F611-47E0-A5BB-3C9BC5CBBDAE}"/>
    <cellStyle name="Normal 2 4 5 8 4" xfId="11456" xr:uid="{7E92AE81-505E-4E34-821F-AE708E31A4C4}"/>
    <cellStyle name="Normal 2 4 5 9" xfId="2477" xr:uid="{00000000-0005-0000-0000-0000D2100000}"/>
    <cellStyle name="Normal 2 4 5 9 2" xfId="6760" xr:uid="{00000000-0005-0000-0000-0000D3100000}"/>
    <cellStyle name="Normal 2 4 5 9 2 2" xfId="16086" xr:uid="{16D28A4C-D79B-4763-914D-27C550783833}"/>
    <cellStyle name="Normal 2 4 5 9 3" xfId="11869" xr:uid="{53ED7FA4-67A1-4FDD-ACC9-F8796F43E071}"/>
    <cellStyle name="Normal 2 4 6" xfId="311" xr:uid="{00000000-0005-0000-0000-0000D4100000}"/>
    <cellStyle name="Normal 2 4 7" xfId="312" xr:uid="{00000000-0005-0000-0000-0000D5100000}"/>
    <cellStyle name="Normal 2 4 7 10" xfId="9811" xr:uid="{18583644-FF4C-4D4F-B498-E21C19A94FA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DCD56534-C230-43FC-8945-1EA265CFEAF1}"/>
    <cellStyle name="Normal 2 4 7 2 2 2 3" xfId="12371" xr:uid="{B95834D4-2723-401E-AAE5-87830CAD20BE}"/>
    <cellStyle name="Normal 2 4 7 2 2 3" xfId="5117" xr:uid="{00000000-0005-0000-0000-0000DA100000}"/>
    <cellStyle name="Normal 2 4 7 2 2 3 2" xfId="14443" xr:uid="{CDA94575-BBEA-4F51-B6CF-72AD8395E15F}"/>
    <cellStyle name="Normal 2 4 7 2 2 4" xfId="9483" xr:uid="{3D7EFF6F-050D-4214-91CB-DF2673F23584}"/>
    <cellStyle name="Normal 2 4 7 2 2 4 2" xfId="18796" xr:uid="{9CF9C902-7F97-4890-8146-4CBFF77504CB}"/>
    <cellStyle name="Normal 2 4 7 2 2 5" xfId="10226" xr:uid="{6F5DB138-4C49-4BBB-99CF-4944FF23CC2B}"/>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31FDB89E-8B63-414C-9FDB-079A7CD728D5}"/>
    <cellStyle name="Normal 2 4 7 2 3 2 3" xfId="12784" xr:uid="{EB658B14-7E6E-4B5B-9320-BC87EB1BA859}"/>
    <cellStyle name="Normal 2 4 7 2 3 3" xfId="5530" xr:uid="{00000000-0005-0000-0000-0000DE100000}"/>
    <cellStyle name="Normal 2 4 7 2 3 3 2" xfId="14856" xr:uid="{0871E876-259A-4611-B7A6-7220500801B1}"/>
    <cellStyle name="Normal 2 4 7 2 3 4" xfId="10639" xr:uid="{7BC0C6A5-193E-42C7-A3A3-BD2443A782DF}"/>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5941507E-1E94-4EFF-BB49-24E2A929405A}"/>
    <cellStyle name="Normal 2 4 7 2 4 2 3" xfId="13197" xr:uid="{4E0E1963-79C5-4598-98ED-C0ABE07E8175}"/>
    <cellStyle name="Normal 2 4 7 2 4 3" xfId="5943" xr:uid="{00000000-0005-0000-0000-0000E2100000}"/>
    <cellStyle name="Normal 2 4 7 2 4 3 2" xfId="15269" xr:uid="{7528DE20-4A4F-45BA-80C9-34F3656FF6CA}"/>
    <cellStyle name="Normal 2 4 7 2 4 4" xfId="11052" xr:uid="{815A2C7E-060C-4A90-9B43-D61A94DD1DDA}"/>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B4E6F0B9-9C77-4FD3-8381-C2EE678E5E9D}"/>
    <cellStyle name="Normal 2 4 7 2 5 2 3" xfId="13610" xr:uid="{26475478-21BF-41B8-A640-CF896369CAFB}"/>
    <cellStyle name="Normal 2 4 7 2 5 3" xfId="6356" xr:uid="{00000000-0005-0000-0000-0000E6100000}"/>
    <cellStyle name="Normal 2 4 7 2 5 3 2" xfId="15682" xr:uid="{8FA0F28B-18D7-4BC6-8BC0-CFEEFA13F372}"/>
    <cellStyle name="Normal 2 4 7 2 5 4" xfId="11465" xr:uid="{FC73657C-932F-4F6D-AF45-408B2FDC44D8}"/>
    <cellStyle name="Normal 2 4 7 2 6" xfId="2486" xr:uid="{00000000-0005-0000-0000-0000E7100000}"/>
    <cellStyle name="Normal 2 4 7 2 6 2" xfId="6769" xr:uid="{00000000-0005-0000-0000-0000E8100000}"/>
    <cellStyle name="Normal 2 4 7 2 6 2 2" xfId="16095" xr:uid="{6982693F-0B24-4A7F-B36F-2E543B1A68B2}"/>
    <cellStyle name="Normal 2 4 7 2 6 3" xfId="11878" xr:uid="{A011B3E9-F061-4DED-9444-D964EE47CA0A}"/>
    <cellStyle name="Normal 2 4 7 2 7" xfId="4703" xr:uid="{00000000-0005-0000-0000-0000E9100000}"/>
    <cellStyle name="Normal 2 4 7 2 7 2" xfId="14029" xr:uid="{2B619A0C-16B2-48F6-B297-30032A7BEB12}"/>
    <cellStyle name="Normal 2 4 7 2 8" xfId="9058" xr:uid="{FCEC438E-EF6A-4A00-BFE3-0DA309169A82}"/>
    <cellStyle name="Normal 2 4 7 2 8 2" xfId="18381" xr:uid="{9882D5EE-BB86-4A65-897E-E87E3275E70C}"/>
    <cellStyle name="Normal 2 4 7 2 9" xfId="9812" xr:uid="{222C68DB-6D8F-4AA6-AF2E-2054E9E83CAD}"/>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C2ECD08A-263A-4A4C-A636-826F28A2778A}"/>
    <cellStyle name="Normal 2 4 7 3 2 3" xfId="12370" xr:uid="{11E057F2-2909-46E6-B093-FC59A53048D0}"/>
    <cellStyle name="Normal 2 4 7 3 3" xfId="5116" xr:uid="{00000000-0005-0000-0000-0000ED100000}"/>
    <cellStyle name="Normal 2 4 7 3 3 2" xfId="14442" xr:uid="{0B348123-A7DE-4C45-8F98-1F718843DD2C}"/>
    <cellStyle name="Normal 2 4 7 3 4" xfId="9276" xr:uid="{90A81E61-1719-41E4-8673-7681E805C2E0}"/>
    <cellStyle name="Normal 2 4 7 3 4 2" xfId="18589" xr:uid="{03BDD686-3E70-4C15-ACAC-D6A138EF73F4}"/>
    <cellStyle name="Normal 2 4 7 3 5" xfId="10225" xr:uid="{009BD643-6FD2-445B-9861-D5F591705E90}"/>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B3E5924A-AF0D-4D84-95A2-46A897F7578F}"/>
    <cellStyle name="Normal 2 4 7 4 2 3" xfId="12783" xr:uid="{A6976964-EDF4-442E-9CA7-7B376DF5519E}"/>
    <cellStyle name="Normal 2 4 7 4 3" xfId="5529" xr:uid="{00000000-0005-0000-0000-0000F1100000}"/>
    <cellStyle name="Normal 2 4 7 4 3 2" xfId="14855" xr:uid="{60D85BB2-5D7C-4CE3-8A66-D9A1D534523A}"/>
    <cellStyle name="Normal 2 4 7 4 4" xfId="10638" xr:uid="{1FE63BE2-9797-44E8-8A70-CBA512FE8E3D}"/>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635B5EF8-FB12-4BCD-BAA2-295DDADAB4EC}"/>
    <cellStyle name="Normal 2 4 7 5 2 3" xfId="13196" xr:uid="{ED9E3687-3C5A-434D-9922-8A093CBE4F37}"/>
    <cellStyle name="Normal 2 4 7 5 3" xfId="5942" xr:uid="{00000000-0005-0000-0000-0000F5100000}"/>
    <cellStyle name="Normal 2 4 7 5 3 2" xfId="15268" xr:uid="{4F6424C2-6236-4CD9-8278-EA82B840B6DF}"/>
    <cellStyle name="Normal 2 4 7 5 4" xfId="11051" xr:uid="{263CC05C-93FA-4E28-98D8-D6675B668619}"/>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69C294C0-FAD2-47AA-9EA6-86DC8CF9F005}"/>
    <cellStyle name="Normal 2 4 7 6 2 3" xfId="13609" xr:uid="{49D870EE-D531-44F6-876B-A1310D1A9095}"/>
    <cellStyle name="Normal 2 4 7 6 3" xfId="6355" xr:uid="{00000000-0005-0000-0000-0000F9100000}"/>
    <cellStyle name="Normal 2 4 7 6 3 2" xfId="15681" xr:uid="{17A437AA-4B37-47B7-BD42-2D51F720BB68}"/>
    <cellStyle name="Normal 2 4 7 6 4" xfId="11464" xr:uid="{4E313A23-C94A-4347-BBEA-E646E45C3CBB}"/>
    <cellStyle name="Normal 2 4 7 7" xfId="2485" xr:uid="{00000000-0005-0000-0000-0000FA100000}"/>
    <cellStyle name="Normal 2 4 7 7 2" xfId="6768" xr:uid="{00000000-0005-0000-0000-0000FB100000}"/>
    <cellStyle name="Normal 2 4 7 7 2 2" xfId="16094" xr:uid="{4F64933E-795D-40AC-98BE-54020B0E227A}"/>
    <cellStyle name="Normal 2 4 7 7 3" xfId="11877" xr:uid="{722ABEFC-0047-4017-B837-6AEEF9DAB215}"/>
    <cellStyle name="Normal 2 4 7 8" xfId="4702" xr:uid="{00000000-0005-0000-0000-0000FC100000}"/>
    <cellStyle name="Normal 2 4 7 8 2" xfId="14028" xr:uid="{0B0C99AA-7B03-4470-A6F0-DA923E97E3C2}"/>
    <cellStyle name="Normal 2 4 7 9" xfId="8851" xr:uid="{6946A6C1-9296-4D8F-B36F-8F7964FD7AC6}"/>
    <cellStyle name="Normal 2 4 7 9 2" xfId="18174" xr:uid="{5D9215DE-027A-4E84-984E-866334ED53A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0E33039B-C9CD-471C-9251-87AF6E15FCC6}"/>
    <cellStyle name="Normal 2 4 8 2 2 3" xfId="12372" xr:uid="{A0E451A5-FB58-47C3-A602-FF963D00A9CA}"/>
    <cellStyle name="Normal 2 4 8 2 3" xfId="5118" xr:uid="{00000000-0005-0000-0000-000001110000}"/>
    <cellStyle name="Normal 2 4 8 2 3 2" xfId="14444" xr:uid="{C6B86023-EC3B-4278-B405-B8C26B683B05}"/>
    <cellStyle name="Normal 2 4 8 2 4" xfId="9392" xr:uid="{812B973E-E5C9-43CD-85B0-C8CA30BD9BF3}"/>
    <cellStyle name="Normal 2 4 8 2 4 2" xfId="18705" xr:uid="{B2840BED-C5F8-4AAE-8E5A-DF3589F300B1}"/>
    <cellStyle name="Normal 2 4 8 2 5" xfId="10227" xr:uid="{3EF048A3-5FC4-48E5-A777-670C8DDD17FA}"/>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63B9A441-2F49-452B-9D13-25DE4DA062F8}"/>
    <cellStyle name="Normal 2 4 8 3 2 3" xfId="12785" xr:uid="{6E44F048-26DF-4AB4-B45D-F5A9F03263A2}"/>
    <cellStyle name="Normal 2 4 8 3 3" xfId="5531" xr:uid="{00000000-0005-0000-0000-000005110000}"/>
    <cellStyle name="Normal 2 4 8 3 3 2" xfId="14857" xr:uid="{BB2F826A-072A-4B34-920B-00BD10D10680}"/>
    <cellStyle name="Normal 2 4 8 3 4" xfId="10640" xr:uid="{5C020CE4-7C88-437B-8AEA-16E657C06AE8}"/>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1A1D24BE-894D-44AC-944D-AA29374EA149}"/>
    <cellStyle name="Normal 2 4 8 4 2 3" xfId="13198" xr:uid="{62E78E72-85C0-4DB4-AC42-FC4E19B8A2BC}"/>
    <cellStyle name="Normal 2 4 8 4 3" xfId="5944" xr:uid="{00000000-0005-0000-0000-000009110000}"/>
    <cellStyle name="Normal 2 4 8 4 3 2" xfId="15270" xr:uid="{399EFD34-BA64-4332-B67F-203099D2F716}"/>
    <cellStyle name="Normal 2 4 8 4 4" xfId="11053" xr:uid="{CE257008-109E-45C2-B6FE-C37259FDEA2C}"/>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605789D6-DC72-49BE-83C6-511A4B807AB5}"/>
    <cellStyle name="Normal 2 4 8 5 2 3" xfId="13611" xr:uid="{95937128-BC41-4D95-8B62-2DAA4B52F96F}"/>
    <cellStyle name="Normal 2 4 8 5 3" xfId="6357" xr:uid="{00000000-0005-0000-0000-00000D110000}"/>
    <cellStyle name="Normal 2 4 8 5 3 2" xfId="15683" xr:uid="{D2347CE6-4193-4998-A6E3-8B6BCC574EEE}"/>
    <cellStyle name="Normal 2 4 8 5 4" xfId="11466" xr:uid="{5334A9B0-2292-41FF-80D6-6E825081C32C}"/>
    <cellStyle name="Normal 2 4 8 6" xfId="2487" xr:uid="{00000000-0005-0000-0000-00000E110000}"/>
    <cellStyle name="Normal 2 4 8 6 2" xfId="6770" xr:uid="{00000000-0005-0000-0000-00000F110000}"/>
    <cellStyle name="Normal 2 4 8 6 2 2" xfId="16096" xr:uid="{5CBE1984-A148-4EF1-8240-5EFBB603CA47}"/>
    <cellStyle name="Normal 2 4 8 6 3" xfId="11879" xr:uid="{EA6355F6-683F-444F-B81A-9C2E4F38CDA1}"/>
    <cellStyle name="Normal 2 4 8 7" xfId="4704" xr:uid="{00000000-0005-0000-0000-000010110000}"/>
    <cellStyle name="Normal 2 4 8 7 2" xfId="14030" xr:uid="{4A8D77E6-CDF4-4552-9436-A89096A5B0EC}"/>
    <cellStyle name="Normal 2 4 8 8" xfId="8967" xr:uid="{32AC97CD-D3FD-4AE1-A8B2-07BEA9D5DE52}"/>
    <cellStyle name="Normal 2 4 8 8 2" xfId="18290" xr:uid="{121A08AD-7A59-4FEB-90FB-BA6BFA1909AC}"/>
    <cellStyle name="Normal 2 4 8 9" xfId="9813" xr:uid="{9583DAB8-DE7C-41D3-A2B8-A5CD6CF0C813}"/>
    <cellStyle name="Normal 2 4 9" xfId="9170" xr:uid="{5569C060-E090-4551-A44D-517EC3FD1834}"/>
    <cellStyle name="Normal 2 4 9 2" xfId="18486" xr:uid="{C93277D6-1A3C-4B09-A3A3-0238D0F3789B}"/>
    <cellStyle name="Normal 2 5" xfId="315" xr:uid="{00000000-0005-0000-0000-000011110000}"/>
    <cellStyle name="Normal 2 5 10" xfId="4705" xr:uid="{00000000-0005-0000-0000-000012110000}"/>
    <cellStyle name="Normal 2 5 10 2" xfId="14031" xr:uid="{CCA059F5-8218-4EF9-B193-CB53175D4172}"/>
    <cellStyle name="Normal 2 5 11" xfId="9814" xr:uid="{F721B4B9-5217-4C5F-AD5C-A14302AC4965}"/>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39" xr:uid="{EAC365FB-8855-48BD-83CA-C71A78A28734}"/>
    <cellStyle name="Normal 2 5 4 11" xfId="9815" xr:uid="{FA0C2C55-577D-4133-B250-62F37A5AA2CC}"/>
    <cellStyle name="Normal 2 5 4 2" xfId="319" xr:uid="{00000000-0005-0000-0000-000016110000}"/>
    <cellStyle name="Normal 2 5 4 2 10" xfId="9816" xr:uid="{4D89F1F5-4F3D-488D-99AB-5D5FCBFF460A}"/>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F66ACB55-22B9-490D-88DE-848ACE80F8A0}"/>
    <cellStyle name="Normal 2 5 4 2 2 2 2 3" xfId="12376" xr:uid="{7E05652C-792A-40E4-B29F-8790A524EAB6}"/>
    <cellStyle name="Normal 2 5 4 2 2 2 3" xfId="5122" xr:uid="{00000000-0005-0000-0000-00001B110000}"/>
    <cellStyle name="Normal 2 5 4 2 2 2 3 2" xfId="14448" xr:uid="{5226DB4F-D6FB-456C-B838-20650A4AF6CA}"/>
    <cellStyle name="Normal 2 5 4 2 2 2 4" xfId="9551" xr:uid="{392D7741-6781-4EA5-9C28-040053C1B05B}"/>
    <cellStyle name="Normal 2 5 4 2 2 2 4 2" xfId="18864" xr:uid="{F66CF081-0B3F-4171-AE84-D7B2B5ED36B4}"/>
    <cellStyle name="Normal 2 5 4 2 2 2 5" xfId="10231" xr:uid="{8AC84678-012A-4FA9-8695-C437081134FE}"/>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F8303C41-C840-43C2-9601-626F0B324D97}"/>
    <cellStyle name="Normal 2 5 4 2 2 3 2 3" xfId="12789" xr:uid="{1CA3D482-2479-4927-928E-B5102AB12A93}"/>
    <cellStyle name="Normal 2 5 4 2 2 3 3" xfId="5535" xr:uid="{00000000-0005-0000-0000-00001F110000}"/>
    <cellStyle name="Normal 2 5 4 2 2 3 3 2" xfId="14861" xr:uid="{140A91AD-0C90-4973-9F32-6E4FA65F077E}"/>
    <cellStyle name="Normal 2 5 4 2 2 3 4" xfId="10644" xr:uid="{3977EF93-1866-417C-A9E6-8EEB4EF7205D}"/>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0AC6788A-4C17-4CDA-8D88-1BEE9B17CA0E}"/>
    <cellStyle name="Normal 2 5 4 2 2 4 2 3" xfId="13202" xr:uid="{AA29E974-9B35-4A3E-9EB9-56FCB558BD30}"/>
    <cellStyle name="Normal 2 5 4 2 2 4 3" xfId="5948" xr:uid="{00000000-0005-0000-0000-000023110000}"/>
    <cellStyle name="Normal 2 5 4 2 2 4 3 2" xfId="15274" xr:uid="{8EEA3D9C-69DC-45B0-85A3-42431385779C}"/>
    <cellStyle name="Normal 2 5 4 2 2 4 4" xfId="11057" xr:uid="{B9D81A2C-01F5-45B4-9496-A853DEBA75FB}"/>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6C68A856-B8E8-44D6-9343-9E2BA47F89AA}"/>
    <cellStyle name="Normal 2 5 4 2 2 5 2 3" xfId="13615" xr:uid="{071354FE-5E8A-4E2F-8946-BAC1B8B912EA}"/>
    <cellStyle name="Normal 2 5 4 2 2 5 3" xfId="6361" xr:uid="{00000000-0005-0000-0000-000027110000}"/>
    <cellStyle name="Normal 2 5 4 2 2 5 3 2" xfId="15687" xr:uid="{65AC8BFA-766C-4665-BDEB-FCE589EE6002}"/>
    <cellStyle name="Normal 2 5 4 2 2 5 4" xfId="11470" xr:uid="{A168368C-0F11-4F34-8D58-796992EA090A}"/>
    <cellStyle name="Normal 2 5 4 2 2 6" xfId="2491" xr:uid="{00000000-0005-0000-0000-000028110000}"/>
    <cellStyle name="Normal 2 5 4 2 2 6 2" xfId="6774" xr:uid="{00000000-0005-0000-0000-000029110000}"/>
    <cellStyle name="Normal 2 5 4 2 2 6 2 2" xfId="16100" xr:uid="{752EA8EA-8105-4CE7-90E1-6DF81136FCF7}"/>
    <cellStyle name="Normal 2 5 4 2 2 6 3" xfId="11883" xr:uid="{2E731DCF-69EE-4B37-A951-A09DFF3E4F0A}"/>
    <cellStyle name="Normal 2 5 4 2 2 7" xfId="4708" xr:uid="{00000000-0005-0000-0000-00002A110000}"/>
    <cellStyle name="Normal 2 5 4 2 2 7 2" xfId="14034" xr:uid="{8E6A2AFC-4064-4E28-8026-001E80CD58DB}"/>
    <cellStyle name="Normal 2 5 4 2 2 8" xfId="9126" xr:uid="{C2CF4AFD-4082-4555-941B-6E9759C32D63}"/>
    <cellStyle name="Normal 2 5 4 2 2 8 2" xfId="18449" xr:uid="{B1416BDE-D53E-48ED-964B-B1884044B027}"/>
    <cellStyle name="Normal 2 5 4 2 2 9" xfId="9817" xr:uid="{7BA7FB0D-2BF3-46A2-BA64-B51395A60FD2}"/>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6CD0E30E-DFE5-48DC-B3AD-755FA11075C5}"/>
    <cellStyle name="Normal 2 5 4 2 3 2 3" xfId="12375" xr:uid="{6111B276-9A14-4201-8315-3C7BE5EDBDF0}"/>
    <cellStyle name="Normal 2 5 4 2 3 3" xfId="5121" xr:uid="{00000000-0005-0000-0000-00002E110000}"/>
    <cellStyle name="Normal 2 5 4 2 3 3 2" xfId="14447" xr:uid="{562C4E57-1E4A-4842-B31E-7FEF33CBFF7F}"/>
    <cellStyle name="Normal 2 5 4 2 3 4" xfId="9344" xr:uid="{207B8A34-09D9-4349-A9C7-5A5A998C6B6F}"/>
    <cellStyle name="Normal 2 5 4 2 3 4 2" xfId="18657" xr:uid="{F1E3EA86-0D47-46E3-B187-ACB8291B3689}"/>
    <cellStyle name="Normal 2 5 4 2 3 5" xfId="10230" xr:uid="{3334172F-F330-4E7C-8A8D-517DC84164F4}"/>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D5F64438-1FD7-426F-8301-EC4FC6EF6649}"/>
    <cellStyle name="Normal 2 5 4 2 4 2 3" xfId="12788" xr:uid="{DDD43D47-9FCD-4D0D-9779-EAE794A63B46}"/>
    <cellStyle name="Normal 2 5 4 2 4 3" xfId="5534" xr:uid="{00000000-0005-0000-0000-000032110000}"/>
    <cellStyle name="Normal 2 5 4 2 4 3 2" xfId="14860" xr:uid="{0B352D72-8D75-4AEB-BD38-C79C71E378CF}"/>
    <cellStyle name="Normal 2 5 4 2 4 4" xfId="10643" xr:uid="{3E69E32D-213F-43E5-85AF-5309F876A429}"/>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5871B980-07CD-416A-BC08-A5B1C07FB765}"/>
    <cellStyle name="Normal 2 5 4 2 5 2 3" xfId="13201" xr:uid="{E91F0A20-F423-42B8-99E5-32EDC6211C7A}"/>
    <cellStyle name="Normal 2 5 4 2 5 3" xfId="5947" xr:uid="{00000000-0005-0000-0000-000036110000}"/>
    <cellStyle name="Normal 2 5 4 2 5 3 2" xfId="15273" xr:uid="{C3926529-090F-4052-9CB6-7ED6A9A91E23}"/>
    <cellStyle name="Normal 2 5 4 2 5 4" xfId="11056" xr:uid="{81131075-C775-4798-81C5-4CD5B54872C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AB651B83-9C8F-44D7-9270-820613E90748}"/>
    <cellStyle name="Normal 2 5 4 2 6 2 3" xfId="13614" xr:uid="{CC9CB665-4963-4826-9AEA-AD170F679632}"/>
    <cellStyle name="Normal 2 5 4 2 6 3" xfId="6360" xr:uid="{00000000-0005-0000-0000-00003A110000}"/>
    <cellStyle name="Normal 2 5 4 2 6 3 2" xfId="15686" xr:uid="{16A3ED12-AC34-4CB4-A650-7E2D3C5A23F6}"/>
    <cellStyle name="Normal 2 5 4 2 6 4" xfId="11469" xr:uid="{26DA3A79-5B0E-4B32-81F0-F676AE204569}"/>
    <cellStyle name="Normal 2 5 4 2 7" xfId="2490" xr:uid="{00000000-0005-0000-0000-00003B110000}"/>
    <cellStyle name="Normal 2 5 4 2 7 2" xfId="6773" xr:uid="{00000000-0005-0000-0000-00003C110000}"/>
    <cellStyle name="Normal 2 5 4 2 7 2 2" xfId="16099" xr:uid="{D13D3864-A4CC-4FE6-A0EE-F2939C53B140}"/>
    <cellStyle name="Normal 2 5 4 2 7 3" xfId="11882" xr:uid="{6BE6357A-2999-4B38-BA0A-7B2E9BD43149}"/>
    <cellStyle name="Normal 2 5 4 2 8" xfId="4707" xr:uid="{00000000-0005-0000-0000-00003D110000}"/>
    <cellStyle name="Normal 2 5 4 2 8 2" xfId="14033" xr:uid="{F12E4785-F14A-4A11-BD0D-90D2E9FF6C80}"/>
    <cellStyle name="Normal 2 5 4 2 9" xfId="8919" xr:uid="{2A8C96F6-0F22-4271-BCA3-7E5B2E35A54F}"/>
    <cellStyle name="Normal 2 5 4 2 9 2" xfId="18242" xr:uid="{CA876893-A130-43FE-8560-D625134465CC}"/>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399FC87A-3C21-47AB-9B72-8AA8FB5DBA1A}"/>
    <cellStyle name="Normal 2 5 4 3 2 2 3" xfId="12377" xr:uid="{B8DB6692-2642-4B7E-A61A-F7AD8F605D07}"/>
    <cellStyle name="Normal 2 5 4 3 2 3" xfId="5123" xr:uid="{00000000-0005-0000-0000-000042110000}"/>
    <cellStyle name="Normal 2 5 4 3 2 3 2" xfId="14449" xr:uid="{3DC81F3C-EFF9-4744-9622-CE6AAD50BC1D}"/>
    <cellStyle name="Normal 2 5 4 3 2 4" xfId="9448" xr:uid="{0C1738F2-697E-4430-8A3F-E67747B3EDB0}"/>
    <cellStyle name="Normal 2 5 4 3 2 4 2" xfId="18761" xr:uid="{BF3FFFE4-83FA-4C80-9DB3-2A9A4C63C4DA}"/>
    <cellStyle name="Normal 2 5 4 3 2 5" xfId="10232" xr:uid="{8C02DD8D-AFF9-4B8A-8F63-DD61F15B6476}"/>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538FD572-F593-4AA9-8240-9F0884DEF81F}"/>
    <cellStyle name="Normal 2 5 4 3 3 2 3" xfId="12790" xr:uid="{CC94E660-6B3C-4F30-B5AD-B8B44C30DB36}"/>
    <cellStyle name="Normal 2 5 4 3 3 3" xfId="5536" xr:uid="{00000000-0005-0000-0000-000046110000}"/>
    <cellStyle name="Normal 2 5 4 3 3 3 2" xfId="14862" xr:uid="{753BA957-728D-4379-B655-A00DEBA0A4EF}"/>
    <cellStyle name="Normal 2 5 4 3 3 4" xfId="10645" xr:uid="{A2C5536A-E116-4423-9705-8618CCDB91D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66BE6E7E-4EE5-4B3B-A3CC-6538F8ED8A55}"/>
    <cellStyle name="Normal 2 5 4 3 4 2 3" xfId="13203" xr:uid="{79CBCD66-6BDC-4CA1-9DBD-DC1A1DA0FFBB}"/>
    <cellStyle name="Normal 2 5 4 3 4 3" xfId="5949" xr:uid="{00000000-0005-0000-0000-00004A110000}"/>
    <cellStyle name="Normal 2 5 4 3 4 3 2" xfId="15275" xr:uid="{6744B701-3BF9-4D85-A387-9DD76124DF96}"/>
    <cellStyle name="Normal 2 5 4 3 4 4" xfId="11058" xr:uid="{B34E41E0-B2D8-49E1-B07C-30EDA26571D7}"/>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3C95B947-8523-4E40-BB6B-380DABE5D9A8}"/>
    <cellStyle name="Normal 2 5 4 3 5 2 3" xfId="13616" xr:uid="{C80899F9-C896-42F4-9AED-7DBC3476EF18}"/>
    <cellStyle name="Normal 2 5 4 3 5 3" xfId="6362" xr:uid="{00000000-0005-0000-0000-00004E110000}"/>
    <cellStyle name="Normal 2 5 4 3 5 3 2" xfId="15688" xr:uid="{5E0C7D78-8D93-415A-8EDE-EC246FF5F0D5}"/>
    <cellStyle name="Normal 2 5 4 3 5 4" xfId="11471" xr:uid="{1176AC96-A561-4CBB-B850-04F306E5A789}"/>
    <cellStyle name="Normal 2 5 4 3 6" xfId="2492" xr:uid="{00000000-0005-0000-0000-00004F110000}"/>
    <cellStyle name="Normal 2 5 4 3 6 2" xfId="6775" xr:uid="{00000000-0005-0000-0000-000050110000}"/>
    <cellStyle name="Normal 2 5 4 3 6 2 2" xfId="16101" xr:uid="{8C966E97-3DCB-43F0-A15F-74C1F0E05B97}"/>
    <cellStyle name="Normal 2 5 4 3 6 3" xfId="11884" xr:uid="{507AC298-D441-4A67-9C0F-A723F5DA5826}"/>
    <cellStyle name="Normal 2 5 4 3 7" xfId="4709" xr:uid="{00000000-0005-0000-0000-000051110000}"/>
    <cellStyle name="Normal 2 5 4 3 7 2" xfId="14035" xr:uid="{886BD61B-4C90-456F-A499-9A0D13ABA3C4}"/>
    <cellStyle name="Normal 2 5 4 3 8" xfId="9023" xr:uid="{9B869639-3DD4-4511-AD70-D5125D34938F}"/>
    <cellStyle name="Normal 2 5 4 3 8 2" xfId="18346" xr:uid="{0D4CE65E-0D8E-4595-99C8-FF204A7CDDCF}"/>
    <cellStyle name="Normal 2 5 4 3 9" xfId="9818" xr:uid="{D9666452-97CD-4C09-93A9-C626B10C983E}"/>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29D68710-1114-4022-A985-8A586484C6A3}"/>
    <cellStyle name="Normal 2 5 4 4 2 3" xfId="12374" xr:uid="{372BF6F5-7FA9-420C-BBAB-741B35D42211}"/>
    <cellStyle name="Normal 2 5 4 4 3" xfId="5120" xr:uid="{00000000-0005-0000-0000-000055110000}"/>
    <cellStyle name="Normal 2 5 4 4 3 2" xfId="14446" xr:uid="{A30363B0-8132-4BBE-8DC7-349BCCCD1FB5}"/>
    <cellStyle name="Normal 2 5 4 4 4" xfId="9241" xr:uid="{2BD2F05F-E4C9-46B4-B3C9-F0D081C1F38F}"/>
    <cellStyle name="Normal 2 5 4 4 4 2" xfId="18554" xr:uid="{97FEC3FB-B22A-4B95-A3DA-76F692DEB523}"/>
    <cellStyle name="Normal 2 5 4 4 5" xfId="10229" xr:uid="{D2F8DF0B-C25A-4DDA-8E14-54665430390F}"/>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0BB3B42C-DEFF-4919-AE47-23F0DDFE0081}"/>
    <cellStyle name="Normal 2 5 4 5 2 3" xfId="12787" xr:uid="{C6EEB68F-D124-464C-A13E-22BA011059E7}"/>
    <cellStyle name="Normal 2 5 4 5 3" xfId="5533" xr:uid="{00000000-0005-0000-0000-000059110000}"/>
    <cellStyle name="Normal 2 5 4 5 3 2" xfId="14859" xr:uid="{EC6A96CF-8B18-4E43-B292-ADC0FF121CDF}"/>
    <cellStyle name="Normal 2 5 4 5 4" xfId="10642" xr:uid="{4EDF377A-C5E9-47C0-B080-ED355BB347CC}"/>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3F96C7EA-4582-4127-AB34-A221B1A0E913}"/>
    <cellStyle name="Normal 2 5 4 6 2 3" xfId="13200" xr:uid="{52117450-1EAA-4413-8E1E-7597580D853C}"/>
    <cellStyle name="Normal 2 5 4 6 3" xfId="5946" xr:uid="{00000000-0005-0000-0000-00005D110000}"/>
    <cellStyle name="Normal 2 5 4 6 3 2" xfId="15272" xr:uid="{99EA0F79-2C3F-4043-BA5A-20A41D38D8A5}"/>
    <cellStyle name="Normal 2 5 4 6 4" xfId="11055" xr:uid="{DFEE09BB-FAB5-4F91-98C8-BC6831395320}"/>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C6ECD470-1CEB-4D29-A7CE-24BAAA476AF5}"/>
    <cellStyle name="Normal 2 5 4 7 2 3" xfId="13613" xr:uid="{13B773DD-FE15-40C4-AA14-DCE6D474B5CD}"/>
    <cellStyle name="Normal 2 5 4 7 3" xfId="6359" xr:uid="{00000000-0005-0000-0000-000061110000}"/>
    <cellStyle name="Normal 2 5 4 7 3 2" xfId="15685" xr:uid="{309A44A9-13C3-4C36-A1ED-4BB24836CF68}"/>
    <cellStyle name="Normal 2 5 4 7 4" xfId="11468" xr:uid="{C4F01120-8352-4261-8062-502DFD87EF85}"/>
    <cellStyle name="Normal 2 5 4 8" xfId="2489" xr:uid="{00000000-0005-0000-0000-000062110000}"/>
    <cellStyle name="Normal 2 5 4 8 2" xfId="6772" xr:uid="{00000000-0005-0000-0000-000063110000}"/>
    <cellStyle name="Normal 2 5 4 8 2 2" xfId="16098" xr:uid="{0A79FB69-BB26-4CE8-8D8A-0B7720821114}"/>
    <cellStyle name="Normal 2 5 4 8 3" xfId="11881" xr:uid="{06933BE5-B645-435D-B0AC-24996C244A46}"/>
    <cellStyle name="Normal 2 5 4 9" xfId="4706" xr:uid="{00000000-0005-0000-0000-000064110000}"/>
    <cellStyle name="Normal 2 5 4 9 2" xfId="14032" xr:uid="{183CAF8D-66EF-48C4-A8E9-B99C60456072}"/>
    <cellStyle name="Normal 2 5 5" xfId="803" xr:uid="{00000000-0005-0000-0000-000065110000}"/>
    <cellStyle name="Normal 2 5 5 2" xfId="3042" xr:uid="{00000000-0005-0000-0000-000066110000}"/>
    <cellStyle name="Normal 2 5 5 2 2" xfId="7264" xr:uid="{00000000-0005-0000-0000-000067110000}"/>
    <cellStyle name="Normal 2 5 5 2 2 2" xfId="16590" xr:uid="{AC321578-5ADB-4EF4-83DA-BDD34C90C6BD}"/>
    <cellStyle name="Normal 2 5 5 2 3" xfId="12373" xr:uid="{67C595D3-1CBA-40AE-9980-8384F530A9CC}"/>
    <cellStyle name="Normal 2 5 5 3" xfId="5119" xr:uid="{00000000-0005-0000-0000-000068110000}"/>
    <cellStyle name="Normal 2 5 5 3 2" xfId="14445" xr:uid="{38165665-A1AC-4BC1-95E2-0833929D2D9E}"/>
    <cellStyle name="Normal 2 5 5 4" xfId="9606" xr:uid="{3AE4D77A-44EE-40C2-9F71-05FBDE2746B2}"/>
    <cellStyle name="Normal 2 5 5 4 2" xfId="18905" xr:uid="{B3CC6F3B-8545-42CC-B388-A3B5890A3E9C}"/>
    <cellStyle name="Normal 2 5 5 5" xfId="10228" xr:uid="{55FBB41A-3FB8-43C3-95F7-64E5A344E892}"/>
    <cellStyle name="Normal 2 5 6" xfId="1225" xr:uid="{00000000-0005-0000-0000-000069110000}"/>
    <cellStyle name="Normal 2 5 6 2" xfId="3455" xr:uid="{00000000-0005-0000-0000-00006A110000}"/>
    <cellStyle name="Normal 2 5 6 2 2" xfId="7677" xr:uid="{00000000-0005-0000-0000-00006B110000}"/>
    <cellStyle name="Normal 2 5 6 2 2 2" xfId="17003" xr:uid="{457DFF06-D7D5-49E8-8277-B126944CDCFA}"/>
    <cellStyle name="Normal 2 5 6 2 3" xfId="12786" xr:uid="{EFB9AF0D-08A1-4618-B2E9-50DDCE42F546}"/>
    <cellStyle name="Normal 2 5 6 3" xfId="5532" xr:uid="{00000000-0005-0000-0000-00006C110000}"/>
    <cellStyle name="Normal 2 5 6 3 2" xfId="14858" xr:uid="{70F69CA7-3FF5-4909-B7E1-3BE55D569D50}"/>
    <cellStyle name="Normal 2 5 6 4" xfId="10641" xr:uid="{6D368D95-E96B-44DA-89F0-4234899656BE}"/>
    <cellStyle name="Normal 2 5 7" xfId="1638" xr:uid="{00000000-0005-0000-0000-00006D110000}"/>
    <cellStyle name="Normal 2 5 7 2" xfId="3868" xr:uid="{00000000-0005-0000-0000-00006E110000}"/>
    <cellStyle name="Normal 2 5 7 2 2" xfId="8090" xr:uid="{00000000-0005-0000-0000-00006F110000}"/>
    <cellStyle name="Normal 2 5 7 2 2 2" xfId="17416" xr:uid="{72F01E9E-2150-4984-AF18-4D96D3FF3840}"/>
    <cellStyle name="Normal 2 5 7 2 3" xfId="13199" xr:uid="{E970F853-8E22-4875-B819-4D30FE1EDBC4}"/>
    <cellStyle name="Normal 2 5 7 3" xfId="5945" xr:uid="{00000000-0005-0000-0000-000070110000}"/>
    <cellStyle name="Normal 2 5 7 3 2" xfId="15271" xr:uid="{9D0CF884-D4BC-4164-ABB9-C2A7FB0FCAED}"/>
    <cellStyle name="Normal 2 5 7 4" xfId="11054" xr:uid="{7F0D7A8F-E6FC-4178-BB4E-D810F8D90DAB}"/>
    <cellStyle name="Normal 2 5 8" xfId="2052" xr:uid="{00000000-0005-0000-0000-000071110000}"/>
    <cellStyle name="Normal 2 5 8 2" xfId="4281" xr:uid="{00000000-0005-0000-0000-000072110000}"/>
    <cellStyle name="Normal 2 5 8 2 2" xfId="8503" xr:uid="{00000000-0005-0000-0000-000073110000}"/>
    <cellStyle name="Normal 2 5 8 2 2 2" xfId="17829" xr:uid="{A464C7C3-502D-4803-9BAC-96772EF57AEC}"/>
    <cellStyle name="Normal 2 5 8 2 3" xfId="13612" xr:uid="{B4A43272-9580-4F77-AE2F-923368009EC2}"/>
    <cellStyle name="Normal 2 5 8 3" xfId="6358" xr:uid="{00000000-0005-0000-0000-000074110000}"/>
    <cellStyle name="Normal 2 5 8 3 2" xfId="15684" xr:uid="{9B40A0D6-9F0E-42DB-907C-2AADE646C6B1}"/>
    <cellStyle name="Normal 2 5 8 4" xfId="11467" xr:uid="{6E665C9E-7A58-49D9-A7C2-3D563E942999}"/>
    <cellStyle name="Normal 2 5 9" xfId="2488" xr:uid="{00000000-0005-0000-0000-000075110000}"/>
    <cellStyle name="Normal 2 5 9 2" xfId="6771" xr:uid="{00000000-0005-0000-0000-000076110000}"/>
    <cellStyle name="Normal 2 5 9 2 2" xfId="16097" xr:uid="{95EEA2E8-C72D-4AAE-92ED-5BEE1996C8D2}"/>
    <cellStyle name="Normal 2 5 9 3" xfId="11880" xr:uid="{5B11840A-8F90-4E11-AE03-348B7549502C}"/>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6A5FF7BC-64EF-47D8-B273-F385D2622CC8}"/>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0" xr:uid="{0DEAC6CA-8E7F-48F2-B779-BFD256B9F681}"/>
    <cellStyle name="Normal 3 2 3 11" xfId="9820" xr:uid="{B2BDAD93-6A1C-4A64-A692-0E9033875C3F}"/>
    <cellStyle name="Normal 3 2 3 2" xfId="327" xr:uid="{00000000-0005-0000-0000-00007F110000}"/>
    <cellStyle name="Normal 3 2 3 2 10" xfId="9821" xr:uid="{1E4407A1-3BEF-4A47-883E-3B4C33DF308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2B8947AD-AC90-4831-B64F-FAF792075E08}"/>
    <cellStyle name="Normal 3 2 3 2 2 2 2 3" xfId="12381" xr:uid="{0F560369-2EAC-4884-A748-D79AC2F53E18}"/>
    <cellStyle name="Normal 3 2 3 2 2 2 3" xfId="5127" xr:uid="{00000000-0005-0000-0000-000084110000}"/>
    <cellStyle name="Normal 3 2 3 2 2 2 3 2" xfId="14453" xr:uid="{35AFEBF2-C14C-478C-9914-AAE60DEE7C04}"/>
    <cellStyle name="Normal 3 2 3 2 2 2 4" xfId="9552" xr:uid="{54198C1B-8B77-4C07-BFED-28C4D4E00A0C}"/>
    <cellStyle name="Normal 3 2 3 2 2 2 4 2" xfId="18865" xr:uid="{068B7C2A-C6DF-4EBE-9066-7625A0C2BE80}"/>
    <cellStyle name="Normal 3 2 3 2 2 2 5" xfId="10236" xr:uid="{1824DE6D-6E15-4DCD-8001-897E46B2CB46}"/>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C82FDDC5-AB2F-473E-8EE2-A10B58EB5D5C}"/>
    <cellStyle name="Normal 3 2 3 2 2 3 2 3" xfId="12794" xr:uid="{238FAF76-C81D-42DF-871B-DA99258E46F1}"/>
    <cellStyle name="Normal 3 2 3 2 2 3 3" xfId="5540" xr:uid="{00000000-0005-0000-0000-000088110000}"/>
    <cellStyle name="Normal 3 2 3 2 2 3 3 2" xfId="14866" xr:uid="{269B4325-CEEE-4638-A477-3C1565561F11}"/>
    <cellStyle name="Normal 3 2 3 2 2 3 4" xfId="10649" xr:uid="{84079EF6-C606-43A3-A1C7-3F1524B4959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B940D031-CA18-4EA2-8BCF-3ADF434EF7F5}"/>
    <cellStyle name="Normal 3 2 3 2 2 4 2 3" xfId="13207" xr:uid="{FDACD946-835E-46F7-96E7-D99C74100A3D}"/>
    <cellStyle name="Normal 3 2 3 2 2 4 3" xfId="5953" xr:uid="{00000000-0005-0000-0000-00008C110000}"/>
    <cellStyle name="Normal 3 2 3 2 2 4 3 2" xfId="15279" xr:uid="{B6F79C6A-9C26-4D69-9AFD-E69C66DC249C}"/>
    <cellStyle name="Normal 3 2 3 2 2 4 4" xfId="11062" xr:uid="{8A1B789D-A080-48F3-807C-8988BE95B02F}"/>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09E46EBD-7816-4F21-A89D-87845C0B839B}"/>
    <cellStyle name="Normal 3 2 3 2 2 5 2 3" xfId="13620" xr:uid="{225BF59B-2FA0-45A1-99CE-BE99852EF4B0}"/>
    <cellStyle name="Normal 3 2 3 2 2 5 3" xfId="6366" xr:uid="{00000000-0005-0000-0000-000090110000}"/>
    <cellStyle name="Normal 3 2 3 2 2 5 3 2" xfId="15692" xr:uid="{FC8C1E71-09E2-456D-9B23-BDC31207FF79}"/>
    <cellStyle name="Normal 3 2 3 2 2 5 4" xfId="11475" xr:uid="{430DF48C-4211-4B4F-B0D6-956692C84F3E}"/>
    <cellStyle name="Normal 3 2 3 2 2 6" xfId="2496" xr:uid="{00000000-0005-0000-0000-000091110000}"/>
    <cellStyle name="Normal 3 2 3 2 2 6 2" xfId="6779" xr:uid="{00000000-0005-0000-0000-000092110000}"/>
    <cellStyle name="Normal 3 2 3 2 2 6 2 2" xfId="16105" xr:uid="{59D3D2BB-B110-49DD-A885-0D2453653D08}"/>
    <cellStyle name="Normal 3 2 3 2 2 6 3" xfId="11888" xr:uid="{75461D4B-318F-4FED-A301-5FAFB634B6ED}"/>
    <cellStyle name="Normal 3 2 3 2 2 7" xfId="4713" xr:uid="{00000000-0005-0000-0000-000093110000}"/>
    <cellStyle name="Normal 3 2 3 2 2 7 2" xfId="14039" xr:uid="{4B846252-4B1F-4DFA-BB0A-F10E4527715B}"/>
    <cellStyle name="Normal 3 2 3 2 2 8" xfId="9127" xr:uid="{0583B12A-AAD6-4358-9C0C-42D6EBC3DFD8}"/>
    <cellStyle name="Normal 3 2 3 2 2 8 2" xfId="18450" xr:uid="{FAA2E743-EE5D-49F1-BDC2-3135AD18F6E0}"/>
    <cellStyle name="Normal 3 2 3 2 2 9" xfId="9822" xr:uid="{67D4C501-1AFF-46B6-84DA-FE72C24F7B29}"/>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E8570C2A-8A25-4A84-9A84-9828ED175358}"/>
    <cellStyle name="Normal 3 2 3 2 3 2 3" xfId="12380" xr:uid="{ADC67F41-6EC5-450C-B481-8332254F5794}"/>
    <cellStyle name="Normal 3 2 3 2 3 3" xfId="5126" xr:uid="{00000000-0005-0000-0000-000097110000}"/>
    <cellStyle name="Normal 3 2 3 2 3 3 2" xfId="14452" xr:uid="{B4E609AE-367D-427B-8C8B-0847CFED2BE8}"/>
    <cellStyle name="Normal 3 2 3 2 3 4" xfId="9345" xr:uid="{C34A3811-3C7F-4E99-A17A-CCF74A426C86}"/>
    <cellStyle name="Normal 3 2 3 2 3 4 2" xfId="18658" xr:uid="{696067B5-050F-4C56-913E-E4961A1471B3}"/>
    <cellStyle name="Normal 3 2 3 2 3 5" xfId="10235" xr:uid="{5785FA4A-6D50-41F0-8E8C-1264F5F22E9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1A90F59D-138B-4568-AAFD-DBF538575966}"/>
    <cellStyle name="Normal 3 2 3 2 4 2 3" xfId="12793" xr:uid="{51F2A2A5-6B29-4352-8FB1-C88FE8B39FA8}"/>
    <cellStyle name="Normal 3 2 3 2 4 3" xfId="5539" xr:uid="{00000000-0005-0000-0000-00009B110000}"/>
    <cellStyle name="Normal 3 2 3 2 4 3 2" xfId="14865" xr:uid="{7A95C896-D8EA-4154-93E0-009EB22F7612}"/>
    <cellStyle name="Normal 3 2 3 2 4 4" xfId="10648" xr:uid="{F79CEC01-20E2-4158-A692-18671D27A98A}"/>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3EAD3600-DF1F-4BE1-994E-2FD17F7A27F8}"/>
    <cellStyle name="Normal 3 2 3 2 5 2 3" xfId="13206" xr:uid="{A1E222C0-D5D5-463D-9234-0C6009D42603}"/>
    <cellStyle name="Normal 3 2 3 2 5 3" xfId="5952" xr:uid="{00000000-0005-0000-0000-00009F110000}"/>
    <cellStyle name="Normal 3 2 3 2 5 3 2" xfId="15278" xr:uid="{7AEECBD8-1FDD-4FB3-9E33-0D2D287FBBEF}"/>
    <cellStyle name="Normal 3 2 3 2 5 4" xfId="11061" xr:uid="{2B8B9C8D-98E1-4610-9DE7-5F4AB8DAB71B}"/>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719F37CD-2F06-4CDC-8E66-6176B0108762}"/>
    <cellStyle name="Normal 3 2 3 2 6 2 3" xfId="13619" xr:uid="{7D9AECC6-8604-4B0B-B033-923A961F0F84}"/>
    <cellStyle name="Normal 3 2 3 2 6 3" xfId="6365" xr:uid="{00000000-0005-0000-0000-0000A3110000}"/>
    <cellStyle name="Normal 3 2 3 2 6 3 2" xfId="15691" xr:uid="{C223F493-4EA4-4493-B2F2-6EC965B90DF7}"/>
    <cellStyle name="Normal 3 2 3 2 6 4" xfId="11474" xr:uid="{719A74CF-FF79-4556-8452-4462947F06FB}"/>
    <cellStyle name="Normal 3 2 3 2 7" xfId="2495" xr:uid="{00000000-0005-0000-0000-0000A4110000}"/>
    <cellStyle name="Normal 3 2 3 2 7 2" xfId="6778" xr:uid="{00000000-0005-0000-0000-0000A5110000}"/>
    <cellStyle name="Normal 3 2 3 2 7 2 2" xfId="16104" xr:uid="{2686531D-392F-42CC-A77A-377E4DC162EE}"/>
    <cellStyle name="Normal 3 2 3 2 7 3" xfId="11887" xr:uid="{ADF6FEF4-6F76-46F0-A69C-FD8DC2DDDF4B}"/>
    <cellStyle name="Normal 3 2 3 2 8" xfId="4712" xr:uid="{00000000-0005-0000-0000-0000A6110000}"/>
    <cellStyle name="Normal 3 2 3 2 8 2" xfId="14038" xr:uid="{D2B61D92-6F0A-418E-AC1A-114BFA28AB0E}"/>
    <cellStyle name="Normal 3 2 3 2 9" xfId="8920" xr:uid="{D9E0825A-068A-435C-BDBE-2C0571A11FAF}"/>
    <cellStyle name="Normal 3 2 3 2 9 2" xfId="18243" xr:uid="{6F15AEEA-B844-4970-B434-68A88BDA1C07}"/>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54A9E622-0733-4260-9347-F3F00985003F}"/>
    <cellStyle name="Normal 3 2 3 3 2 2 3" xfId="12382" xr:uid="{8AA9D9DD-1AD5-4D95-92CA-509EC66CA96E}"/>
    <cellStyle name="Normal 3 2 3 3 2 3" xfId="5128" xr:uid="{00000000-0005-0000-0000-0000AB110000}"/>
    <cellStyle name="Normal 3 2 3 3 2 3 2" xfId="14454" xr:uid="{3B0197A6-ED70-437A-9802-0F42A359127E}"/>
    <cellStyle name="Normal 3 2 3 3 2 4" xfId="9449" xr:uid="{7F58A2DC-DF16-44D1-8D09-04DD41EF4468}"/>
    <cellStyle name="Normal 3 2 3 3 2 4 2" xfId="18762" xr:uid="{68E1CB1B-6A8F-4A90-8BCA-9CECBFCA68D7}"/>
    <cellStyle name="Normal 3 2 3 3 2 5" xfId="10237" xr:uid="{BF6EDB3E-3F35-4CAD-9B60-6F1D54AD452E}"/>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E7B1BBBD-6448-4402-B66B-A6457E61E9E8}"/>
    <cellStyle name="Normal 3 2 3 3 3 2 3" xfId="12795" xr:uid="{86200239-A7E8-4777-8C08-8E65EA62F62C}"/>
    <cellStyle name="Normal 3 2 3 3 3 3" xfId="5541" xr:uid="{00000000-0005-0000-0000-0000AF110000}"/>
    <cellStyle name="Normal 3 2 3 3 3 3 2" xfId="14867" xr:uid="{61C47E3B-0CB5-4D68-BBC1-664C43460486}"/>
    <cellStyle name="Normal 3 2 3 3 3 4" xfId="10650" xr:uid="{962945F8-35C6-4F27-98BB-F98D73FC7C3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FAA8DC3B-4732-4C08-A6DB-FC829D09C7C3}"/>
    <cellStyle name="Normal 3 2 3 3 4 2 3" xfId="13208" xr:uid="{7B9F7992-DC5A-4E7C-9E27-285A48B64A69}"/>
    <cellStyle name="Normal 3 2 3 3 4 3" xfId="5954" xr:uid="{00000000-0005-0000-0000-0000B3110000}"/>
    <cellStyle name="Normal 3 2 3 3 4 3 2" xfId="15280" xr:uid="{E03D71F3-F0F5-45E3-835F-830CF10A0B37}"/>
    <cellStyle name="Normal 3 2 3 3 4 4" xfId="11063" xr:uid="{65852A8A-9439-42F2-9BF1-E7FC088ADBC4}"/>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C033809A-118A-43EC-BE8D-722BD12D062D}"/>
    <cellStyle name="Normal 3 2 3 3 5 2 3" xfId="13621" xr:uid="{477E5615-EEB1-4EEE-97C9-F0CA01CA454D}"/>
    <cellStyle name="Normal 3 2 3 3 5 3" xfId="6367" xr:uid="{00000000-0005-0000-0000-0000B7110000}"/>
    <cellStyle name="Normal 3 2 3 3 5 3 2" xfId="15693" xr:uid="{4FB27154-1432-460F-8334-935CB2190FC4}"/>
    <cellStyle name="Normal 3 2 3 3 5 4" xfId="11476" xr:uid="{6FA4C429-213F-4BA3-819B-3FAD35436371}"/>
    <cellStyle name="Normal 3 2 3 3 6" xfId="2497" xr:uid="{00000000-0005-0000-0000-0000B8110000}"/>
    <cellStyle name="Normal 3 2 3 3 6 2" xfId="6780" xr:uid="{00000000-0005-0000-0000-0000B9110000}"/>
    <cellStyle name="Normal 3 2 3 3 6 2 2" xfId="16106" xr:uid="{385ACBA8-FEBC-4846-A512-D0F89EE3B8CB}"/>
    <cellStyle name="Normal 3 2 3 3 6 3" xfId="11889" xr:uid="{ED3A6FF2-1049-49C7-B7E2-FF3660192ACB}"/>
    <cellStyle name="Normal 3 2 3 3 7" xfId="4714" xr:uid="{00000000-0005-0000-0000-0000BA110000}"/>
    <cellStyle name="Normal 3 2 3 3 7 2" xfId="14040" xr:uid="{EB1AB11E-6A54-4947-AC88-EC428FD07D8F}"/>
    <cellStyle name="Normal 3 2 3 3 8" xfId="9024" xr:uid="{AE2F680F-18A3-47B5-ADCF-6BEAD71D50CE}"/>
    <cellStyle name="Normal 3 2 3 3 8 2" xfId="18347" xr:uid="{8FC8D4E7-D9BD-47FB-B272-900DAB653030}"/>
    <cellStyle name="Normal 3 2 3 3 9" xfId="9823" xr:uid="{B2A7E54B-5B17-43BF-9F2F-1BEC0609FC57}"/>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2CB87538-53CA-4866-85FD-D2F702298FBB}"/>
    <cellStyle name="Normal 3 2 3 4 2 3" xfId="12379" xr:uid="{B169DAAC-2048-4866-A3BF-16809E7AA721}"/>
    <cellStyle name="Normal 3 2 3 4 3" xfId="5125" xr:uid="{00000000-0005-0000-0000-0000BE110000}"/>
    <cellStyle name="Normal 3 2 3 4 3 2" xfId="14451" xr:uid="{97BF06FC-858B-4CA1-B26D-00983788590B}"/>
    <cellStyle name="Normal 3 2 3 4 4" xfId="9242" xr:uid="{05AEEDFF-7EEB-40DB-B13D-145C971A771B}"/>
    <cellStyle name="Normal 3 2 3 4 4 2" xfId="18555" xr:uid="{6ED5CA70-0EB2-4DCF-B627-028B624286F2}"/>
    <cellStyle name="Normal 3 2 3 4 5" xfId="10234" xr:uid="{D1DA5165-3D68-4726-B22D-826AF93D9516}"/>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E1B02AD8-A629-40B7-A98C-AB47FC7BA6E6}"/>
    <cellStyle name="Normal 3 2 3 5 2 3" xfId="12792" xr:uid="{1F13B323-DF86-45C4-9739-46E9B7356CA6}"/>
    <cellStyle name="Normal 3 2 3 5 3" xfId="5538" xr:uid="{00000000-0005-0000-0000-0000C2110000}"/>
    <cellStyle name="Normal 3 2 3 5 3 2" xfId="14864" xr:uid="{05AD18EC-3875-4941-8B84-B557CA1F6FD1}"/>
    <cellStyle name="Normal 3 2 3 5 4" xfId="10647" xr:uid="{D0CDC0CB-5B51-454E-B534-C4C8444AB643}"/>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0D36A970-8C11-4581-A72F-2BF369DC48DC}"/>
    <cellStyle name="Normal 3 2 3 6 2 3" xfId="13205" xr:uid="{6D470E29-E278-4FB9-9E56-7D063B84CEBE}"/>
    <cellStyle name="Normal 3 2 3 6 3" xfId="5951" xr:uid="{00000000-0005-0000-0000-0000C6110000}"/>
    <cellStyle name="Normal 3 2 3 6 3 2" xfId="15277" xr:uid="{0664BE24-0BE0-4F1A-BEEE-DA26AF997D6B}"/>
    <cellStyle name="Normal 3 2 3 6 4" xfId="11060" xr:uid="{8CB63A7E-982D-4F96-A2E7-759843165E27}"/>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B55F5C22-B026-4D9E-8873-4307DB9D3D8E}"/>
    <cellStyle name="Normal 3 2 3 7 2 3" xfId="13618" xr:uid="{0BD12F75-5FEB-4146-834F-176B37E5B2CB}"/>
    <cellStyle name="Normal 3 2 3 7 3" xfId="6364" xr:uid="{00000000-0005-0000-0000-0000CA110000}"/>
    <cellStyle name="Normal 3 2 3 7 3 2" xfId="15690" xr:uid="{66E04355-412C-40F9-BEAD-FA5FE3531174}"/>
    <cellStyle name="Normal 3 2 3 7 4" xfId="11473" xr:uid="{A51B0B5E-BA5C-4622-A2F9-B3848E40D74D}"/>
    <cellStyle name="Normal 3 2 3 8" xfId="2494" xr:uid="{00000000-0005-0000-0000-0000CB110000}"/>
    <cellStyle name="Normal 3 2 3 8 2" xfId="6777" xr:uid="{00000000-0005-0000-0000-0000CC110000}"/>
    <cellStyle name="Normal 3 2 3 8 2 2" xfId="16103" xr:uid="{659B2115-77A0-42B6-B8C6-9B8519150756}"/>
    <cellStyle name="Normal 3 2 3 8 3" xfId="11886" xr:uid="{E4D57E82-6D80-4EE8-B15B-D56D19540853}"/>
    <cellStyle name="Normal 3 2 3 9" xfId="4711" xr:uid="{00000000-0005-0000-0000-0000CD110000}"/>
    <cellStyle name="Normal 3 2 3 9 2" xfId="14037" xr:uid="{CA22984A-B858-4240-9792-0631F0AFBFEF}"/>
    <cellStyle name="Normal 3 2 4" xfId="809" xr:uid="{00000000-0005-0000-0000-0000CE110000}"/>
    <cellStyle name="Normal 3 2 4 2" xfId="3047" xr:uid="{00000000-0005-0000-0000-0000CF110000}"/>
    <cellStyle name="Normal 3 2 4 2 2" xfId="7269" xr:uid="{00000000-0005-0000-0000-0000D0110000}"/>
    <cellStyle name="Normal 3 2 4 2 2 2" xfId="16595" xr:uid="{9CEC2BFC-3E04-4395-A0B4-07F177A4AEF0}"/>
    <cellStyle name="Normal 3 2 4 2 3" xfId="12378" xr:uid="{8BBBE763-EE82-43B1-9FEF-E59BEBB6815B}"/>
    <cellStyle name="Normal 3 2 4 3" xfId="5124" xr:uid="{00000000-0005-0000-0000-0000D1110000}"/>
    <cellStyle name="Normal 3 2 4 3 2" xfId="14450" xr:uid="{0C17C64D-5280-45DD-B903-D53E653CE1B8}"/>
    <cellStyle name="Normal 3 2 4 4" xfId="9607" xr:uid="{7D769806-7069-4B8D-8CAC-B3B91BBA8D64}"/>
    <cellStyle name="Normal 3 2 4 4 2" xfId="18906" xr:uid="{D0F33A56-2B06-490C-BD83-51D3D3183AAE}"/>
    <cellStyle name="Normal 3 2 4 5" xfId="10233" xr:uid="{F691A0E9-E17D-486E-86DD-0A2FA6BBD052}"/>
    <cellStyle name="Normal 3 2 5" xfId="1230" xr:uid="{00000000-0005-0000-0000-0000D2110000}"/>
    <cellStyle name="Normal 3 2 5 2" xfId="3460" xr:uid="{00000000-0005-0000-0000-0000D3110000}"/>
    <cellStyle name="Normal 3 2 5 2 2" xfId="7682" xr:uid="{00000000-0005-0000-0000-0000D4110000}"/>
    <cellStyle name="Normal 3 2 5 2 2 2" xfId="17008" xr:uid="{57241F05-261C-4A33-9722-9B3F89FB99B7}"/>
    <cellStyle name="Normal 3 2 5 2 3" xfId="12791" xr:uid="{C9C23164-F36A-45EB-A2AE-01CFE090015D}"/>
    <cellStyle name="Normal 3 2 5 3" xfId="5537" xr:uid="{00000000-0005-0000-0000-0000D5110000}"/>
    <cellStyle name="Normal 3 2 5 3 2" xfId="14863" xr:uid="{4E44918D-C43F-4DBE-A9B1-BE99B91D233D}"/>
    <cellStyle name="Normal 3 2 5 4" xfId="10646" xr:uid="{859B1BDD-2F45-4FE3-A404-D9A7A99C743A}"/>
    <cellStyle name="Normal 3 2 6" xfId="1643" xr:uid="{00000000-0005-0000-0000-0000D6110000}"/>
    <cellStyle name="Normal 3 2 6 2" xfId="3873" xr:uid="{00000000-0005-0000-0000-0000D7110000}"/>
    <cellStyle name="Normal 3 2 6 2 2" xfId="8095" xr:uid="{00000000-0005-0000-0000-0000D8110000}"/>
    <cellStyle name="Normal 3 2 6 2 2 2" xfId="17421" xr:uid="{1AEE7E81-5C7F-4DCC-9FEB-63ADF73956C6}"/>
    <cellStyle name="Normal 3 2 6 2 3" xfId="13204" xr:uid="{B3D4CFBD-B436-4806-BD42-748241998EFA}"/>
    <cellStyle name="Normal 3 2 6 3" xfId="5950" xr:uid="{00000000-0005-0000-0000-0000D9110000}"/>
    <cellStyle name="Normal 3 2 6 3 2" xfId="15276" xr:uid="{5696F7E6-AD24-452E-A3E7-1DB485AA05D0}"/>
    <cellStyle name="Normal 3 2 6 4" xfId="11059" xr:uid="{E4DDA0F3-DDE5-48D7-8B6F-FC079FAC9354}"/>
    <cellStyle name="Normal 3 2 7" xfId="2057" xr:uid="{00000000-0005-0000-0000-0000DA110000}"/>
    <cellStyle name="Normal 3 2 7 2" xfId="4286" xr:uid="{00000000-0005-0000-0000-0000DB110000}"/>
    <cellStyle name="Normal 3 2 7 2 2" xfId="8508" xr:uid="{00000000-0005-0000-0000-0000DC110000}"/>
    <cellStyle name="Normal 3 2 7 2 2 2" xfId="17834" xr:uid="{B88A3BD1-9B17-4BF3-B201-9703C28AB157}"/>
    <cellStyle name="Normal 3 2 7 2 3" xfId="13617" xr:uid="{F1BBACEF-8535-4471-BCB6-772F8BD0D963}"/>
    <cellStyle name="Normal 3 2 7 3" xfId="6363" xr:uid="{00000000-0005-0000-0000-0000DD110000}"/>
    <cellStyle name="Normal 3 2 7 3 2" xfId="15689" xr:uid="{4186CB44-3E53-4FF2-AEAA-34D7D5A2E07D}"/>
    <cellStyle name="Normal 3 2 7 4" xfId="11472" xr:uid="{DA601C17-FC43-4975-A178-979F467EBACB}"/>
    <cellStyle name="Normal 3 2 8" xfId="2493" xr:uid="{00000000-0005-0000-0000-0000DE110000}"/>
    <cellStyle name="Normal 3 2 8 2" xfId="6776" xr:uid="{00000000-0005-0000-0000-0000DF110000}"/>
    <cellStyle name="Normal 3 2 8 2 2" xfId="16102" xr:uid="{46CD987D-6392-4D2F-A714-8826D7678B4B}"/>
    <cellStyle name="Normal 3 2 8 3" xfId="11885" xr:uid="{9D8DB7C1-E675-41FE-AE51-D7445C515052}"/>
    <cellStyle name="Normal 3 2 9" xfId="4710" xr:uid="{00000000-0005-0000-0000-0000E0110000}"/>
    <cellStyle name="Normal 3 2 9 2" xfId="14036" xr:uid="{D35B5613-9A9F-4F6F-AD7E-B432855B8F7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3" xr:uid="{06591272-2384-42BB-9AB8-A10D320A3B2D}"/>
    <cellStyle name="Normal 4 11" xfId="9824" xr:uid="{C9DDB28B-82A9-4BD6-B318-4A1083F29E53}"/>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3718F9DF-E79F-4A6E-BFAD-1D3839257197}"/>
    <cellStyle name="Normal 4 2 2 10 2 3" xfId="13622" xr:uid="{C2ACC764-A1E4-486A-A1D9-2423300E53F3}"/>
    <cellStyle name="Normal 4 2 2 10 3" xfId="6368" xr:uid="{00000000-0005-0000-0000-0000ED110000}"/>
    <cellStyle name="Normal 4 2 2 10 3 2" xfId="15694" xr:uid="{BF5C8ACB-9823-4166-B9AB-ED68739C0882}"/>
    <cellStyle name="Normal 4 2 2 10 4" xfId="11477" xr:uid="{D9E397BF-82C6-4F94-80A1-D49137783B46}"/>
    <cellStyle name="Normal 4 2 2 11" xfId="2498" xr:uid="{00000000-0005-0000-0000-0000EE110000}"/>
    <cellStyle name="Normal 4 2 2 11 2" xfId="6781" xr:uid="{00000000-0005-0000-0000-0000EF110000}"/>
    <cellStyle name="Normal 4 2 2 11 2 2" xfId="16107" xr:uid="{17A1118F-F3DB-4C8F-9320-D3BC224DCECE}"/>
    <cellStyle name="Normal 4 2 2 11 3" xfId="11890" xr:uid="{069BFDA1-E641-4198-89E8-EB530BAB3EFA}"/>
    <cellStyle name="Normal 4 2 2 12" xfId="4716" xr:uid="{00000000-0005-0000-0000-0000F0110000}"/>
    <cellStyle name="Normal 4 2 2 12 2" xfId="14042" xr:uid="{E79EC03B-CE88-48E8-B2A3-496E2F683AB2}"/>
    <cellStyle name="Normal 4 2 2 13" xfId="8752" xr:uid="{7B61EFAC-4165-4615-9A47-7AF5DAE027C9}"/>
    <cellStyle name="Normal 4 2 2 13 2" xfId="18075" xr:uid="{E525815C-7124-4A26-841D-8C6FDA8636D3}"/>
    <cellStyle name="Normal 4 2 2 14" xfId="9825" xr:uid="{5EC870CC-EEF5-4D59-8C52-7D9C94EF51D5}"/>
    <cellStyle name="Normal 4 2 2 2" xfId="338" xr:uid="{00000000-0005-0000-0000-0000F1110000}"/>
    <cellStyle name="Normal 4 2 2 3" xfId="339" xr:uid="{00000000-0005-0000-0000-0000F2110000}"/>
    <cellStyle name="Normal 4 2 2 3 10" xfId="4717" xr:uid="{00000000-0005-0000-0000-0000F3110000}"/>
    <cellStyle name="Normal 4 2 2 3 10 2" xfId="14043" xr:uid="{85E71DCF-D482-46BC-994C-AC27479A3037}"/>
    <cellStyle name="Normal 4 2 2 3 11" xfId="8784" xr:uid="{8AA3A883-811C-4C4A-AFFF-9AAED56BF228}"/>
    <cellStyle name="Normal 4 2 2 3 11 2" xfId="18107" xr:uid="{3D79BDFD-FF30-4903-8EA9-D1DEAF7DF3B0}"/>
    <cellStyle name="Normal 4 2 2 3 12" xfId="9826" xr:uid="{E6DE8DAA-9E2D-467D-BFB3-1441E5FB4C1D}"/>
    <cellStyle name="Normal 4 2 2 3 2" xfId="340" xr:uid="{00000000-0005-0000-0000-0000F4110000}"/>
    <cellStyle name="Normal 4 2 2 3 2 10" xfId="8819" xr:uid="{16629302-3759-4242-B07E-BB5D034B10E8}"/>
    <cellStyle name="Normal 4 2 2 3 2 10 2" xfId="18142" xr:uid="{A21115F1-E067-4189-A9B8-628044A33BE7}"/>
    <cellStyle name="Normal 4 2 2 3 2 11" xfId="9827" xr:uid="{C996277E-3E2A-4F27-A5A0-F0E8B859C998}"/>
    <cellStyle name="Normal 4 2 2 3 2 2" xfId="341" xr:uid="{00000000-0005-0000-0000-0000F5110000}"/>
    <cellStyle name="Normal 4 2 2 3 2 2 10" xfId="9828" xr:uid="{B592B8D5-FF97-4137-BE57-06A7CB5304DD}"/>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8319C392-D629-423F-BDBF-ED29176F7DF6}"/>
    <cellStyle name="Normal 4 2 2 3 2 2 2 2 2 3" xfId="12387" xr:uid="{D847A4FF-2857-47DA-AF6F-9AF8CEDF4E33}"/>
    <cellStyle name="Normal 4 2 2 3 2 2 2 2 3" xfId="5133" xr:uid="{00000000-0005-0000-0000-0000FA110000}"/>
    <cellStyle name="Normal 4 2 2 3 2 2 2 2 3 2" xfId="14459" xr:uid="{7D7137F8-1397-4801-B6D4-457E90AAD737}"/>
    <cellStyle name="Normal 4 2 2 3 2 2 2 2 4" xfId="9554" xr:uid="{BAC669EC-8948-4716-90C3-0688F03300CE}"/>
    <cellStyle name="Normal 4 2 2 3 2 2 2 2 4 2" xfId="18867" xr:uid="{D622A21F-68CA-4D98-A3BB-967FD1F63EE2}"/>
    <cellStyle name="Normal 4 2 2 3 2 2 2 2 5" xfId="10242" xr:uid="{37FA9211-CA40-4113-8FAA-590771997413}"/>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A8C4D1EB-427F-45E6-8AF5-8F2DCBC00593}"/>
    <cellStyle name="Normal 4 2 2 3 2 2 2 3 2 3" xfId="12800" xr:uid="{7BAA16CA-6074-4956-8008-2C5AE95E753D}"/>
    <cellStyle name="Normal 4 2 2 3 2 2 2 3 3" xfId="5546" xr:uid="{00000000-0005-0000-0000-0000FE110000}"/>
    <cellStyle name="Normal 4 2 2 3 2 2 2 3 3 2" xfId="14872" xr:uid="{17EA7536-7302-46BC-B3DE-EB4AA55A3BF8}"/>
    <cellStyle name="Normal 4 2 2 3 2 2 2 3 4" xfId="10655" xr:uid="{70DC5D7B-1904-4425-8898-BDF3F2E9B917}"/>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9BEDE857-5319-435F-BBE4-BCEBEE4CE3CA}"/>
    <cellStyle name="Normal 4 2 2 3 2 2 2 4 2 3" xfId="13213" xr:uid="{4D8F6173-4346-43E9-995B-6751881F7927}"/>
    <cellStyle name="Normal 4 2 2 3 2 2 2 4 3" xfId="5959" xr:uid="{00000000-0005-0000-0000-000002120000}"/>
    <cellStyle name="Normal 4 2 2 3 2 2 2 4 3 2" xfId="15285" xr:uid="{60CEEDA5-4881-4EE3-B7A3-2DDED9236CB4}"/>
    <cellStyle name="Normal 4 2 2 3 2 2 2 4 4" xfId="11068" xr:uid="{1805D405-15E5-4D19-87EB-F84C10F206ED}"/>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AFC4C811-F8C8-454D-A280-DBE88FAF5510}"/>
    <cellStyle name="Normal 4 2 2 3 2 2 2 5 2 3" xfId="13626" xr:uid="{E6CD5C5B-9D6C-4AB8-AED9-295D4E61ECD5}"/>
    <cellStyle name="Normal 4 2 2 3 2 2 2 5 3" xfId="6372" xr:uid="{00000000-0005-0000-0000-000006120000}"/>
    <cellStyle name="Normal 4 2 2 3 2 2 2 5 3 2" xfId="15698" xr:uid="{2564BE1F-D021-4A55-9ADB-6556C9D7A7FC}"/>
    <cellStyle name="Normal 4 2 2 3 2 2 2 5 4" xfId="11481" xr:uid="{F669003B-68AC-4493-B94E-A4B90E266C37}"/>
    <cellStyle name="Normal 4 2 2 3 2 2 2 6" xfId="2502" xr:uid="{00000000-0005-0000-0000-000007120000}"/>
    <cellStyle name="Normal 4 2 2 3 2 2 2 6 2" xfId="6785" xr:uid="{00000000-0005-0000-0000-000008120000}"/>
    <cellStyle name="Normal 4 2 2 3 2 2 2 6 2 2" xfId="16111" xr:uid="{C36BDBDF-C069-4284-A49C-4397239F2B85}"/>
    <cellStyle name="Normal 4 2 2 3 2 2 2 6 3" xfId="11894" xr:uid="{BC43A832-0075-4319-997C-1809690F956A}"/>
    <cellStyle name="Normal 4 2 2 3 2 2 2 7" xfId="4720" xr:uid="{00000000-0005-0000-0000-000009120000}"/>
    <cellStyle name="Normal 4 2 2 3 2 2 2 7 2" xfId="14046" xr:uid="{7D6722BB-6A4F-49EE-92D6-899F9117E197}"/>
    <cellStyle name="Normal 4 2 2 3 2 2 2 8" xfId="9129" xr:uid="{970F8072-C8D6-4D17-95D6-EBF431EAD262}"/>
    <cellStyle name="Normal 4 2 2 3 2 2 2 8 2" xfId="18452" xr:uid="{D0F04F8E-010B-4DAD-9D63-E02C7850A787}"/>
    <cellStyle name="Normal 4 2 2 3 2 2 2 9" xfId="9829" xr:uid="{CAC8B886-8095-4A87-8327-389231C24E57}"/>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B33DED39-AAC0-43E9-A801-5989A7367600}"/>
    <cellStyle name="Normal 4 2 2 3 2 2 3 2 3" xfId="12386" xr:uid="{5D55C362-5F52-4638-9E2F-D838927F5491}"/>
    <cellStyle name="Normal 4 2 2 3 2 2 3 3" xfId="5132" xr:uid="{00000000-0005-0000-0000-00000D120000}"/>
    <cellStyle name="Normal 4 2 2 3 2 2 3 3 2" xfId="14458" xr:uid="{9F329BA8-6B54-46F4-85A4-58FEFF35CDC0}"/>
    <cellStyle name="Normal 4 2 2 3 2 2 3 4" xfId="9347" xr:uid="{8C9012CB-19BB-4242-9F43-373358B13B52}"/>
    <cellStyle name="Normal 4 2 2 3 2 2 3 4 2" xfId="18660" xr:uid="{20861DD6-178C-4342-85B0-8FCA16CC8FED}"/>
    <cellStyle name="Normal 4 2 2 3 2 2 3 5" xfId="10241" xr:uid="{9C908290-9AF3-4FD7-A57C-817A9F2D0D6B}"/>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FB47625E-BEFC-456E-A2DF-1620BED1C848}"/>
    <cellStyle name="Normal 4 2 2 3 2 2 4 2 3" xfId="12799" xr:uid="{0AC7662D-A0E7-4F2D-98C2-0F80C80D36D5}"/>
    <cellStyle name="Normal 4 2 2 3 2 2 4 3" xfId="5545" xr:uid="{00000000-0005-0000-0000-000011120000}"/>
    <cellStyle name="Normal 4 2 2 3 2 2 4 3 2" xfId="14871" xr:uid="{6234A28E-DD57-49D1-8143-6A90DD48634D}"/>
    <cellStyle name="Normal 4 2 2 3 2 2 4 4" xfId="10654" xr:uid="{B945BF76-B684-49F1-BF88-6076008778A3}"/>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862960AA-44FA-438B-9858-4A2B78B3BD5C}"/>
    <cellStyle name="Normal 4 2 2 3 2 2 5 2 3" xfId="13212" xr:uid="{7D0E925D-26C0-4818-94BC-253A2FD7B380}"/>
    <cellStyle name="Normal 4 2 2 3 2 2 5 3" xfId="5958" xr:uid="{00000000-0005-0000-0000-000015120000}"/>
    <cellStyle name="Normal 4 2 2 3 2 2 5 3 2" xfId="15284" xr:uid="{3DB5AD3A-5866-4DD4-B450-5DCB5E78BBA9}"/>
    <cellStyle name="Normal 4 2 2 3 2 2 5 4" xfId="11067" xr:uid="{3FB81106-92EB-4562-85D0-D92B3D79EFD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53360D99-53EE-4DBD-A33D-F63AE60D0C51}"/>
    <cellStyle name="Normal 4 2 2 3 2 2 6 2 3" xfId="13625" xr:uid="{C16AEEE7-6519-412E-84F6-3012BEC9C24A}"/>
    <cellStyle name="Normal 4 2 2 3 2 2 6 3" xfId="6371" xr:uid="{00000000-0005-0000-0000-000019120000}"/>
    <cellStyle name="Normal 4 2 2 3 2 2 6 3 2" xfId="15697" xr:uid="{23B77031-3ECB-42D7-B5BA-BA6114134973}"/>
    <cellStyle name="Normal 4 2 2 3 2 2 6 4" xfId="11480" xr:uid="{5DA73543-7DEA-4F18-955E-30FB01024F68}"/>
    <cellStyle name="Normal 4 2 2 3 2 2 7" xfId="2501" xr:uid="{00000000-0005-0000-0000-00001A120000}"/>
    <cellStyle name="Normal 4 2 2 3 2 2 7 2" xfId="6784" xr:uid="{00000000-0005-0000-0000-00001B120000}"/>
    <cellStyle name="Normal 4 2 2 3 2 2 7 2 2" xfId="16110" xr:uid="{F883733B-5EFE-4EBC-B7F6-33841AE35A67}"/>
    <cellStyle name="Normal 4 2 2 3 2 2 7 3" xfId="11893" xr:uid="{CEA3F779-703E-492E-950C-1CD0AB4C24E2}"/>
    <cellStyle name="Normal 4 2 2 3 2 2 8" xfId="4719" xr:uid="{00000000-0005-0000-0000-00001C120000}"/>
    <cellStyle name="Normal 4 2 2 3 2 2 8 2" xfId="14045" xr:uid="{DC99F2E0-3E15-4039-A801-3B9F2A81BF33}"/>
    <cellStyle name="Normal 4 2 2 3 2 2 9" xfId="8922" xr:uid="{32C9E21B-8C85-4874-B28C-82BF39BA84E2}"/>
    <cellStyle name="Normal 4 2 2 3 2 2 9 2" xfId="18245" xr:uid="{0AE2BCBE-2DA1-40BA-AD03-762B6601CA6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1116CD66-2A85-454B-8006-73A278F788DC}"/>
    <cellStyle name="Normal 4 2 2 3 2 3 2 2 3" xfId="12388" xr:uid="{E384A0D7-4225-45CD-8580-D4CD05A347C4}"/>
    <cellStyle name="Normal 4 2 2 3 2 3 2 3" xfId="5134" xr:uid="{00000000-0005-0000-0000-000021120000}"/>
    <cellStyle name="Normal 4 2 2 3 2 3 2 3 2" xfId="14460" xr:uid="{E9FDC677-11F1-41BB-AA31-C213733020DF}"/>
    <cellStyle name="Normal 4 2 2 3 2 3 2 4" xfId="9451" xr:uid="{85AA9164-95F1-48F2-907A-54AD445D074F}"/>
    <cellStyle name="Normal 4 2 2 3 2 3 2 4 2" xfId="18764" xr:uid="{14630E7C-5F82-47C9-BF33-BA3FDD37ECE9}"/>
    <cellStyle name="Normal 4 2 2 3 2 3 2 5" xfId="10243" xr:uid="{D59D0FF6-C84A-4446-9B04-8A06972940AE}"/>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5A042F0B-F88C-4FE2-A257-220FD108E0C9}"/>
    <cellStyle name="Normal 4 2 2 3 2 3 3 2 3" xfId="12801" xr:uid="{33890287-7721-47BB-A530-121A66F59D9D}"/>
    <cellStyle name="Normal 4 2 2 3 2 3 3 3" xfId="5547" xr:uid="{00000000-0005-0000-0000-000025120000}"/>
    <cellStyle name="Normal 4 2 2 3 2 3 3 3 2" xfId="14873" xr:uid="{B7951C59-0CF4-43B6-A7CB-F34CA8361545}"/>
    <cellStyle name="Normal 4 2 2 3 2 3 3 4" xfId="10656" xr:uid="{FF9C9299-A1A0-4E92-8322-BA80D9DEAEF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DB47A548-C1C2-4D5D-9686-5FA8E8F21C72}"/>
    <cellStyle name="Normal 4 2 2 3 2 3 4 2 3" xfId="13214" xr:uid="{0FEA8602-BAF3-442E-A436-F086EB432F26}"/>
    <cellStyle name="Normal 4 2 2 3 2 3 4 3" xfId="5960" xr:uid="{00000000-0005-0000-0000-000029120000}"/>
    <cellStyle name="Normal 4 2 2 3 2 3 4 3 2" xfId="15286" xr:uid="{025B4A48-2F00-4D92-990B-B8BE2D5607FB}"/>
    <cellStyle name="Normal 4 2 2 3 2 3 4 4" xfId="11069" xr:uid="{FE50CE47-6842-4481-8C19-A1EF9C4AB222}"/>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1AA2DBFA-BE64-4D61-BC8B-A3664FDDCBE1}"/>
    <cellStyle name="Normal 4 2 2 3 2 3 5 2 3" xfId="13627" xr:uid="{47AAAD03-3ABC-4044-90CB-B010EC6B030C}"/>
    <cellStyle name="Normal 4 2 2 3 2 3 5 3" xfId="6373" xr:uid="{00000000-0005-0000-0000-00002D120000}"/>
    <cellStyle name="Normal 4 2 2 3 2 3 5 3 2" xfId="15699" xr:uid="{0C126686-61A1-4CFD-B192-B6D4A90C478A}"/>
    <cellStyle name="Normal 4 2 2 3 2 3 5 4" xfId="11482" xr:uid="{258CD172-BF26-4DF7-AC41-083732B3E242}"/>
    <cellStyle name="Normal 4 2 2 3 2 3 6" xfId="2503" xr:uid="{00000000-0005-0000-0000-00002E120000}"/>
    <cellStyle name="Normal 4 2 2 3 2 3 6 2" xfId="6786" xr:uid="{00000000-0005-0000-0000-00002F120000}"/>
    <cellStyle name="Normal 4 2 2 3 2 3 6 2 2" xfId="16112" xr:uid="{28D72B5B-068E-4866-B102-42F5F3D50FB5}"/>
    <cellStyle name="Normal 4 2 2 3 2 3 6 3" xfId="11895" xr:uid="{7D1328CD-4153-421C-8E2C-7CF932222B1E}"/>
    <cellStyle name="Normal 4 2 2 3 2 3 7" xfId="4721" xr:uid="{00000000-0005-0000-0000-000030120000}"/>
    <cellStyle name="Normal 4 2 2 3 2 3 7 2" xfId="14047" xr:uid="{386DE012-21EB-4EF4-9FC4-0E2884FF26EE}"/>
    <cellStyle name="Normal 4 2 2 3 2 3 8" xfId="9026" xr:uid="{319D63D3-F71C-4F99-9FD1-E3D0665567E8}"/>
    <cellStyle name="Normal 4 2 2 3 2 3 8 2" xfId="18349" xr:uid="{BEE55442-3618-44C5-ACED-49FCA782E72D}"/>
    <cellStyle name="Normal 4 2 2 3 2 3 9" xfId="9830" xr:uid="{51DF881B-FF46-4A09-A079-5FF7C224ED5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E4EC784F-49F2-4013-B984-282F84ABD4D9}"/>
    <cellStyle name="Normal 4 2 2 3 2 4 2 3" xfId="12385" xr:uid="{9597CF2F-5B98-4871-8557-6A1B1FA317E0}"/>
    <cellStyle name="Normal 4 2 2 3 2 4 3" xfId="5131" xr:uid="{00000000-0005-0000-0000-000034120000}"/>
    <cellStyle name="Normal 4 2 2 3 2 4 3 2" xfId="14457" xr:uid="{C6839038-A1F5-408D-8482-1EF93508B893}"/>
    <cellStyle name="Normal 4 2 2 3 2 4 4" xfId="9244" xr:uid="{98623F27-324A-40DE-AA2B-56E1FCE087EE}"/>
    <cellStyle name="Normal 4 2 2 3 2 4 4 2" xfId="18557" xr:uid="{C389A6A6-9161-4BEA-90DD-F1F7D52C9B8E}"/>
    <cellStyle name="Normal 4 2 2 3 2 4 5" xfId="10240" xr:uid="{32B57257-703B-416C-839A-7CFB3353D1E5}"/>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A8BB7B9E-DFE9-4A5A-B21C-73E03A239184}"/>
    <cellStyle name="Normal 4 2 2 3 2 5 2 3" xfId="12798" xr:uid="{C42DC698-0185-40A2-8817-DDBA27CCF3BC}"/>
    <cellStyle name="Normal 4 2 2 3 2 5 3" xfId="5544" xr:uid="{00000000-0005-0000-0000-000038120000}"/>
    <cellStyle name="Normal 4 2 2 3 2 5 3 2" xfId="14870" xr:uid="{5B616EEB-AF44-44AC-9603-6CC775B0A33F}"/>
    <cellStyle name="Normal 4 2 2 3 2 5 4" xfId="10653" xr:uid="{2CF507C2-33BA-4BEB-B7A9-80BADD671163}"/>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A6C7FBD2-D7ED-474E-BE88-239EF8EE1A78}"/>
    <cellStyle name="Normal 4 2 2 3 2 6 2 3" xfId="13211" xr:uid="{B2C2B1A5-6327-4713-9F6F-A19D8120BD76}"/>
    <cellStyle name="Normal 4 2 2 3 2 6 3" xfId="5957" xr:uid="{00000000-0005-0000-0000-00003C120000}"/>
    <cellStyle name="Normal 4 2 2 3 2 6 3 2" xfId="15283" xr:uid="{FCA11C55-39F9-4B4C-B4C2-1A3FF8697ECA}"/>
    <cellStyle name="Normal 4 2 2 3 2 6 4" xfId="11066" xr:uid="{8EF6A7B2-07C7-49BC-8239-D67F6D0720AD}"/>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ECA821B3-E50C-4EC0-8671-1F1EBD64F5B3}"/>
    <cellStyle name="Normal 4 2 2 3 2 7 2 3" xfId="13624" xr:uid="{9D3FCD7C-7F44-4BE1-98F0-35414C86A6E1}"/>
    <cellStyle name="Normal 4 2 2 3 2 7 3" xfId="6370" xr:uid="{00000000-0005-0000-0000-000040120000}"/>
    <cellStyle name="Normal 4 2 2 3 2 7 3 2" xfId="15696" xr:uid="{AAEB343C-E910-4FE9-86F0-61E630990D90}"/>
    <cellStyle name="Normal 4 2 2 3 2 7 4" xfId="11479" xr:uid="{947A76E9-94B7-4888-B293-1463CA2D9DED}"/>
    <cellStyle name="Normal 4 2 2 3 2 8" xfId="2500" xr:uid="{00000000-0005-0000-0000-000041120000}"/>
    <cellStyle name="Normal 4 2 2 3 2 8 2" xfId="6783" xr:uid="{00000000-0005-0000-0000-000042120000}"/>
    <cellStyle name="Normal 4 2 2 3 2 8 2 2" xfId="16109" xr:uid="{239FBB94-6392-4C89-95B2-763F24A42B1E}"/>
    <cellStyle name="Normal 4 2 2 3 2 8 3" xfId="11892" xr:uid="{4D3BCF45-689F-454A-B601-BD735984CADA}"/>
    <cellStyle name="Normal 4 2 2 3 2 9" xfId="4718" xr:uid="{00000000-0005-0000-0000-000043120000}"/>
    <cellStyle name="Normal 4 2 2 3 2 9 2" xfId="14044" xr:uid="{FFF4582B-C600-447F-9D09-8A53FD06C925}"/>
    <cellStyle name="Normal 4 2 2 3 3" xfId="344" xr:uid="{00000000-0005-0000-0000-000044120000}"/>
    <cellStyle name="Normal 4 2 2 3 3 10" xfId="9831" xr:uid="{8B4482E3-2D48-439C-86DC-BE68E6E4B8CE}"/>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4D781D50-3E4F-4516-BFEB-DDC67A6833FA}"/>
    <cellStyle name="Normal 4 2 2 3 3 2 2 2 3" xfId="12390" xr:uid="{454ACA8B-2EA8-4529-8C45-AB53708CCDF1}"/>
    <cellStyle name="Normal 4 2 2 3 3 2 2 3" xfId="5136" xr:uid="{00000000-0005-0000-0000-000049120000}"/>
    <cellStyle name="Normal 4 2 2 3 3 2 2 3 2" xfId="14462" xr:uid="{50448CB9-3EB7-415F-8C2E-8A45B3DD44DC}"/>
    <cellStyle name="Normal 4 2 2 3 3 2 2 4" xfId="9519" xr:uid="{FB4BBD6E-D73B-4ABD-8656-6C15D7932E02}"/>
    <cellStyle name="Normal 4 2 2 3 3 2 2 4 2" xfId="18832" xr:uid="{7E600CE5-915D-48F4-8DE7-B0BBD3F2CEC4}"/>
    <cellStyle name="Normal 4 2 2 3 3 2 2 5" xfId="10245" xr:uid="{5D6B45BE-04CB-44FB-8E13-9E4B6190D43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108D719E-1CED-47D3-A96D-91B18F4C3DC7}"/>
    <cellStyle name="Normal 4 2 2 3 3 2 3 2 3" xfId="12803" xr:uid="{6D62A805-DD1D-4A5E-A205-490931C7DB1F}"/>
    <cellStyle name="Normal 4 2 2 3 3 2 3 3" xfId="5549" xr:uid="{00000000-0005-0000-0000-00004D120000}"/>
    <cellStyle name="Normal 4 2 2 3 3 2 3 3 2" xfId="14875" xr:uid="{892FEFF5-4CCA-45FA-8393-8679110C1DB7}"/>
    <cellStyle name="Normal 4 2 2 3 3 2 3 4" xfId="10658" xr:uid="{2AC3FEBC-C218-48FB-BD37-1979449D41A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72F1D015-486E-4AF1-86D5-66C44F1C0DF2}"/>
    <cellStyle name="Normal 4 2 2 3 3 2 4 2 3" xfId="13216" xr:uid="{10E82A03-5BA3-43F3-90C4-8ACD6113B03C}"/>
    <cellStyle name="Normal 4 2 2 3 3 2 4 3" xfId="5962" xr:uid="{00000000-0005-0000-0000-000051120000}"/>
    <cellStyle name="Normal 4 2 2 3 3 2 4 3 2" xfId="15288" xr:uid="{80AB4FE2-7F90-457C-BDD3-09833CCD5E7A}"/>
    <cellStyle name="Normal 4 2 2 3 3 2 4 4" xfId="11071" xr:uid="{88270BF9-3258-4C5D-BE90-14B46223CD11}"/>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EA9CAB0D-E23B-4B0C-85B8-79FE0B58B8B0}"/>
    <cellStyle name="Normal 4 2 2 3 3 2 5 2 3" xfId="13629" xr:uid="{85780804-3C5D-4844-AA20-7F7C4B0B36AB}"/>
    <cellStyle name="Normal 4 2 2 3 3 2 5 3" xfId="6375" xr:uid="{00000000-0005-0000-0000-000055120000}"/>
    <cellStyle name="Normal 4 2 2 3 3 2 5 3 2" xfId="15701" xr:uid="{400ADDAB-1ACA-42D9-A130-717066210ED6}"/>
    <cellStyle name="Normal 4 2 2 3 3 2 5 4" xfId="11484" xr:uid="{3C76786D-9D50-4B59-A688-BE4EB707E58F}"/>
    <cellStyle name="Normal 4 2 2 3 3 2 6" xfId="2505" xr:uid="{00000000-0005-0000-0000-000056120000}"/>
    <cellStyle name="Normal 4 2 2 3 3 2 6 2" xfId="6788" xr:uid="{00000000-0005-0000-0000-000057120000}"/>
    <cellStyle name="Normal 4 2 2 3 3 2 6 2 2" xfId="16114" xr:uid="{B74ABBA9-6889-42CE-A337-C178AF509AAB}"/>
    <cellStyle name="Normal 4 2 2 3 3 2 6 3" xfId="11897" xr:uid="{6B999F2D-41A0-450E-9236-D393E3C3BF78}"/>
    <cellStyle name="Normal 4 2 2 3 3 2 7" xfId="4723" xr:uid="{00000000-0005-0000-0000-000058120000}"/>
    <cellStyle name="Normal 4 2 2 3 3 2 7 2" xfId="14049" xr:uid="{4776ADEA-94A3-436C-8E95-7378AFD43DB8}"/>
    <cellStyle name="Normal 4 2 2 3 3 2 8" xfId="9094" xr:uid="{1333D468-E252-4686-88C1-38A56B910A8E}"/>
    <cellStyle name="Normal 4 2 2 3 3 2 8 2" xfId="18417" xr:uid="{7CFF9E65-2A23-4DDA-8026-A7A60F7CC526}"/>
    <cellStyle name="Normal 4 2 2 3 3 2 9" xfId="9832" xr:uid="{9DEAD38E-BAE9-4987-B708-AB245C1E5D19}"/>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5793A957-8A9E-4637-9BF3-FE8AB732EE6B}"/>
    <cellStyle name="Normal 4 2 2 3 3 3 2 3" xfId="12389" xr:uid="{088D9BE4-36BB-4D61-996E-FFE87E11FD4C}"/>
    <cellStyle name="Normal 4 2 2 3 3 3 3" xfId="5135" xr:uid="{00000000-0005-0000-0000-00005C120000}"/>
    <cellStyle name="Normal 4 2 2 3 3 3 3 2" xfId="14461" xr:uid="{12FB70A8-B986-4093-A289-5C9B4BBE6611}"/>
    <cellStyle name="Normal 4 2 2 3 3 3 4" xfId="9312" xr:uid="{0065946C-778C-4913-8F8B-68BBB1A30769}"/>
    <cellStyle name="Normal 4 2 2 3 3 3 4 2" xfId="18625" xr:uid="{0D4CC780-5E9F-4A84-8086-02710503B846}"/>
    <cellStyle name="Normal 4 2 2 3 3 3 5" xfId="10244" xr:uid="{F2804328-E8FA-456E-9058-7B38B60DB54B}"/>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576F7127-4148-4359-95F8-81E27C676587}"/>
    <cellStyle name="Normal 4 2 2 3 3 4 2 3" xfId="12802" xr:uid="{D6B5BC7A-E2B9-4F92-849B-2E3682800AF4}"/>
    <cellStyle name="Normal 4 2 2 3 3 4 3" xfId="5548" xr:uid="{00000000-0005-0000-0000-000060120000}"/>
    <cellStyle name="Normal 4 2 2 3 3 4 3 2" xfId="14874" xr:uid="{9B036579-21D9-40E1-A7E9-28CFC2551D84}"/>
    <cellStyle name="Normal 4 2 2 3 3 4 4" xfId="10657" xr:uid="{80EF9CB0-5371-489D-A0C3-F98F2127A358}"/>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B6EE8473-137E-4D8F-9F6D-699A2F80014E}"/>
    <cellStyle name="Normal 4 2 2 3 3 5 2 3" xfId="13215" xr:uid="{5A25BFEE-4AC5-4446-831F-48B17605756D}"/>
    <cellStyle name="Normal 4 2 2 3 3 5 3" xfId="5961" xr:uid="{00000000-0005-0000-0000-000064120000}"/>
    <cellStyle name="Normal 4 2 2 3 3 5 3 2" xfId="15287" xr:uid="{191B6488-5BF5-4413-89F2-85AE51B1BE3E}"/>
    <cellStyle name="Normal 4 2 2 3 3 5 4" xfId="11070" xr:uid="{5056FF7B-F547-407A-91C8-9A4505E5722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C525F199-7D1D-4C3C-BC93-A24DAEECC7B1}"/>
    <cellStyle name="Normal 4 2 2 3 3 6 2 3" xfId="13628" xr:uid="{8F3BE594-A03A-4A89-BC1A-DEF09A77A941}"/>
    <cellStyle name="Normal 4 2 2 3 3 6 3" xfId="6374" xr:uid="{00000000-0005-0000-0000-000068120000}"/>
    <cellStyle name="Normal 4 2 2 3 3 6 3 2" xfId="15700" xr:uid="{5A9EF4DB-25A0-4220-AD90-502C3BD71E02}"/>
    <cellStyle name="Normal 4 2 2 3 3 6 4" xfId="11483" xr:uid="{20EA0313-E8D3-4FA7-BB7F-4BE70CA10D2B}"/>
    <cellStyle name="Normal 4 2 2 3 3 7" xfId="2504" xr:uid="{00000000-0005-0000-0000-000069120000}"/>
    <cellStyle name="Normal 4 2 2 3 3 7 2" xfId="6787" xr:uid="{00000000-0005-0000-0000-00006A120000}"/>
    <cellStyle name="Normal 4 2 2 3 3 7 2 2" xfId="16113" xr:uid="{92BC68F9-5C6F-474E-818E-5DC8E3E4E252}"/>
    <cellStyle name="Normal 4 2 2 3 3 7 3" xfId="11896" xr:uid="{5BF5A3BA-1C64-4E1C-A50A-5797BEDEC09D}"/>
    <cellStyle name="Normal 4 2 2 3 3 8" xfId="4722" xr:uid="{00000000-0005-0000-0000-00006B120000}"/>
    <cellStyle name="Normal 4 2 2 3 3 8 2" xfId="14048" xr:uid="{B63FB4A7-2994-4BF5-918B-CD8CCBBE51AE}"/>
    <cellStyle name="Normal 4 2 2 3 3 9" xfId="8887" xr:uid="{FD79599D-FD4F-44F4-A7A6-B948A2C15DD2}"/>
    <cellStyle name="Normal 4 2 2 3 3 9 2" xfId="18210" xr:uid="{CCBB1B74-5B38-444E-B986-222459F102A6}"/>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DFC1298D-220B-4C93-9C76-FBB641F4C7B1}"/>
    <cellStyle name="Normal 4 2 2 3 4 2 2 3" xfId="12391" xr:uid="{0EDD85C7-3F14-4FE2-A7AC-12FA07E0AC12}"/>
    <cellStyle name="Normal 4 2 2 3 4 2 3" xfId="5137" xr:uid="{00000000-0005-0000-0000-000070120000}"/>
    <cellStyle name="Normal 4 2 2 3 4 2 3 2" xfId="14463" xr:uid="{F78DB79D-8593-461A-B456-54A0B951E9BA}"/>
    <cellStyle name="Normal 4 2 2 3 4 2 4" xfId="9416" xr:uid="{B0F1A5CD-0EDE-48A7-9669-6902681F696C}"/>
    <cellStyle name="Normal 4 2 2 3 4 2 4 2" xfId="18729" xr:uid="{CF34B5D0-CD0D-4E9E-B8A6-EA535FCF841E}"/>
    <cellStyle name="Normal 4 2 2 3 4 2 5" xfId="10246" xr:uid="{0894066B-0336-4A36-9543-3EE1F9A3E096}"/>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CDE490F6-6D03-4253-9410-92DF77706555}"/>
    <cellStyle name="Normal 4 2 2 3 4 3 2 3" xfId="12804" xr:uid="{63829060-9DAB-4816-AFCA-37C84C1EA9B6}"/>
    <cellStyle name="Normal 4 2 2 3 4 3 3" xfId="5550" xr:uid="{00000000-0005-0000-0000-000074120000}"/>
    <cellStyle name="Normal 4 2 2 3 4 3 3 2" xfId="14876" xr:uid="{3EA560DF-4E1C-455C-B68F-ED9A00ABB36D}"/>
    <cellStyle name="Normal 4 2 2 3 4 3 4" xfId="10659" xr:uid="{F5617670-CCE4-49DB-9CB1-7305AA14D713}"/>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0F5EEA60-1F29-4D70-9EF8-7C8370DA817F}"/>
    <cellStyle name="Normal 4 2 2 3 4 4 2 3" xfId="13217" xr:uid="{B186930A-7E44-42C6-BB73-D94F6C674B15}"/>
    <cellStyle name="Normal 4 2 2 3 4 4 3" xfId="5963" xr:uid="{00000000-0005-0000-0000-000078120000}"/>
    <cellStyle name="Normal 4 2 2 3 4 4 3 2" xfId="15289" xr:uid="{BADACE8E-3F33-4893-BD2C-AED33CC3CD72}"/>
    <cellStyle name="Normal 4 2 2 3 4 4 4" xfId="11072" xr:uid="{60B453E5-3816-4193-A2EA-B6E8C7CE0B7E}"/>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3000A2F6-2864-4E49-BDBB-C3472F84FED0}"/>
    <cellStyle name="Normal 4 2 2 3 4 5 2 3" xfId="13630" xr:uid="{345709CE-E1CB-4212-8C56-B1FDD6E181B5}"/>
    <cellStyle name="Normal 4 2 2 3 4 5 3" xfId="6376" xr:uid="{00000000-0005-0000-0000-00007C120000}"/>
    <cellStyle name="Normal 4 2 2 3 4 5 3 2" xfId="15702" xr:uid="{CE3BAB78-4C46-4062-AE33-85099339C2CF}"/>
    <cellStyle name="Normal 4 2 2 3 4 5 4" xfId="11485" xr:uid="{A9D83C45-B150-4F7E-9296-5CCA67F76C98}"/>
    <cellStyle name="Normal 4 2 2 3 4 6" xfId="2506" xr:uid="{00000000-0005-0000-0000-00007D120000}"/>
    <cellStyle name="Normal 4 2 2 3 4 6 2" xfId="6789" xr:uid="{00000000-0005-0000-0000-00007E120000}"/>
    <cellStyle name="Normal 4 2 2 3 4 6 2 2" xfId="16115" xr:uid="{6B4AE2E8-67D1-41FB-9F40-FF92693E1219}"/>
    <cellStyle name="Normal 4 2 2 3 4 6 3" xfId="11898" xr:uid="{BFC3A502-E156-4464-AA4F-E46ECF3BF3E9}"/>
    <cellStyle name="Normal 4 2 2 3 4 7" xfId="4724" xr:uid="{00000000-0005-0000-0000-00007F120000}"/>
    <cellStyle name="Normal 4 2 2 3 4 7 2" xfId="14050" xr:uid="{A54BF673-3F7D-403E-AB1A-97EAB3F3D527}"/>
    <cellStyle name="Normal 4 2 2 3 4 8" xfId="8991" xr:uid="{84464EC3-90C2-4B18-8399-135C935528F7}"/>
    <cellStyle name="Normal 4 2 2 3 4 8 2" xfId="18314" xr:uid="{8AFFBBA4-0818-455A-9C0C-69F249B48A86}"/>
    <cellStyle name="Normal 4 2 2 3 4 9" xfId="9833" xr:uid="{0D23D591-C718-478C-AA09-97964FA8237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81E3B9E7-430C-4DF2-AF3F-7172113F98A7}"/>
    <cellStyle name="Normal 4 2 2 3 5 2 3" xfId="12384" xr:uid="{576D2B2A-11BD-49C4-B05D-48D03D2087AB}"/>
    <cellStyle name="Normal 4 2 2 3 5 3" xfId="5130" xr:uid="{00000000-0005-0000-0000-000083120000}"/>
    <cellStyle name="Normal 4 2 2 3 5 3 2" xfId="14456" xr:uid="{26B22780-943D-4D3F-9206-80C965FE9CD0}"/>
    <cellStyle name="Normal 4 2 2 3 5 4" xfId="9208" xr:uid="{7BF9CD11-B90D-42F2-928D-A8BE344C6F46}"/>
    <cellStyle name="Normal 4 2 2 3 5 4 2" xfId="18522" xr:uid="{0EE58FF0-907F-4632-BF43-1EFE90BA81C4}"/>
    <cellStyle name="Normal 4 2 2 3 5 5" xfId="10239" xr:uid="{D9D5F971-24CC-4D7D-8443-C6ACC0B3EB3A}"/>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0DED3140-FB97-45AD-8886-05E91D59776A}"/>
    <cellStyle name="Normal 4 2 2 3 6 2 3" xfId="12797" xr:uid="{6B1AC57E-15EA-47B5-A2D1-EEAC976587AD}"/>
    <cellStyle name="Normal 4 2 2 3 6 3" xfId="5543" xr:uid="{00000000-0005-0000-0000-000087120000}"/>
    <cellStyle name="Normal 4 2 2 3 6 3 2" xfId="14869" xr:uid="{A925130D-91DE-44DF-B2FA-4BAC5C2CD2DC}"/>
    <cellStyle name="Normal 4 2 2 3 6 4" xfId="10652" xr:uid="{3419B14A-0FF9-4FF9-BBF7-CCA6246DF3EA}"/>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3C3F8760-77EC-41CE-9594-539255B3238D}"/>
    <cellStyle name="Normal 4 2 2 3 7 2 3" xfId="13210" xr:uid="{54ED9E92-6320-4202-86D0-A70C3A54CC37}"/>
    <cellStyle name="Normal 4 2 2 3 7 3" xfId="5956" xr:uid="{00000000-0005-0000-0000-00008B120000}"/>
    <cellStyle name="Normal 4 2 2 3 7 3 2" xfId="15282" xr:uid="{A4C01862-1327-4D19-B4AF-B0D66C87F1F3}"/>
    <cellStyle name="Normal 4 2 2 3 7 4" xfId="11065" xr:uid="{8726BF4D-E991-45FF-9538-BDCABAA6A47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5A494A1E-BD78-4D94-9F7F-0670D8CEF721}"/>
    <cellStyle name="Normal 4 2 2 3 8 2 3" xfId="13623" xr:uid="{05C21A84-4DB7-458A-A94C-97B2C623E0AD}"/>
    <cellStyle name="Normal 4 2 2 3 8 3" xfId="6369" xr:uid="{00000000-0005-0000-0000-00008F120000}"/>
    <cellStyle name="Normal 4 2 2 3 8 3 2" xfId="15695" xr:uid="{185FC09F-7C4E-4280-A1E3-2EEB3ECD91B9}"/>
    <cellStyle name="Normal 4 2 2 3 8 4" xfId="11478" xr:uid="{D74568B4-C39D-43A0-A972-DFBF6B461D78}"/>
    <cellStyle name="Normal 4 2 2 3 9" xfId="2499" xr:uid="{00000000-0005-0000-0000-000090120000}"/>
    <cellStyle name="Normal 4 2 2 3 9 2" xfId="6782" xr:uid="{00000000-0005-0000-0000-000091120000}"/>
    <cellStyle name="Normal 4 2 2 3 9 2 2" xfId="16108" xr:uid="{E890C54C-7BC7-4DA0-85D2-C6462BD69D2F}"/>
    <cellStyle name="Normal 4 2 2 3 9 3" xfId="11891" xr:uid="{6A447965-E58D-48D0-A3C6-467C4E00D91C}"/>
    <cellStyle name="Normal 4 2 2 4" xfId="347" xr:uid="{00000000-0005-0000-0000-000092120000}"/>
    <cellStyle name="Normal 4 2 2 4 10" xfId="8818" xr:uid="{A73977A7-52C6-4368-9F59-166E1B99BBDE}"/>
    <cellStyle name="Normal 4 2 2 4 10 2" xfId="18141" xr:uid="{71CB72EB-404A-4F83-A0E8-DFD5675286EA}"/>
    <cellStyle name="Normal 4 2 2 4 11" xfId="9834" xr:uid="{6E534F8C-5067-42D4-B349-628B4A9C1C07}"/>
    <cellStyle name="Normal 4 2 2 4 2" xfId="348" xr:uid="{00000000-0005-0000-0000-000093120000}"/>
    <cellStyle name="Normal 4 2 2 4 2 10" xfId="9835" xr:uid="{0DF0A340-EEDB-40E6-A3EF-E7FAB6AE00C5}"/>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9A5852BC-F55E-4F54-B417-D81E83EB3057}"/>
    <cellStyle name="Normal 4 2 2 4 2 2 2 2 3" xfId="12394" xr:uid="{D6096B30-6492-403C-A728-8AEA3AEA31C9}"/>
    <cellStyle name="Normal 4 2 2 4 2 2 2 3" xfId="5140" xr:uid="{00000000-0005-0000-0000-000098120000}"/>
    <cellStyle name="Normal 4 2 2 4 2 2 2 3 2" xfId="14466" xr:uid="{A7696490-C174-4361-9B6A-25D4D8B8BEFB}"/>
    <cellStyle name="Normal 4 2 2 4 2 2 2 4" xfId="9553" xr:uid="{7FCAF883-2374-4470-BA95-AD8EB054639C}"/>
    <cellStyle name="Normal 4 2 2 4 2 2 2 4 2" xfId="18866" xr:uid="{FD12A515-F573-48B3-8922-E885DD984F78}"/>
    <cellStyle name="Normal 4 2 2 4 2 2 2 5" xfId="10249" xr:uid="{F1FCCE56-EABF-4B2F-A8A2-65F386F0C6A6}"/>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CCD6EBC1-3A76-449B-99D6-513BA48C93B3}"/>
    <cellStyle name="Normal 4 2 2 4 2 2 3 2 3" xfId="12807" xr:uid="{EE6E09AD-90F0-481B-9B3A-656E7AEFE940}"/>
    <cellStyle name="Normal 4 2 2 4 2 2 3 3" xfId="5553" xr:uid="{00000000-0005-0000-0000-00009C120000}"/>
    <cellStyle name="Normal 4 2 2 4 2 2 3 3 2" xfId="14879" xr:uid="{1E5B1D54-1360-4317-B17A-8AAA63D3B9FA}"/>
    <cellStyle name="Normal 4 2 2 4 2 2 3 4" xfId="10662" xr:uid="{E79DF4C6-B4AB-4C99-BF91-C672F26AF40C}"/>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35043CCB-2267-4F36-91E4-EDDED80A4739}"/>
    <cellStyle name="Normal 4 2 2 4 2 2 4 2 3" xfId="13220" xr:uid="{7C699779-2E22-45DD-AF95-778C6A7A58C9}"/>
    <cellStyle name="Normal 4 2 2 4 2 2 4 3" xfId="5966" xr:uid="{00000000-0005-0000-0000-0000A0120000}"/>
    <cellStyle name="Normal 4 2 2 4 2 2 4 3 2" xfId="15292" xr:uid="{DAFDC5DD-FD28-408C-92B9-CFF078269964}"/>
    <cellStyle name="Normal 4 2 2 4 2 2 4 4" xfId="11075" xr:uid="{276D2611-1CE7-46ED-BB86-DC68A6AF61D3}"/>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C7852A4A-2BE3-4709-A4E8-0395AEC0822A}"/>
    <cellStyle name="Normal 4 2 2 4 2 2 5 2 3" xfId="13633" xr:uid="{824FC633-14D9-40EC-8874-CDE86F4FC32C}"/>
    <cellStyle name="Normal 4 2 2 4 2 2 5 3" xfId="6379" xr:uid="{00000000-0005-0000-0000-0000A4120000}"/>
    <cellStyle name="Normal 4 2 2 4 2 2 5 3 2" xfId="15705" xr:uid="{BA8C8090-61AA-4972-A6C7-908693A3618B}"/>
    <cellStyle name="Normal 4 2 2 4 2 2 5 4" xfId="11488" xr:uid="{0E564242-BFB4-4A26-A09B-19BD5272F745}"/>
    <cellStyle name="Normal 4 2 2 4 2 2 6" xfId="2509" xr:uid="{00000000-0005-0000-0000-0000A5120000}"/>
    <cellStyle name="Normal 4 2 2 4 2 2 6 2" xfId="6792" xr:uid="{00000000-0005-0000-0000-0000A6120000}"/>
    <cellStyle name="Normal 4 2 2 4 2 2 6 2 2" xfId="16118" xr:uid="{B02D76D5-CE54-4AE9-970C-4E36332437B6}"/>
    <cellStyle name="Normal 4 2 2 4 2 2 6 3" xfId="11901" xr:uid="{6EA98C36-1F29-4EFD-BBE3-5B80A6604611}"/>
    <cellStyle name="Normal 4 2 2 4 2 2 7" xfId="4727" xr:uid="{00000000-0005-0000-0000-0000A7120000}"/>
    <cellStyle name="Normal 4 2 2 4 2 2 7 2" xfId="14053" xr:uid="{38234006-1633-4CDC-8B27-D6640B4FF911}"/>
    <cellStyle name="Normal 4 2 2 4 2 2 8" xfId="9128" xr:uid="{3D9AD2A4-E3D1-4BAF-8F43-BFB1FE8E222D}"/>
    <cellStyle name="Normal 4 2 2 4 2 2 8 2" xfId="18451" xr:uid="{C543C412-8FE5-4CB6-9015-B41C7D0EB518}"/>
    <cellStyle name="Normal 4 2 2 4 2 2 9" xfId="9836" xr:uid="{F54D2AA3-ABBE-467D-95A7-B3B6CA0BEC2E}"/>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A4154D10-9056-438E-808C-C4DA350ADAAC}"/>
    <cellStyle name="Normal 4 2 2 4 2 3 2 3" xfId="12393" xr:uid="{269631C8-A3C1-4DEE-B915-4B7F386ADCA8}"/>
    <cellStyle name="Normal 4 2 2 4 2 3 3" xfId="5139" xr:uid="{00000000-0005-0000-0000-0000AB120000}"/>
    <cellStyle name="Normal 4 2 2 4 2 3 3 2" xfId="14465" xr:uid="{D7DDE3C2-94A3-431B-AB38-ED9882CA44DA}"/>
    <cellStyle name="Normal 4 2 2 4 2 3 4" xfId="9346" xr:uid="{11110DEC-01F5-467C-B0F9-3286FF7E57CB}"/>
    <cellStyle name="Normal 4 2 2 4 2 3 4 2" xfId="18659" xr:uid="{F3426B7C-BB68-4699-AC1F-B72E16FBE599}"/>
    <cellStyle name="Normal 4 2 2 4 2 3 5" xfId="10248" xr:uid="{F98DC6CE-D00E-46ED-89B7-7DFAA6C1DC45}"/>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B5859B4B-60E3-411B-ADD0-55328356B7C9}"/>
    <cellStyle name="Normal 4 2 2 4 2 4 2 3" xfId="12806" xr:uid="{A5994BB0-B407-4C39-B955-8F15BFA241B0}"/>
    <cellStyle name="Normal 4 2 2 4 2 4 3" xfId="5552" xr:uid="{00000000-0005-0000-0000-0000AF120000}"/>
    <cellStyle name="Normal 4 2 2 4 2 4 3 2" xfId="14878" xr:uid="{F8F8996F-7F52-4156-9D2C-35BF3B9D20AE}"/>
    <cellStyle name="Normal 4 2 2 4 2 4 4" xfId="10661" xr:uid="{BFDCC9D6-03C2-4ECB-ABC2-FB8CB0B1CA4E}"/>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FA75D5A8-843E-447A-90B1-E180F6BD578C}"/>
    <cellStyle name="Normal 4 2 2 4 2 5 2 3" xfId="13219" xr:uid="{74575383-CCB2-4AF6-91F2-E2AC5EE483AE}"/>
    <cellStyle name="Normal 4 2 2 4 2 5 3" xfId="5965" xr:uid="{00000000-0005-0000-0000-0000B3120000}"/>
    <cellStyle name="Normal 4 2 2 4 2 5 3 2" xfId="15291" xr:uid="{792E8136-B51F-4DCE-9522-65337D4EBC0D}"/>
    <cellStyle name="Normal 4 2 2 4 2 5 4" xfId="11074" xr:uid="{2A84DDFD-E011-45F0-8364-2A0351B810C8}"/>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BE25FB56-6C5A-435A-A99B-7880D61EDAA0}"/>
    <cellStyle name="Normal 4 2 2 4 2 6 2 3" xfId="13632" xr:uid="{FB56A47C-3310-470D-8B7D-79082EF5F181}"/>
    <cellStyle name="Normal 4 2 2 4 2 6 3" xfId="6378" xr:uid="{00000000-0005-0000-0000-0000B7120000}"/>
    <cellStyle name="Normal 4 2 2 4 2 6 3 2" xfId="15704" xr:uid="{ED6A7C43-CB0B-4F9D-BE06-BD1CF4780098}"/>
    <cellStyle name="Normal 4 2 2 4 2 6 4" xfId="11487" xr:uid="{2E14B63C-225D-40CC-AD2A-87B83461B28B}"/>
    <cellStyle name="Normal 4 2 2 4 2 7" xfId="2508" xr:uid="{00000000-0005-0000-0000-0000B8120000}"/>
    <cellStyle name="Normal 4 2 2 4 2 7 2" xfId="6791" xr:uid="{00000000-0005-0000-0000-0000B9120000}"/>
    <cellStyle name="Normal 4 2 2 4 2 7 2 2" xfId="16117" xr:uid="{5B63967B-1F38-4D40-93CB-015EEED8DE80}"/>
    <cellStyle name="Normal 4 2 2 4 2 7 3" xfId="11900" xr:uid="{DAB3180C-88AF-4265-8096-42FC21A076D7}"/>
    <cellStyle name="Normal 4 2 2 4 2 8" xfId="4726" xr:uid="{00000000-0005-0000-0000-0000BA120000}"/>
    <cellStyle name="Normal 4 2 2 4 2 8 2" xfId="14052" xr:uid="{4B39AF33-3721-4085-AFEB-7581F3DAE0DE}"/>
    <cellStyle name="Normal 4 2 2 4 2 9" xfId="8921" xr:uid="{43AA3CA1-A6D2-47CC-8276-CBFAB7238AA6}"/>
    <cellStyle name="Normal 4 2 2 4 2 9 2" xfId="18244" xr:uid="{1B113250-5A4E-4480-BD72-AEBD342FEBE7}"/>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B1A5A6FE-34BF-4392-82FD-BDCAA2FBC5DD}"/>
    <cellStyle name="Normal 4 2 2 4 3 2 2 3" xfId="12395" xr:uid="{0DD4CBE6-717E-47C2-B637-0DE8615BFF32}"/>
    <cellStyle name="Normal 4 2 2 4 3 2 3" xfId="5141" xr:uid="{00000000-0005-0000-0000-0000BF120000}"/>
    <cellStyle name="Normal 4 2 2 4 3 2 3 2" xfId="14467" xr:uid="{7D8453ED-6B80-4615-A411-EC3039006A13}"/>
    <cellStyle name="Normal 4 2 2 4 3 2 4" xfId="9450" xr:uid="{0F54578A-5DA3-4B6E-9E36-71CC7CD6BFE8}"/>
    <cellStyle name="Normal 4 2 2 4 3 2 4 2" xfId="18763" xr:uid="{FAA5E120-1CFE-48BB-930A-8BB1D9AFBF46}"/>
    <cellStyle name="Normal 4 2 2 4 3 2 5" xfId="10250" xr:uid="{5C0331B5-B7DD-4C61-9006-19C9C4F439AF}"/>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35706611-6E59-4DD9-AC40-47335324CB42}"/>
    <cellStyle name="Normal 4 2 2 4 3 3 2 3" xfId="12808" xr:uid="{7F6A682E-13DE-40AD-ADA1-40AC9DA99BE7}"/>
    <cellStyle name="Normal 4 2 2 4 3 3 3" xfId="5554" xr:uid="{00000000-0005-0000-0000-0000C3120000}"/>
    <cellStyle name="Normal 4 2 2 4 3 3 3 2" xfId="14880" xr:uid="{1BDB13C7-4EA8-4694-A259-064D7C3B8558}"/>
    <cellStyle name="Normal 4 2 2 4 3 3 4" xfId="10663" xr:uid="{3348517C-D4D1-4767-82DA-0B3166465F5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5D5E7405-316A-4086-9AF3-7ECC6C72C116}"/>
    <cellStyle name="Normal 4 2 2 4 3 4 2 3" xfId="13221" xr:uid="{5AE5697E-B36B-4E70-A8CF-AD6195B3D875}"/>
    <cellStyle name="Normal 4 2 2 4 3 4 3" xfId="5967" xr:uid="{00000000-0005-0000-0000-0000C7120000}"/>
    <cellStyle name="Normal 4 2 2 4 3 4 3 2" xfId="15293" xr:uid="{54A31220-FDB4-42FA-9910-18A66D6887D3}"/>
    <cellStyle name="Normal 4 2 2 4 3 4 4" xfId="11076" xr:uid="{4861683E-3C4C-4D6D-A6EA-E9E8D4C8F6A3}"/>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560BFE07-2B78-4210-B47F-DE8D7FA12E7C}"/>
    <cellStyle name="Normal 4 2 2 4 3 5 2 3" xfId="13634" xr:uid="{7A0438AD-06A1-4A55-B3AC-1765A3A1B19C}"/>
    <cellStyle name="Normal 4 2 2 4 3 5 3" xfId="6380" xr:uid="{00000000-0005-0000-0000-0000CB120000}"/>
    <cellStyle name="Normal 4 2 2 4 3 5 3 2" xfId="15706" xr:uid="{6B7635C7-BD05-40BC-BDA9-7836BEF9ADEF}"/>
    <cellStyle name="Normal 4 2 2 4 3 5 4" xfId="11489" xr:uid="{C00C7958-517D-4AD0-9DE5-1738B5676E80}"/>
    <cellStyle name="Normal 4 2 2 4 3 6" xfId="2510" xr:uid="{00000000-0005-0000-0000-0000CC120000}"/>
    <cellStyle name="Normal 4 2 2 4 3 6 2" xfId="6793" xr:uid="{00000000-0005-0000-0000-0000CD120000}"/>
    <cellStyle name="Normal 4 2 2 4 3 6 2 2" xfId="16119" xr:uid="{4B187714-CB3B-4CAF-8E4F-090917B10BE3}"/>
    <cellStyle name="Normal 4 2 2 4 3 6 3" xfId="11902" xr:uid="{8F0E0361-4D8A-477D-B925-01065CA690E8}"/>
    <cellStyle name="Normal 4 2 2 4 3 7" xfId="4728" xr:uid="{00000000-0005-0000-0000-0000CE120000}"/>
    <cellStyle name="Normal 4 2 2 4 3 7 2" xfId="14054" xr:uid="{5D121A65-20A2-468F-8B3C-144C7E3B7012}"/>
    <cellStyle name="Normal 4 2 2 4 3 8" xfId="9025" xr:uid="{436CB353-A916-4AB2-B5E2-8C1BDAEA1182}"/>
    <cellStyle name="Normal 4 2 2 4 3 8 2" xfId="18348" xr:uid="{908017A2-BDD9-4F32-86AA-0FC8D87AB1BE}"/>
    <cellStyle name="Normal 4 2 2 4 3 9" xfId="9837" xr:uid="{5894F7EE-DD2C-4472-A09F-0D07DDCC1027}"/>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90B2DCA1-1625-4601-8D5F-8F45FCC5A23A}"/>
    <cellStyle name="Normal 4 2 2 4 4 2 3" xfId="12392" xr:uid="{DDD8B5A6-0608-4D6F-8C53-12E301F61AD4}"/>
    <cellStyle name="Normal 4 2 2 4 4 3" xfId="5138" xr:uid="{00000000-0005-0000-0000-0000D2120000}"/>
    <cellStyle name="Normal 4 2 2 4 4 3 2" xfId="14464" xr:uid="{256E84C9-AB4E-4CCC-8EAE-C7F3AB65E614}"/>
    <cellStyle name="Normal 4 2 2 4 4 4" xfId="9243" xr:uid="{FD46A281-F5BE-478B-950E-209D1D56FC0E}"/>
    <cellStyle name="Normal 4 2 2 4 4 4 2" xfId="18556" xr:uid="{C0E8CFF4-4DBD-46FE-8B50-19DC905DC885}"/>
    <cellStyle name="Normal 4 2 2 4 4 5" xfId="10247" xr:uid="{8F7304CE-947C-4622-BAA8-24A2C15E103C}"/>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7A19DA66-E2D0-4581-A23D-D8EB1609C292}"/>
    <cellStyle name="Normal 4 2 2 4 5 2 3" xfId="12805" xr:uid="{3BB8E9F9-53EF-406F-8417-20F8EC849A5B}"/>
    <cellStyle name="Normal 4 2 2 4 5 3" xfId="5551" xr:uid="{00000000-0005-0000-0000-0000D6120000}"/>
    <cellStyle name="Normal 4 2 2 4 5 3 2" xfId="14877" xr:uid="{C7703FFC-4BA2-40BC-862E-36413B732A41}"/>
    <cellStyle name="Normal 4 2 2 4 5 4" xfId="10660" xr:uid="{552AD4BD-9BA7-43A1-BD2B-1D973F856CF5}"/>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903549AF-EF75-4C6E-992A-626BA7CCCC04}"/>
    <cellStyle name="Normal 4 2 2 4 6 2 3" xfId="13218" xr:uid="{ABAE0B71-4916-44D3-8627-7BEA8A20F520}"/>
    <cellStyle name="Normal 4 2 2 4 6 3" xfId="5964" xr:uid="{00000000-0005-0000-0000-0000DA120000}"/>
    <cellStyle name="Normal 4 2 2 4 6 3 2" xfId="15290" xr:uid="{A3A0340E-CFE2-4657-83E6-CE54B7BDA3A3}"/>
    <cellStyle name="Normal 4 2 2 4 6 4" xfId="11073" xr:uid="{33C379DF-47CC-4D9B-A895-D94E526CA9BC}"/>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5D44523F-79CA-4AB2-BFF2-CFF32A82EF06}"/>
    <cellStyle name="Normal 4 2 2 4 7 2 3" xfId="13631" xr:uid="{98E62CF2-23EF-44C0-B372-E574DF5D5DF9}"/>
    <cellStyle name="Normal 4 2 2 4 7 3" xfId="6377" xr:uid="{00000000-0005-0000-0000-0000DE120000}"/>
    <cellStyle name="Normal 4 2 2 4 7 3 2" xfId="15703" xr:uid="{B92D60F9-31B3-40C7-8036-B9818732D741}"/>
    <cellStyle name="Normal 4 2 2 4 7 4" xfId="11486" xr:uid="{A74295C7-13FF-4333-B38F-FE86328916AB}"/>
    <cellStyle name="Normal 4 2 2 4 8" xfId="2507" xr:uid="{00000000-0005-0000-0000-0000DF120000}"/>
    <cellStyle name="Normal 4 2 2 4 8 2" xfId="6790" xr:uid="{00000000-0005-0000-0000-0000E0120000}"/>
    <cellStyle name="Normal 4 2 2 4 8 2 2" xfId="16116" xr:uid="{BBA87C90-5A49-4A7F-BA44-7559BF1903B9}"/>
    <cellStyle name="Normal 4 2 2 4 8 3" xfId="11899" xr:uid="{F4958129-82AE-4870-9107-4B669761354A}"/>
    <cellStyle name="Normal 4 2 2 4 9" xfId="4725" xr:uid="{00000000-0005-0000-0000-0000E1120000}"/>
    <cellStyle name="Normal 4 2 2 4 9 2" xfId="14051" xr:uid="{A6A71D89-890E-4B50-8E82-810FC4B35FD5}"/>
    <cellStyle name="Normal 4 2 2 5" xfId="351" xr:uid="{00000000-0005-0000-0000-0000E2120000}"/>
    <cellStyle name="Normal 4 2 2 5 10" xfId="9838" xr:uid="{ECA66C4B-C731-488F-AC34-D6BEF54A0BC8}"/>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37A5AE99-3CA8-4DAA-BCCB-75FE947EF886}"/>
    <cellStyle name="Normal 4 2 2 5 2 2 2 3" xfId="12397" xr:uid="{178D1447-C613-4D1A-929D-A5C520D6FE9E}"/>
    <cellStyle name="Normal 4 2 2 5 2 2 3" xfId="5143" xr:uid="{00000000-0005-0000-0000-0000E7120000}"/>
    <cellStyle name="Normal 4 2 2 5 2 2 3 2" xfId="14469" xr:uid="{E178EBBC-0B32-4D41-8B0B-0BCF7D388E13}"/>
    <cellStyle name="Normal 4 2 2 5 2 2 4" xfId="9487" xr:uid="{83D2756E-B983-4EA9-AB48-FF4D3E821CE4}"/>
    <cellStyle name="Normal 4 2 2 5 2 2 4 2" xfId="18800" xr:uid="{C1AACCBA-C887-4F66-9897-AAF742B35CC7}"/>
    <cellStyle name="Normal 4 2 2 5 2 2 5" xfId="10252" xr:uid="{FE893C74-1EEC-4B59-B34C-6416351716AF}"/>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CAD935C9-DCB0-4AA8-8A8B-B03AAB34F6FF}"/>
    <cellStyle name="Normal 4 2 2 5 2 3 2 3" xfId="12810" xr:uid="{79BBD88A-35EC-4FF4-9E3E-4CB90B0F7CEA}"/>
    <cellStyle name="Normal 4 2 2 5 2 3 3" xfId="5556" xr:uid="{00000000-0005-0000-0000-0000EB120000}"/>
    <cellStyle name="Normal 4 2 2 5 2 3 3 2" xfId="14882" xr:uid="{47CD1909-F66A-4CDC-8D7F-8A54D2E29018}"/>
    <cellStyle name="Normal 4 2 2 5 2 3 4" xfId="10665" xr:uid="{792F0AA5-9578-4836-B4CA-73B1738B5DDD}"/>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85E55455-78C5-46AC-8EF9-FB31468DA6FF}"/>
    <cellStyle name="Normal 4 2 2 5 2 4 2 3" xfId="13223" xr:uid="{70E07B80-EB97-4B3D-9913-5FAB16F75582}"/>
    <cellStyle name="Normal 4 2 2 5 2 4 3" xfId="5969" xr:uid="{00000000-0005-0000-0000-0000EF120000}"/>
    <cellStyle name="Normal 4 2 2 5 2 4 3 2" xfId="15295" xr:uid="{EA5CA22C-3066-4728-B7DD-8E87895D476D}"/>
    <cellStyle name="Normal 4 2 2 5 2 4 4" xfId="11078" xr:uid="{118CCFA0-694B-496A-9A53-76FC305B8CD8}"/>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D4392313-C557-47A1-82BD-D02D3205B451}"/>
    <cellStyle name="Normal 4 2 2 5 2 5 2 3" xfId="13636" xr:uid="{132A2E32-8BDE-4C89-8E9F-D3FBF5916D1D}"/>
    <cellStyle name="Normal 4 2 2 5 2 5 3" xfId="6382" xr:uid="{00000000-0005-0000-0000-0000F3120000}"/>
    <cellStyle name="Normal 4 2 2 5 2 5 3 2" xfId="15708" xr:uid="{ABDAE5C0-D51A-483C-B792-597C747B19D8}"/>
    <cellStyle name="Normal 4 2 2 5 2 5 4" xfId="11491" xr:uid="{1DFF36EC-F763-4253-90AF-BE71707A90EC}"/>
    <cellStyle name="Normal 4 2 2 5 2 6" xfId="2512" xr:uid="{00000000-0005-0000-0000-0000F4120000}"/>
    <cellStyle name="Normal 4 2 2 5 2 6 2" xfId="6795" xr:uid="{00000000-0005-0000-0000-0000F5120000}"/>
    <cellStyle name="Normal 4 2 2 5 2 6 2 2" xfId="16121" xr:uid="{2BF478B3-D630-4F5D-B232-6BF08C832547}"/>
    <cellStyle name="Normal 4 2 2 5 2 6 3" xfId="11904" xr:uid="{EAC220C2-A14C-4FFF-B12F-2690D3527127}"/>
    <cellStyle name="Normal 4 2 2 5 2 7" xfId="4730" xr:uid="{00000000-0005-0000-0000-0000F6120000}"/>
    <cellStyle name="Normal 4 2 2 5 2 7 2" xfId="14056" xr:uid="{8D243246-D19D-43C6-B7A9-E78BF27880B6}"/>
    <cellStyle name="Normal 4 2 2 5 2 8" xfId="9062" xr:uid="{FED54422-C2E5-44B3-AA7C-C6088F47A385}"/>
    <cellStyle name="Normal 4 2 2 5 2 8 2" xfId="18385" xr:uid="{3CECF3E3-885C-4642-99FC-BACE512E0DBA}"/>
    <cellStyle name="Normal 4 2 2 5 2 9" xfId="9839" xr:uid="{E96F25FE-438E-41DD-A7BB-5BFAFC538C0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D804165F-9B14-4A88-AFDD-9F530082F585}"/>
    <cellStyle name="Normal 4 2 2 5 3 2 3" xfId="12396" xr:uid="{38F0CC26-2853-49B8-AECF-D0D631B19F79}"/>
    <cellStyle name="Normal 4 2 2 5 3 3" xfId="5142" xr:uid="{00000000-0005-0000-0000-0000FA120000}"/>
    <cellStyle name="Normal 4 2 2 5 3 3 2" xfId="14468" xr:uid="{CD7BA593-A176-43AE-A480-D102A3CE598A}"/>
    <cellStyle name="Normal 4 2 2 5 3 4" xfId="9280" xr:uid="{C70B18D8-E279-4D37-82EF-3177E9FA554F}"/>
    <cellStyle name="Normal 4 2 2 5 3 4 2" xfId="18593" xr:uid="{8B57FF07-76B3-4218-B465-44DEBE7EF988}"/>
    <cellStyle name="Normal 4 2 2 5 3 5" xfId="10251" xr:uid="{E1DBB605-36EF-44D2-8B6D-9F15EE9B780A}"/>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705759B9-A7A8-4ED9-9C34-6B83E085DF80}"/>
    <cellStyle name="Normal 4 2 2 5 4 2 3" xfId="12809" xr:uid="{6C02334F-D041-4B5C-B87E-CA8AB555BD89}"/>
    <cellStyle name="Normal 4 2 2 5 4 3" xfId="5555" xr:uid="{00000000-0005-0000-0000-0000FE120000}"/>
    <cellStyle name="Normal 4 2 2 5 4 3 2" xfId="14881" xr:uid="{799AD624-FCD3-4B26-BB0C-AEEDAF1DE067}"/>
    <cellStyle name="Normal 4 2 2 5 4 4" xfId="10664" xr:uid="{BDCFD2E1-03E3-4776-A09C-26AD3994C35C}"/>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AAE513CF-9506-40EC-B265-011CAA63BF2A}"/>
    <cellStyle name="Normal 4 2 2 5 5 2 3" xfId="13222" xr:uid="{89E283AE-C4AF-4E77-8998-ACA8F5D177FE}"/>
    <cellStyle name="Normal 4 2 2 5 5 3" xfId="5968" xr:uid="{00000000-0005-0000-0000-000002130000}"/>
    <cellStyle name="Normal 4 2 2 5 5 3 2" xfId="15294" xr:uid="{BE28BA51-315F-4FE9-BF8B-3E5C93A6F74E}"/>
    <cellStyle name="Normal 4 2 2 5 5 4" xfId="11077" xr:uid="{1355FA3B-F7F2-4386-B23B-1A721D7EBD46}"/>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19E87F23-78F4-4D1A-A523-2B58796DE2F9}"/>
    <cellStyle name="Normal 4 2 2 5 6 2 3" xfId="13635" xr:uid="{7CF3BF34-929A-47F3-9F5D-84BD3EEA2A3B}"/>
    <cellStyle name="Normal 4 2 2 5 6 3" xfId="6381" xr:uid="{00000000-0005-0000-0000-000006130000}"/>
    <cellStyle name="Normal 4 2 2 5 6 3 2" xfId="15707" xr:uid="{3A9F8533-64AB-4EFC-BED0-A989784F805D}"/>
    <cellStyle name="Normal 4 2 2 5 6 4" xfId="11490" xr:uid="{585B8BD0-C45B-42A7-8397-3800B7344D48}"/>
    <cellStyle name="Normal 4 2 2 5 7" xfId="2511" xr:uid="{00000000-0005-0000-0000-000007130000}"/>
    <cellStyle name="Normal 4 2 2 5 7 2" xfId="6794" xr:uid="{00000000-0005-0000-0000-000008130000}"/>
    <cellStyle name="Normal 4 2 2 5 7 2 2" xfId="16120" xr:uid="{5E380966-3B23-4F4F-9176-8E887FFC9FE4}"/>
    <cellStyle name="Normal 4 2 2 5 7 3" xfId="11903" xr:uid="{3D5C7D01-0EB5-49F3-8841-3A73B3FBF582}"/>
    <cellStyle name="Normal 4 2 2 5 8" xfId="4729" xr:uid="{00000000-0005-0000-0000-000009130000}"/>
    <cellStyle name="Normal 4 2 2 5 8 2" xfId="14055" xr:uid="{05EE775F-AE9F-4438-803F-8C2337AA4F97}"/>
    <cellStyle name="Normal 4 2 2 5 9" xfId="8855" xr:uid="{894DEE8B-A5CD-4C4E-B41D-DCEB92717109}"/>
    <cellStyle name="Normal 4 2 2 5 9 2" xfId="18178" xr:uid="{AE783775-546B-4173-A8C2-5234723FA085}"/>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84CF2952-6640-4AB7-A049-ED2418D285DF}"/>
    <cellStyle name="Normal 4 2 2 6 2 2 3" xfId="12398" xr:uid="{D4A4F26E-CC4B-4146-B0D3-EB5B50F4A6A4}"/>
    <cellStyle name="Normal 4 2 2 6 2 3" xfId="5144" xr:uid="{00000000-0005-0000-0000-00000E130000}"/>
    <cellStyle name="Normal 4 2 2 6 2 3 2" xfId="14470" xr:uid="{36D7D518-761B-40A7-AE7D-290620038974}"/>
    <cellStyle name="Normal 4 2 2 6 2 4" xfId="9396" xr:uid="{5B10E6C6-987A-4149-BB81-321A07C7666F}"/>
    <cellStyle name="Normal 4 2 2 6 2 4 2" xfId="18709" xr:uid="{E56FAFE9-ACF5-4818-8607-53F254D4BE16}"/>
    <cellStyle name="Normal 4 2 2 6 2 5" xfId="10253" xr:uid="{28CF7FA0-B51B-409D-A864-3E72EBF29C5F}"/>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3A18305D-DBDA-4243-AD55-C841361B49AF}"/>
    <cellStyle name="Normal 4 2 2 6 3 2 3" xfId="12811" xr:uid="{CBA41D11-69D8-4C4A-9518-38F022889F1D}"/>
    <cellStyle name="Normal 4 2 2 6 3 3" xfId="5557" xr:uid="{00000000-0005-0000-0000-000012130000}"/>
    <cellStyle name="Normal 4 2 2 6 3 3 2" xfId="14883" xr:uid="{956EC3EE-7765-4E38-9AF6-39F465006E6C}"/>
    <cellStyle name="Normal 4 2 2 6 3 4" xfId="10666" xr:uid="{BB3B059C-9C74-4528-88EC-A41753D26632}"/>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F4561049-5FA8-4BC0-8A38-8154F749307C}"/>
    <cellStyle name="Normal 4 2 2 6 4 2 3" xfId="13224" xr:uid="{E6A05CBF-F067-4922-8C17-6A504CFF0DCE}"/>
    <cellStyle name="Normal 4 2 2 6 4 3" xfId="5970" xr:uid="{00000000-0005-0000-0000-000016130000}"/>
    <cellStyle name="Normal 4 2 2 6 4 3 2" xfId="15296" xr:uid="{D28853F6-DFB4-4B35-93EF-DD8F6566D597}"/>
    <cellStyle name="Normal 4 2 2 6 4 4" xfId="11079" xr:uid="{5224C5EE-B50A-496C-9C94-38A443EAD22E}"/>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F449B609-0B99-4499-8549-12C3D968B294}"/>
    <cellStyle name="Normal 4 2 2 6 5 2 3" xfId="13637" xr:uid="{79CE3272-1D74-44C8-93DF-7DDAC49A8708}"/>
    <cellStyle name="Normal 4 2 2 6 5 3" xfId="6383" xr:uid="{00000000-0005-0000-0000-00001A130000}"/>
    <cellStyle name="Normal 4 2 2 6 5 3 2" xfId="15709" xr:uid="{1FAC2091-CC36-40F7-9268-D29276EC6D2C}"/>
    <cellStyle name="Normal 4 2 2 6 5 4" xfId="11492" xr:uid="{6899D327-78EB-427C-99AF-FA71D9A8F741}"/>
    <cellStyle name="Normal 4 2 2 6 6" xfId="2513" xr:uid="{00000000-0005-0000-0000-00001B130000}"/>
    <cellStyle name="Normal 4 2 2 6 6 2" xfId="6796" xr:uid="{00000000-0005-0000-0000-00001C130000}"/>
    <cellStyle name="Normal 4 2 2 6 6 2 2" xfId="16122" xr:uid="{2619FAD8-AB79-4F32-A905-E9C6DCF5E601}"/>
    <cellStyle name="Normal 4 2 2 6 6 3" xfId="11905" xr:uid="{22AEA09A-8D49-4B1B-B1ED-6D1028DF1951}"/>
    <cellStyle name="Normal 4 2 2 6 7" xfId="4731" xr:uid="{00000000-0005-0000-0000-00001D130000}"/>
    <cellStyle name="Normal 4 2 2 6 7 2" xfId="14057" xr:uid="{0AE10740-5F1B-49BA-8AB4-76E8AB7B77B1}"/>
    <cellStyle name="Normal 4 2 2 6 8" xfId="8971" xr:uid="{7BBA3CD4-2D32-439A-A2D5-9F7EB5E5A47E}"/>
    <cellStyle name="Normal 4 2 2 6 8 2" xfId="18294" xr:uid="{3983D4CA-4959-4140-9D0F-A9FE8B5574A0}"/>
    <cellStyle name="Normal 4 2 2 6 9" xfId="9840" xr:uid="{E396C6D7-1A5A-482E-982C-FFA9E6163BE4}"/>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31DB3C04-EB4C-4A3D-881F-33C114648EA6}"/>
    <cellStyle name="Normal 4 2 2 7 2 3" xfId="12383" xr:uid="{8C944118-2B19-44D5-B45F-330D342373FF}"/>
    <cellStyle name="Normal 4 2 2 7 3" xfId="5129" xr:uid="{00000000-0005-0000-0000-000021130000}"/>
    <cellStyle name="Normal 4 2 2 7 3 2" xfId="14455" xr:uid="{B24BB840-3E11-4AEE-BBC4-9D3F9DE368B5}"/>
    <cellStyle name="Normal 4 2 2 7 4" xfId="9174" xr:uid="{5FB177AF-8B2E-4B7E-A1B7-4F6E323AF880}"/>
    <cellStyle name="Normal 4 2 2 7 4 2" xfId="18490" xr:uid="{323DBCE3-AF5D-4C90-903E-CFA980E526C1}"/>
    <cellStyle name="Normal 4 2 2 7 5" xfId="10238" xr:uid="{128D53BB-C163-48F1-840D-04F641C22BAE}"/>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2E570E20-A1E6-4532-8A41-662AA478A2C3}"/>
    <cellStyle name="Normal 4 2 2 8 2 3" xfId="12796" xr:uid="{81E5F290-7503-4B96-8569-E0B615837858}"/>
    <cellStyle name="Normal 4 2 2 8 3" xfId="5542" xr:uid="{00000000-0005-0000-0000-000025130000}"/>
    <cellStyle name="Normal 4 2 2 8 3 2" xfId="14868" xr:uid="{333C296A-598A-4782-9EA1-59AB253E712A}"/>
    <cellStyle name="Normal 4 2 2 8 4" xfId="10651" xr:uid="{EEC40F65-066E-433C-9C98-33CA10C485C2}"/>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B78B7911-C370-446B-B1BD-544322D55395}"/>
    <cellStyle name="Normal 4 2 2 9 2 3" xfId="13209" xr:uid="{65C1CD66-E5D8-452D-B080-B3378D2BCD8E}"/>
    <cellStyle name="Normal 4 2 2 9 3" xfId="5955" xr:uid="{00000000-0005-0000-0000-000029130000}"/>
    <cellStyle name="Normal 4 2 2 9 3 2" xfId="15281" xr:uid="{B0DD602B-7F04-4121-90DD-35228FC6ADFA}"/>
    <cellStyle name="Normal 4 2 2 9 4" xfId="11064" xr:uid="{B9D495B2-93C8-4C04-830B-7832344CBEF8}"/>
    <cellStyle name="Normal 4 2 3" xfId="354" xr:uid="{00000000-0005-0000-0000-00002A130000}"/>
    <cellStyle name="Normal 4 2 4" xfId="355" xr:uid="{00000000-0005-0000-0000-00002B130000}"/>
    <cellStyle name="Normal 4 2 4 10" xfId="4732" xr:uid="{00000000-0005-0000-0000-00002C130000}"/>
    <cellStyle name="Normal 4 2 4 10 2" xfId="14058" xr:uid="{3878230F-3E9A-42CA-9D9A-72C2926021B9}"/>
    <cellStyle name="Normal 4 2 4 11" xfId="8775" xr:uid="{7AC259AB-9C32-4DC1-A787-2E2187A7C2D6}"/>
    <cellStyle name="Normal 4 2 4 11 2" xfId="18098" xr:uid="{3F84A7D4-9236-42C8-8FDC-8E0403DBA682}"/>
    <cellStyle name="Normal 4 2 4 12" xfId="9841" xr:uid="{B388A603-A2B9-4260-BFCC-BED844C6881C}"/>
    <cellStyle name="Normal 4 2 4 2" xfId="356" xr:uid="{00000000-0005-0000-0000-00002D130000}"/>
    <cellStyle name="Normal 4 2 4 2 10" xfId="8820" xr:uid="{8B50D4F4-4786-467C-8322-69D665B73C2B}"/>
    <cellStyle name="Normal 4 2 4 2 10 2" xfId="18143" xr:uid="{7EFCB805-64AA-4AD2-B4E0-4CB2907DB1C1}"/>
    <cellStyle name="Normal 4 2 4 2 11" xfId="9842" xr:uid="{E8CB58E5-C1FB-43E8-BAC4-E673D9847810}"/>
    <cellStyle name="Normal 4 2 4 2 2" xfId="357" xr:uid="{00000000-0005-0000-0000-00002E130000}"/>
    <cellStyle name="Normal 4 2 4 2 2 10" xfId="9843" xr:uid="{1C8F94D0-4D7E-46D3-972B-B1283D78CE23}"/>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52D7D904-2D4C-48E3-B5DD-9FDB078FA8E7}"/>
    <cellStyle name="Normal 4 2 4 2 2 2 2 2 3" xfId="12402" xr:uid="{DF7B309F-4233-4705-BAEB-E5BC59A48C88}"/>
    <cellStyle name="Normal 4 2 4 2 2 2 2 3" xfId="5148" xr:uid="{00000000-0005-0000-0000-000033130000}"/>
    <cellStyle name="Normal 4 2 4 2 2 2 2 3 2" xfId="14474" xr:uid="{FBCF433A-6E0D-40B9-8328-A498256979BC}"/>
    <cellStyle name="Normal 4 2 4 2 2 2 2 4" xfId="9555" xr:uid="{31AE7BD4-4F26-4658-9939-15FCE733560E}"/>
    <cellStyle name="Normal 4 2 4 2 2 2 2 4 2" xfId="18868" xr:uid="{646F04F1-901E-4152-BCD5-7A0DB5247015}"/>
    <cellStyle name="Normal 4 2 4 2 2 2 2 5" xfId="10257" xr:uid="{60F012F4-0A10-4280-A59B-27646B6BE021}"/>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39B0E8A3-EDBD-479B-A8FA-D1C7FAD201A7}"/>
    <cellStyle name="Normal 4 2 4 2 2 2 3 2 3" xfId="12815" xr:uid="{9ACB5589-66DE-4D7F-A20C-298672E9BE91}"/>
    <cellStyle name="Normal 4 2 4 2 2 2 3 3" xfId="5561" xr:uid="{00000000-0005-0000-0000-000037130000}"/>
    <cellStyle name="Normal 4 2 4 2 2 2 3 3 2" xfId="14887" xr:uid="{A455D95F-0334-40B6-BA20-48DF0D9FB930}"/>
    <cellStyle name="Normal 4 2 4 2 2 2 3 4" xfId="10670" xr:uid="{795006F6-4C8E-4C30-875F-9048253D79AD}"/>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60416DF9-3BB4-40E3-91CB-03BB509D7C1C}"/>
    <cellStyle name="Normal 4 2 4 2 2 2 4 2 3" xfId="13228" xr:uid="{2DD8DD24-A060-4438-847A-30C2AE50ACA7}"/>
    <cellStyle name="Normal 4 2 4 2 2 2 4 3" xfId="5974" xr:uid="{00000000-0005-0000-0000-00003B130000}"/>
    <cellStyle name="Normal 4 2 4 2 2 2 4 3 2" xfId="15300" xr:uid="{20E152C9-9DB0-41B7-8CC5-116E99C20186}"/>
    <cellStyle name="Normal 4 2 4 2 2 2 4 4" xfId="11083" xr:uid="{C07101FA-1A96-41DA-9735-B5D65CA5C5CA}"/>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438A5590-CD45-4392-98CE-0D4B52CCB81C}"/>
    <cellStyle name="Normal 4 2 4 2 2 2 5 2 3" xfId="13641" xr:uid="{BE1C6034-5A3A-4737-99B8-05AE6C3E5377}"/>
    <cellStyle name="Normal 4 2 4 2 2 2 5 3" xfId="6387" xr:uid="{00000000-0005-0000-0000-00003F130000}"/>
    <cellStyle name="Normal 4 2 4 2 2 2 5 3 2" xfId="15713" xr:uid="{2E0A254C-9FA2-4FF9-80AB-0CB61B942814}"/>
    <cellStyle name="Normal 4 2 4 2 2 2 5 4" xfId="11496" xr:uid="{59C95E35-F0BC-4A52-A025-FF5B410D9F1E}"/>
    <cellStyle name="Normal 4 2 4 2 2 2 6" xfId="2517" xr:uid="{00000000-0005-0000-0000-000040130000}"/>
    <cellStyle name="Normal 4 2 4 2 2 2 6 2" xfId="6800" xr:uid="{00000000-0005-0000-0000-000041130000}"/>
    <cellStyle name="Normal 4 2 4 2 2 2 6 2 2" xfId="16126" xr:uid="{FB183A02-AF32-4CB3-AA45-5481AD857BA7}"/>
    <cellStyle name="Normal 4 2 4 2 2 2 6 3" xfId="11909" xr:uid="{813DF11C-140D-45F7-8EB6-186EB5DEA774}"/>
    <cellStyle name="Normal 4 2 4 2 2 2 7" xfId="4735" xr:uid="{00000000-0005-0000-0000-000042130000}"/>
    <cellStyle name="Normal 4 2 4 2 2 2 7 2" xfId="14061" xr:uid="{BC9244DD-0E87-44F7-B634-51D03C5D4EDF}"/>
    <cellStyle name="Normal 4 2 4 2 2 2 8" xfId="9130" xr:uid="{E4AAEB37-D6CE-4BD9-A166-BE52F754DAC4}"/>
    <cellStyle name="Normal 4 2 4 2 2 2 8 2" xfId="18453" xr:uid="{9615D06F-CB20-4B3E-A9E6-CF041C326F89}"/>
    <cellStyle name="Normal 4 2 4 2 2 2 9" xfId="9844" xr:uid="{F1AD3D5C-7346-490A-87C2-A00C655C72FF}"/>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6D8DACF9-4593-4763-964D-C6CF0EA90A8C}"/>
    <cellStyle name="Normal 4 2 4 2 2 3 2 3" xfId="12401" xr:uid="{C3980D69-2FDE-4F52-BF2D-2DDA95E55105}"/>
    <cellStyle name="Normal 4 2 4 2 2 3 3" xfId="5147" xr:uid="{00000000-0005-0000-0000-000046130000}"/>
    <cellStyle name="Normal 4 2 4 2 2 3 3 2" xfId="14473" xr:uid="{DDEEEB7B-F836-4FAE-A2E6-FCC14D895919}"/>
    <cellStyle name="Normal 4 2 4 2 2 3 4" xfId="9348" xr:uid="{E9E52CF6-B3CF-482F-B496-A22B0452951D}"/>
    <cellStyle name="Normal 4 2 4 2 2 3 4 2" xfId="18661" xr:uid="{FF1C38BC-BCC7-4869-9E8C-36E8E5633ADE}"/>
    <cellStyle name="Normal 4 2 4 2 2 3 5" xfId="10256" xr:uid="{1B585425-B359-41CE-96FE-4E1F5DB9549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E84FF7BD-2177-467E-B604-607CFB32B8E1}"/>
    <cellStyle name="Normal 4 2 4 2 2 4 2 3" xfId="12814" xr:uid="{B58371AE-DE40-40BD-A0F2-9D1316D97885}"/>
    <cellStyle name="Normal 4 2 4 2 2 4 3" xfId="5560" xr:uid="{00000000-0005-0000-0000-00004A130000}"/>
    <cellStyle name="Normal 4 2 4 2 2 4 3 2" xfId="14886" xr:uid="{73187791-843C-4F94-9EC6-0FAA5DD2F486}"/>
    <cellStyle name="Normal 4 2 4 2 2 4 4" xfId="10669" xr:uid="{0F804AF5-7258-4168-A903-D21583DE561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1ADE1CD7-A7E0-4010-ABC9-DB50BCC82DDA}"/>
    <cellStyle name="Normal 4 2 4 2 2 5 2 3" xfId="13227" xr:uid="{E3146C67-C719-44CF-B3C7-9107D948305A}"/>
    <cellStyle name="Normal 4 2 4 2 2 5 3" xfId="5973" xr:uid="{00000000-0005-0000-0000-00004E130000}"/>
    <cellStyle name="Normal 4 2 4 2 2 5 3 2" xfId="15299" xr:uid="{12FFCB5E-76B4-4434-B861-C72524F3A700}"/>
    <cellStyle name="Normal 4 2 4 2 2 5 4" xfId="11082" xr:uid="{FC116235-B5FE-46DF-B7BA-F268E448BEDF}"/>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5FB1897C-56C4-47D1-952D-4BDF92D5B948}"/>
    <cellStyle name="Normal 4 2 4 2 2 6 2 3" xfId="13640" xr:uid="{FDEC905C-1F1E-452F-AED4-D37DF756CD0C}"/>
    <cellStyle name="Normal 4 2 4 2 2 6 3" xfId="6386" xr:uid="{00000000-0005-0000-0000-000052130000}"/>
    <cellStyle name="Normal 4 2 4 2 2 6 3 2" xfId="15712" xr:uid="{7661F0AC-1362-4491-8637-7DC2BEAE7A01}"/>
    <cellStyle name="Normal 4 2 4 2 2 6 4" xfId="11495" xr:uid="{3BB146DF-1546-48BC-8E78-6375AC64C54E}"/>
    <cellStyle name="Normal 4 2 4 2 2 7" xfId="2516" xr:uid="{00000000-0005-0000-0000-000053130000}"/>
    <cellStyle name="Normal 4 2 4 2 2 7 2" xfId="6799" xr:uid="{00000000-0005-0000-0000-000054130000}"/>
    <cellStyle name="Normal 4 2 4 2 2 7 2 2" xfId="16125" xr:uid="{B2C22256-C1CC-4A7E-B659-65301F55614C}"/>
    <cellStyle name="Normal 4 2 4 2 2 7 3" xfId="11908" xr:uid="{29590122-3A30-40B7-B370-6429F9B8606D}"/>
    <cellStyle name="Normal 4 2 4 2 2 8" xfId="4734" xr:uid="{00000000-0005-0000-0000-000055130000}"/>
    <cellStyle name="Normal 4 2 4 2 2 8 2" xfId="14060" xr:uid="{3F79FC04-39E3-4834-B55F-C8674FDBE8F8}"/>
    <cellStyle name="Normal 4 2 4 2 2 9" xfId="8923" xr:uid="{2BBE6936-33B8-4624-9F85-2EE83C62ACB2}"/>
    <cellStyle name="Normal 4 2 4 2 2 9 2" xfId="18246" xr:uid="{AC1B5D6D-AA5A-41CF-82C7-19A25AFAE015}"/>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F5A7C176-402D-4768-9296-54DBCE3A63B9}"/>
    <cellStyle name="Normal 4 2 4 2 3 2 2 3" xfId="12403" xr:uid="{3016457F-8D65-4876-85CC-4530EE85626D}"/>
    <cellStyle name="Normal 4 2 4 2 3 2 3" xfId="5149" xr:uid="{00000000-0005-0000-0000-00005A130000}"/>
    <cellStyle name="Normal 4 2 4 2 3 2 3 2" xfId="14475" xr:uid="{4E914624-279D-4A5D-A878-A3AF6CDF1115}"/>
    <cellStyle name="Normal 4 2 4 2 3 2 4" xfId="9452" xr:uid="{58F46659-8F00-4705-8554-54AEBE9B8A77}"/>
    <cellStyle name="Normal 4 2 4 2 3 2 4 2" xfId="18765" xr:uid="{1EC83365-8F19-4CFF-BC54-18C334226AEC}"/>
    <cellStyle name="Normal 4 2 4 2 3 2 5" xfId="10258" xr:uid="{89F1211E-411C-4155-A4A4-0F87CF7E98AC}"/>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822FA490-CED1-4D28-ABF6-72C714FEFE95}"/>
    <cellStyle name="Normal 4 2 4 2 3 3 2 3" xfId="12816" xr:uid="{9F12472D-3966-4206-9700-1A03EBD68FED}"/>
    <cellStyle name="Normal 4 2 4 2 3 3 3" xfId="5562" xr:uid="{00000000-0005-0000-0000-00005E130000}"/>
    <cellStyle name="Normal 4 2 4 2 3 3 3 2" xfId="14888" xr:uid="{A7D513FE-311B-481F-95E7-27A422D152B8}"/>
    <cellStyle name="Normal 4 2 4 2 3 3 4" xfId="10671" xr:uid="{2CF070FF-82E8-4C3F-A519-EA7F917F162A}"/>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08B0E7F2-28FA-4AAE-9ED0-60A8527F40A0}"/>
    <cellStyle name="Normal 4 2 4 2 3 4 2 3" xfId="13229" xr:uid="{C3896FDD-3FF9-48D8-8BDB-AB4B5F714EC4}"/>
    <cellStyle name="Normal 4 2 4 2 3 4 3" xfId="5975" xr:uid="{00000000-0005-0000-0000-000062130000}"/>
    <cellStyle name="Normal 4 2 4 2 3 4 3 2" xfId="15301" xr:uid="{5F8ED9EC-83BC-46AF-AEC7-E14883F674F2}"/>
    <cellStyle name="Normal 4 2 4 2 3 4 4" xfId="11084" xr:uid="{A1FB9D7C-2102-40EA-9C61-BBEF3CC7825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CDBABCAA-F31A-4F3C-9F15-397806CCF389}"/>
    <cellStyle name="Normal 4 2 4 2 3 5 2 3" xfId="13642" xr:uid="{DF093A56-CE37-4741-9E4D-41198564761D}"/>
    <cellStyle name="Normal 4 2 4 2 3 5 3" xfId="6388" xr:uid="{00000000-0005-0000-0000-000066130000}"/>
    <cellStyle name="Normal 4 2 4 2 3 5 3 2" xfId="15714" xr:uid="{F6AB9B2C-45CF-4D2F-BAFC-632D4B7C42C4}"/>
    <cellStyle name="Normal 4 2 4 2 3 5 4" xfId="11497" xr:uid="{99DF093F-451E-4FB6-8533-19B3A21DFC49}"/>
    <cellStyle name="Normal 4 2 4 2 3 6" xfId="2518" xr:uid="{00000000-0005-0000-0000-000067130000}"/>
    <cellStyle name="Normal 4 2 4 2 3 6 2" xfId="6801" xr:uid="{00000000-0005-0000-0000-000068130000}"/>
    <cellStyle name="Normal 4 2 4 2 3 6 2 2" xfId="16127" xr:uid="{47796D2F-BD6D-4995-9E0E-76A44757319E}"/>
    <cellStyle name="Normal 4 2 4 2 3 6 3" xfId="11910" xr:uid="{68882670-7FB3-465D-BBC0-C5826EE64CF9}"/>
    <cellStyle name="Normal 4 2 4 2 3 7" xfId="4736" xr:uid="{00000000-0005-0000-0000-000069130000}"/>
    <cellStyle name="Normal 4 2 4 2 3 7 2" xfId="14062" xr:uid="{5CABD997-E57D-4D21-94BF-5096C410D969}"/>
    <cellStyle name="Normal 4 2 4 2 3 8" xfId="9027" xr:uid="{DA430019-E492-48BB-ACD5-5BE853C50FBC}"/>
    <cellStyle name="Normal 4 2 4 2 3 8 2" xfId="18350" xr:uid="{3EC02846-552B-44D0-81F9-0F22D86AAB47}"/>
    <cellStyle name="Normal 4 2 4 2 3 9" xfId="9845" xr:uid="{0F7356AC-8745-4834-978C-A3A12CA9EEF3}"/>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0BB2066A-80F9-46C0-AD1E-923F31B6A147}"/>
    <cellStyle name="Normal 4 2 4 2 4 2 3" xfId="12400" xr:uid="{9D2F106C-AF3A-4080-A44A-84F3897149F1}"/>
    <cellStyle name="Normal 4 2 4 2 4 3" xfId="5146" xr:uid="{00000000-0005-0000-0000-00006D130000}"/>
    <cellStyle name="Normal 4 2 4 2 4 3 2" xfId="14472" xr:uid="{70C6798C-1E0B-4562-8679-5407CEE17502}"/>
    <cellStyle name="Normal 4 2 4 2 4 4" xfId="9245" xr:uid="{A0383DD8-843E-4601-922A-5CDD979D0589}"/>
    <cellStyle name="Normal 4 2 4 2 4 4 2" xfId="18558" xr:uid="{B89A5000-363E-4730-92EF-5991C2AA7DFA}"/>
    <cellStyle name="Normal 4 2 4 2 4 5" xfId="10255" xr:uid="{A0CBDD88-33EB-4A86-B9BA-3F04243EF4F7}"/>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B631DC23-612C-4A24-BD7C-717C37060A37}"/>
    <cellStyle name="Normal 4 2 4 2 5 2 3" xfId="12813" xr:uid="{24C68C59-DACE-4EB0-8959-9952B8EF6C69}"/>
    <cellStyle name="Normal 4 2 4 2 5 3" xfId="5559" xr:uid="{00000000-0005-0000-0000-000071130000}"/>
    <cellStyle name="Normal 4 2 4 2 5 3 2" xfId="14885" xr:uid="{B73C403E-59D8-417E-834F-AD60118B5E2C}"/>
    <cellStyle name="Normal 4 2 4 2 5 4" xfId="10668" xr:uid="{C30A72BD-1425-43DE-89F2-FF1CAC35E97C}"/>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43077F66-6A76-471B-BA4D-99E4DE0140DE}"/>
    <cellStyle name="Normal 4 2 4 2 6 2 3" xfId="13226" xr:uid="{780C3895-76CD-4971-805F-17F1BF9AC34F}"/>
    <cellStyle name="Normal 4 2 4 2 6 3" xfId="5972" xr:uid="{00000000-0005-0000-0000-000075130000}"/>
    <cellStyle name="Normal 4 2 4 2 6 3 2" xfId="15298" xr:uid="{3CE0C73E-8F58-40C8-B9CD-BBFAB26CD132}"/>
    <cellStyle name="Normal 4 2 4 2 6 4" xfId="11081" xr:uid="{774CF310-B90E-43B3-B41D-A790656780C3}"/>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BFE72769-83D2-4854-BEE2-4DE0AF465BBF}"/>
    <cellStyle name="Normal 4 2 4 2 7 2 3" xfId="13639" xr:uid="{9A638A7D-6336-4195-8006-F9C8BC496DB1}"/>
    <cellStyle name="Normal 4 2 4 2 7 3" xfId="6385" xr:uid="{00000000-0005-0000-0000-000079130000}"/>
    <cellStyle name="Normal 4 2 4 2 7 3 2" xfId="15711" xr:uid="{B895558A-3F88-42B9-AA60-D8990DBB7092}"/>
    <cellStyle name="Normal 4 2 4 2 7 4" xfId="11494" xr:uid="{E47C6A4F-B8FA-4E25-A234-18181F695324}"/>
    <cellStyle name="Normal 4 2 4 2 8" xfId="2515" xr:uid="{00000000-0005-0000-0000-00007A130000}"/>
    <cellStyle name="Normal 4 2 4 2 8 2" xfId="6798" xr:uid="{00000000-0005-0000-0000-00007B130000}"/>
    <cellStyle name="Normal 4 2 4 2 8 2 2" xfId="16124" xr:uid="{F68A6A48-5084-4CB3-8482-0A4220B8998E}"/>
    <cellStyle name="Normal 4 2 4 2 8 3" xfId="11907" xr:uid="{25A33162-9487-45CE-B8EA-17DDE2E7BAD2}"/>
    <cellStyle name="Normal 4 2 4 2 9" xfId="4733" xr:uid="{00000000-0005-0000-0000-00007C130000}"/>
    <cellStyle name="Normal 4 2 4 2 9 2" xfId="14059" xr:uid="{A8738060-9DB3-431E-93FC-8522A333C08E}"/>
    <cellStyle name="Normal 4 2 4 3" xfId="360" xr:uid="{00000000-0005-0000-0000-00007D130000}"/>
    <cellStyle name="Normal 4 2 4 3 10" xfId="9846" xr:uid="{6287FEDE-7312-4129-AD27-456B7A2FE339}"/>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CB02BFD8-B20B-4BA6-AC5F-831BB42844CD}"/>
    <cellStyle name="Normal 4 2 4 3 2 2 2 3" xfId="12405" xr:uid="{4E3BC061-0519-4D3C-8D9C-8821CD89B4EA}"/>
    <cellStyle name="Normal 4 2 4 3 2 2 3" xfId="5151" xr:uid="{00000000-0005-0000-0000-000082130000}"/>
    <cellStyle name="Normal 4 2 4 3 2 2 3 2" xfId="14477" xr:uid="{CE07E5C1-394D-4D44-9B48-A98BFA09C506}"/>
    <cellStyle name="Normal 4 2 4 3 2 2 4" xfId="9510" xr:uid="{AA534F18-B7F5-44D9-AE7D-03E6DE45E4F9}"/>
    <cellStyle name="Normal 4 2 4 3 2 2 4 2" xfId="18823" xr:uid="{03894679-7B85-4C48-90FB-75EA47161295}"/>
    <cellStyle name="Normal 4 2 4 3 2 2 5" xfId="10260" xr:uid="{C03718C8-086E-4166-8151-CC5F066AADA3}"/>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8F7B322B-0177-4A18-8A25-FCD058DB4AB0}"/>
    <cellStyle name="Normal 4 2 4 3 2 3 2 3" xfId="12818" xr:uid="{051F469A-5FFC-47A3-80AD-BC94418E4D3B}"/>
    <cellStyle name="Normal 4 2 4 3 2 3 3" xfId="5564" xr:uid="{00000000-0005-0000-0000-000086130000}"/>
    <cellStyle name="Normal 4 2 4 3 2 3 3 2" xfId="14890" xr:uid="{65E63A06-5277-41DA-A82E-332683E1BDEB}"/>
    <cellStyle name="Normal 4 2 4 3 2 3 4" xfId="10673" xr:uid="{B328820D-CEA3-4A16-B8D8-695BFAA508DE}"/>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0F2887E6-CAF8-4D74-AD25-837C19A4B308}"/>
    <cellStyle name="Normal 4 2 4 3 2 4 2 3" xfId="13231" xr:uid="{36910D2C-B3CD-48AD-98C7-E216342CF821}"/>
    <cellStyle name="Normal 4 2 4 3 2 4 3" xfId="5977" xr:uid="{00000000-0005-0000-0000-00008A130000}"/>
    <cellStyle name="Normal 4 2 4 3 2 4 3 2" xfId="15303" xr:uid="{DA924985-558C-42C1-9AAD-477D34744BE3}"/>
    <cellStyle name="Normal 4 2 4 3 2 4 4" xfId="11086" xr:uid="{B97AC633-6890-4960-A933-E2498B97716F}"/>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628A19CB-5906-4EC8-9216-5F8B569832D1}"/>
    <cellStyle name="Normal 4 2 4 3 2 5 2 3" xfId="13644" xr:uid="{4982465E-7DBD-4C02-B53A-C2D23F945D54}"/>
    <cellStyle name="Normal 4 2 4 3 2 5 3" xfId="6390" xr:uid="{00000000-0005-0000-0000-00008E130000}"/>
    <cellStyle name="Normal 4 2 4 3 2 5 3 2" xfId="15716" xr:uid="{347CD0BB-7A1A-4172-A4E5-8A04E4C769C5}"/>
    <cellStyle name="Normal 4 2 4 3 2 5 4" xfId="11499" xr:uid="{A0D67B5B-2F65-4CEE-BE7B-4BDF948B5AC2}"/>
    <cellStyle name="Normal 4 2 4 3 2 6" xfId="2520" xr:uid="{00000000-0005-0000-0000-00008F130000}"/>
    <cellStyle name="Normal 4 2 4 3 2 6 2" xfId="6803" xr:uid="{00000000-0005-0000-0000-000090130000}"/>
    <cellStyle name="Normal 4 2 4 3 2 6 2 2" xfId="16129" xr:uid="{3C6A6F30-0C82-484A-A048-2AABE6EC4A0B}"/>
    <cellStyle name="Normal 4 2 4 3 2 6 3" xfId="11912" xr:uid="{BB78D825-0DFE-43D0-ABBA-E2EE1889C737}"/>
    <cellStyle name="Normal 4 2 4 3 2 7" xfId="4738" xr:uid="{00000000-0005-0000-0000-000091130000}"/>
    <cellStyle name="Normal 4 2 4 3 2 7 2" xfId="14064" xr:uid="{68F6BD8C-789F-4184-B2C4-092568F77373}"/>
    <cellStyle name="Normal 4 2 4 3 2 8" xfId="9085" xr:uid="{0181E53C-86DC-4588-8447-D559FCF01541}"/>
    <cellStyle name="Normal 4 2 4 3 2 8 2" xfId="18408" xr:uid="{C290AF44-3F5B-4EC5-80D5-4B10ECD65C31}"/>
    <cellStyle name="Normal 4 2 4 3 2 9" xfId="9847" xr:uid="{0BDCFE19-1980-4FE8-A56A-A0252E09B07C}"/>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081C73AD-9386-46F3-9276-1C6A5180D6DE}"/>
    <cellStyle name="Normal 4 2 4 3 3 2 3" xfId="12404" xr:uid="{057BE1E9-264A-40E3-9809-8208356D50A7}"/>
    <cellStyle name="Normal 4 2 4 3 3 3" xfId="5150" xr:uid="{00000000-0005-0000-0000-000095130000}"/>
    <cellStyle name="Normal 4 2 4 3 3 3 2" xfId="14476" xr:uid="{6F3D26DD-7894-4426-865F-B2D68BF89A18}"/>
    <cellStyle name="Normal 4 2 4 3 3 4" xfId="9303" xr:uid="{51CE977A-E9B9-47DD-B6CE-3ECF34A578F1}"/>
    <cellStyle name="Normal 4 2 4 3 3 4 2" xfId="18616" xr:uid="{FA333519-64AB-4EE5-92E8-6B74A24FD8DB}"/>
    <cellStyle name="Normal 4 2 4 3 3 5" xfId="10259" xr:uid="{3CC374DA-C70C-4004-8B89-B06AA91E7C18}"/>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B2BFF68E-F2EA-43D2-BB90-B80B536B1824}"/>
    <cellStyle name="Normal 4 2 4 3 4 2 3" xfId="12817" xr:uid="{488BF8C3-1D68-4E3E-9352-0EB0938AC523}"/>
    <cellStyle name="Normal 4 2 4 3 4 3" xfId="5563" xr:uid="{00000000-0005-0000-0000-000099130000}"/>
    <cellStyle name="Normal 4 2 4 3 4 3 2" xfId="14889" xr:uid="{180A34C2-225B-4896-9CEA-79747D570F8B}"/>
    <cellStyle name="Normal 4 2 4 3 4 4" xfId="10672" xr:uid="{E85B8714-0488-4651-AF34-6F5238F3EF0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4511C643-37B2-493B-A465-5581D79B09D0}"/>
    <cellStyle name="Normal 4 2 4 3 5 2 3" xfId="13230" xr:uid="{18CF91CB-B703-477D-8B9A-D49B2F5BCEAB}"/>
    <cellStyle name="Normal 4 2 4 3 5 3" xfId="5976" xr:uid="{00000000-0005-0000-0000-00009D130000}"/>
    <cellStyle name="Normal 4 2 4 3 5 3 2" xfId="15302" xr:uid="{0AAF3857-E5FE-44DC-8447-CD2FE6FC992A}"/>
    <cellStyle name="Normal 4 2 4 3 5 4" xfId="11085" xr:uid="{584DCF55-2E95-4C86-BABE-7D87046AB933}"/>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58A46D42-6956-479D-95B4-4D7E06268734}"/>
    <cellStyle name="Normal 4 2 4 3 6 2 3" xfId="13643" xr:uid="{1369DC2F-B0DB-4ED0-9300-B97209444180}"/>
    <cellStyle name="Normal 4 2 4 3 6 3" xfId="6389" xr:uid="{00000000-0005-0000-0000-0000A1130000}"/>
    <cellStyle name="Normal 4 2 4 3 6 3 2" xfId="15715" xr:uid="{614CFC38-89AB-46F4-907C-5A416A352538}"/>
    <cellStyle name="Normal 4 2 4 3 6 4" xfId="11498" xr:uid="{96D6489C-19D9-4A52-918F-820210E04A2A}"/>
    <cellStyle name="Normal 4 2 4 3 7" xfId="2519" xr:uid="{00000000-0005-0000-0000-0000A2130000}"/>
    <cellStyle name="Normal 4 2 4 3 7 2" xfId="6802" xr:uid="{00000000-0005-0000-0000-0000A3130000}"/>
    <cellStyle name="Normal 4 2 4 3 7 2 2" xfId="16128" xr:uid="{A513F674-6DD1-40ED-8F0B-285FEAD620B9}"/>
    <cellStyle name="Normal 4 2 4 3 7 3" xfId="11911" xr:uid="{218A48F2-D76C-4E7A-A318-290C05F5DB83}"/>
    <cellStyle name="Normal 4 2 4 3 8" xfId="4737" xr:uid="{00000000-0005-0000-0000-0000A4130000}"/>
    <cellStyle name="Normal 4 2 4 3 8 2" xfId="14063" xr:uid="{125729D7-0E45-4BF9-915E-A0DF49AC139D}"/>
    <cellStyle name="Normal 4 2 4 3 9" xfId="8878" xr:uid="{B73EE68A-BBFC-4E7A-B773-E14FCCFC8837}"/>
    <cellStyle name="Normal 4 2 4 3 9 2" xfId="18201" xr:uid="{0AAE3BDB-4009-4FE8-B164-BBF797BD4468}"/>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03D40A0E-4781-45A5-827D-5830CB863188}"/>
    <cellStyle name="Normal 4 2 4 4 2 2 3" xfId="12406" xr:uid="{7816BCE6-F947-4F1C-8BA8-BE16B1FF8D4E}"/>
    <cellStyle name="Normal 4 2 4 4 2 3" xfId="5152" xr:uid="{00000000-0005-0000-0000-0000A9130000}"/>
    <cellStyle name="Normal 4 2 4 4 2 3 2" xfId="14478" xr:uid="{3881F350-D0F0-4073-A4BE-62F2ACD7848E}"/>
    <cellStyle name="Normal 4 2 4 4 2 4" xfId="9407" xr:uid="{5D8D6A7A-388E-41EC-80E9-28307FA015D6}"/>
    <cellStyle name="Normal 4 2 4 4 2 4 2" xfId="18720" xr:uid="{1E45FA38-D50B-4BCB-A726-6397F4E30D98}"/>
    <cellStyle name="Normal 4 2 4 4 2 5" xfId="10261" xr:uid="{280D9880-9668-4BE5-AA3E-3F192262C81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3F8F4D7D-6ABF-473E-848E-BD8A86A8F316}"/>
    <cellStyle name="Normal 4 2 4 4 3 2 3" xfId="12819" xr:uid="{9B4BDE2A-35E1-4DFD-874D-463278C50B1C}"/>
    <cellStyle name="Normal 4 2 4 4 3 3" xfId="5565" xr:uid="{00000000-0005-0000-0000-0000AD130000}"/>
    <cellStyle name="Normal 4 2 4 4 3 3 2" xfId="14891" xr:uid="{94A61D98-D22A-461D-BF94-34BDE2696F97}"/>
    <cellStyle name="Normal 4 2 4 4 3 4" xfId="10674" xr:uid="{7001F537-AB3C-4133-A42B-59449D17CD19}"/>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6934367E-C495-4F91-8A83-609726271166}"/>
    <cellStyle name="Normal 4 2 4 4 4 2 3" xfId="13232" xr:uid="{1A980B24-8252-4325-9680-96F7BD1D9143}"/>
    <cellStyle name="Normal 4 2 4 4 4 3" xfId="5978" xr:uid="{00000000-0005-0000-0000-0000B1130000}"/>
    <cellStyle name="Normal 4 2 4 4 4 3 2" xfId="15304" xr:uid="{0CBBEC59-F3C8-4D04-956F-345E9A31700D}"/>
    <cellStyle name="Normal 4 2 4 4 4 4" xfId="11087" xr:uid="{BD2DC851-67C6-4AE6-80A3-6170D887A3BA}"/>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C5571B9A-4E11-4611-9C11-B55DBA540A26}"/>
    <cellStyle name="Normal 4 2 4 4 5 2 3" xfId="13645" xr:uid="{BF488916-4817-4685-A165-97D46A2AA7D8}"/>
    <cellStyle name="Normal 4 2 4 4 5 3" xfId="6391" xr:uid="{00000000-0005-0000-0000-0000B5130000}"/>
    <cellStyle name="Normal 4 2 4 4 5 3 2" xfId="15717" xr:uid="{50DB3330-0995-4C2B-8C5F-F77AEA8A6929}"/>
    <cellStyle name="Normal 4 2 4 4 5 4" xfId="11500" xr:uid="{DE4F98BF-F39F-4D6F-99CC-DCA63EC0258B}"/>
    <cellStyle name="Normal 4 2 4 4 6" xfId="2521" xr:uid="{00000000-0005-0000-0000-0000B6130000}"/>
    <cellStyle name="Normal 4 2 4 4 6 2" xfId="6804" xr:uid="{00000000-0005-0000-0000-0000B7130000}"/>
    <cellStyle name="Normal 4 2 4 4 6 2 2" xfId="16130" xr:uid="{FD0DA0F9-AF84-43D8-9CAB-20ECB4F5FF6C}"/>
    <cellStyle name="Normal 4 2 4 4 6 3" xfId="11913" xr:uid="{1C90EB72-D46C-4BC4-8391-06F167619918}"/>
    <cellStyle name="Normal 4 2 4 4 7" xfId="4739" xr:uid="{00000000-0005-0000-0000-0000B8130000}"/>
    <cellStyle name="Normal 4 2 4 4 7 2" xfId="14065" xr:uid="{A7BFE830-6021-4F23-B340-B735F0CBF463}"/>
    <cellStyle name="Normal 4 2 4 4 8" xfId="8982" xr:uid="{4C273C9B-E12E-4EF2-812F-666600229207}"/>
    <cellStyle name="Normal 4 2 4 4 8 2" xfId="18305" xr:uid="{8E30EA1C-EBDB-4059-8642-618FA9DDDEA6}"/>
    <cellStyle name="Normal 4 2 4 4 9" xfId="9848" xr:uid="{37BAB634-27D7-4939-8442-D7133A26FB2B}"/>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DE56B3C1-715B-4435-85E6-5AD980B1EEEF}"/>
    <cellStyle name="Normal 4 2 4 5 2 3" xfId="12399" xr:uid="{8C01A0BD-A3AE-49A0-B246-DE959E8519F1}"/>
    <cellStyle name="Normal 4 2 4 5 3" xfId="5145" xr:uid="{00000000-0005-0000-0000-0000BC130000}"/>
    <cellStyle name="Normal 4 2 4 5 3 2" xfId="14471" xr:uid="{3CE0ED59-BF27-4EF9-97CC-F16A8CA84A76}"/>
    <cellStyle name="Normal 4 2 4 5 4" xfId="9199" xr:uid="{1A9A2DC3-2FEA-4A30-A92C-84708E9B2741}"/>
    <cellStyle name="Normal 4 2 4 5 4 2" xfId="18513" xr:uid="{31962328-7C1F-4CF5-BD44-4A22E26D7FC8}"/>
    <cellStyle name="Normal 4 2 4 5 5" xfId="10254" xr:uid="{9552E4C4-145B-4530-B486-C7BAFE1C988C}"/>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6C7AFA95-709B-4B31-93DB-E2B79675072D}"/>
    <cellStyle name="Normal 4 2 4 6 2 3" xfId="12812" xr:uid="{F9B8AFA9-CC86-4580-A3C2-87110DB5D89C}"/>
    <cellStyle name="Normal 4 2 4 6 3" xfId="5558" xr:uid="{00000000-0005-0000-0000-0000C0130000}"/>
    <cellStyle name="Normal 4 2 4 6 3 2" xfId="14884" xr:uid="{D4DA782E-CBAB-4C1F-8767-6E9E9B686C9B}"/>
    <cellStyle name="Normal 4 2 4 6 4" xfId="10667" xr:uid="{88F07087-BDE6-4722-A3BB-DC6F74321431}"/>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D62A3629-5D7B-4D8A-AE49-D5DB91B9009E}"/>
    <cellStyle name="Normal 4 2 4 7 2 3" xfId="13225" xr:uid="{9FF3E802-D2C7-4130-BEF7-CC6D3550CB75}"/>
    <cellStyle name="Normal 4 2 4 7 3" xfId="5971" xr:uid="{00000000-0005-0000-0000-0000C4130000}"/>
    <cellStyle name="Normal 4 2 4 7 3 2" xfId="15297" xr:uid="{B6EACCC4-1116-4612-8C96-9DABF2C3B77C}"/>
    <cellStyle name="Normal 4 2 4 7 4" xfId="11080" xr:uid="{7AA69C2A-6485-4C25-BE4E-034FB3D2A41F}"/>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EB29C19D-95BB-412E-9B3A-CF9A2EB0BB4B}"/>
    <cellStyle name="Normal 4 2 4 8 2 3" xfId="13638" xr:uid="{D6355F72-CD86-4CEE-B830-625B3F0FD85E}"/>
    <cellStyle name="Normal 4 2 4 8 3" xfId="6384" xr:uid="{00000000-0005-0000-0000-0000C8130000}"/>
    <cellStyle name="Normal 4 2 4 8 3 2" xfId="15710" xr:uid="{B3E7B926-24BD-4E56-819E-355B2ACD0B81}"/>
    <cellStyle name="Normal 4 2 4 8 4" xfId="11493" xr:uid="{259442F2-7FC4-46F1-AE81-BF94B97AC021}"/>
    <cellStyle name="Normal 4 2 4 9" xfId="2514" xr:uid="{00000000-0005-0000-0000-0000C9130000}"/>
    <cellStyle name="Normal 4 2 4 9 2" xfId="6797" xr:uid="{00000000-0005-0000-0000-0000CA130000}"/>
    <cellStyle name="Normal 4 2 4 9 2 2" xfId="16123" xr:uid="{78A868B2-B76C-4F12-8B44-BE90F624A61B}"/>
    <cellStyle name="Normal 4 2 4 9 3" xfId="11906" xr:uid="{B90BBE3B-04CD-48B1-942C-9F361D546367}"/>
    <cellStyle name="Normal 4 2 5" xfId="363" xr:uid="{00000000-0005-0000-0000-0000CB130000}"/>
    <cellStyle name="Normal 4 2 5 10" xfId="9849" xr:uid="{28D05312-5BCB-4223-B2FE-0A36CAAA2D92}"/>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86D34A25-492B-44B1-A4E6-D088627E3211}"/>
    <cellStyle name="Normal 4 2 5 2 2 2 3" xfId="12408" xr:uid="{F2C56A8E-6823-436A-A887-595DC35E5073}"/>
    <cellStyle name="Normal 4 2 5 2 2 3" xfId="5154" xr:uid="{00000000-0005-0000-0000-0000D0130000}"/>
    <cellStyle name="Normal 4 2 5 2 2 3 2" xfId="14480" xr:uid="{1F03730F-D842-4A9D-8DC6-7A3BA71F3BFA}"/>
    <cellStyle name="Normal 4 2 5 2 2 4" xfId="9478" xr:uid="{9FEAEEC2-067D-4244-BB0F-0858128140EB}"/>
    <cellStyle name="Normal 4 2 5 2 2 4 2" xfId="18791" xr:uid="{E3E16155-64B1-4D4A-A273-CC3A0C6DC567}"/>
    <cellStyle name="Normal 4 2 5 2 2 5" xfId="10263" xr:uid="{8BE22C79-8E92-4D48-A70A-A84493AEB03F}"/>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904EE720-238B-4C87-984C-AAAD76408BE9}"/>
    <cellStyle name="Normal 4 2 5 2 3 2 3" xfId="12821" xr:uid="{A9B611FB-BD20-4E74-B5FD-53978B5461B8}"/>
    <cellStyle name="Normal 4 2 5 2 3 3" xfId="5567" xr:uid="{00000000-0005-0000-0000-0000D4130000}"/>
    <cellStyle name="Normal 4 2 5 2 3 3 2" xfId="14893" xr:uid="{96DA3845-132C-49C3-82B0-CF43250AD2CE}"/>
    <cellStyle name="Normal 4 2 5 2 3 4" xfId="10676" xr:uid="{FBE08E52-F8E6-46A9-8F42-6592520647E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81448D0D-7E83-4094-8D7A-3288CF44CBB9}"/>
    <cellStyle name="Normal 4 2 5 2 4 2 3" xfId="13234" xr:uid="{B8FC96C1-971F-49D4-B6A8-FECDE38804E1}"/>
    <cellStyle name="Normal 4 2 5 2 4 3" xfId="5980" xr:uid="{00000000-0005-0000-0000-0000D8130000}"/>
    <cellStyle name="Normal 4 2 5 2 4 3 2" xfId="15306" xr:uid="{FDE8EECD-082D-4052-A59C-C2F7031B9648}"/>
    <cellStyle name="Normal 4 2 5 2 4 4" xfId="11089" xr:uid="{918A89E7-B022-4D70-AE67-A4621F91C48A}"/>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7401EE3A-4DB4-47FA-AD9F-6D1240BF0CDC}"/>
    <cellStyle name="Normal 4 2 5 2 5 2 3" xfId="13647" xr:uid="{5937034F-5B68-4919-988C-C1D64B78684D}"/>
    <cellStyle name="Normal 4 2 5 2 5 3" xfId="6393" xr:uid="{00000000-0005-0000-0000-0000DC130000}"/>
    <cellStyle name="Normal 4 2 5 2 5 3 2" xfId="15719" xr:uid="{0435FE97-A780-4EF3-8FEB-C0D6708A8FFC}"/>
    <cellStyle name="Normal 4 2 5 2 5 4" xfId="11502" xr:uid="{876A998B-D3C3-42D9-8AE3-8565397AB724}"/>
    <cellStyle name="Normal 4 2 5 2 6" xfId="2523" xr:uid="{00000000-0005-0000-0000-0000DD130000}"/>
    <cellStyle name="Normal 4 2 5 2 6 2" xfId="6806" xr:uid="{00000000-0005-0000-0000-0000DE130000}"/>
    <cellStyle name="Normal 4 2 5 2 6 2 2" xfId="16132" xr:uid="{76C684CE-AEC2-4859-951D-C4F7DB9D7AFA}"/>
    <cellStyle name="Normal 4 2 5 2 6 3" xfId="11915" xr:uid="{BFC9524D-1993-44C5-A2C8-CB3E7E22DD92}"/>
    <cellStyle name="Normal 4 2 5 2 7" xfId="4741" xr:uid="{00000000-0005-0000-0000-0000DF130000}"/>
    <cellStyle name="Normal 4 2 5 2 7 2" xfId="14067" xr:uid="{CBF4CFC9-DCBA-4958-A5CE-AFD33A391DD2}"/>
    <cellStyle name="Normal 4 2 5 2 8" xfId="9053" xr:uid="{0AE18A98-D9E6-47B9-86B0-DDAD3BC77B48}"/>
    <cellStyle name="Normal 4 2 5 2 8 2" xfId="18376" xr:uid="{C69C59F4-7B6B-42F3-8F99-466D8949D869}"/>
    <cellStyle name="Normal 4 2 5 2 9" xfId="9850" xr:uid="{0F096C9D-558E-47F0-82EE-79C45F204D19}"/>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D54C3849-B857-4BEF-9ED5-47C35C814998}"/>
    <cellStyle name="Normal 4 2 5 3 2 3" xfId="12407" xr:uid="{73A96331-E286-46CE-8564-2099E7054F0F}"/>
    <cellStyle name="Normal 4 2 5 3 3" xfId="5153" xr:uid="{00000000-0005-0000-0000-0000E3130000}"/>
    <cellStyle name="Normal 4 2 5 3 3 2" xfId="14479" xr:uid="{F9FC9EE9-2E9D-449C-A237-1CACE8FE8C63}"/>
    <cellStyle name="Normal 4 2 5 3 4" xfId="9271" xr:uid="{41AE7BB1-E3C7-48BD-B24F-55AE39E68BB6}"/>
    <cellStyle name="Normal 4 2 5 3 4 2" xfId="18584" xr:uid="{7F62626C-D770-4180-8478-5A7B6933E259}"/>
    <cellStyle name="Normal 4 2 5 3 5" xfId="10262" xr:uid="{215FDF74-FFDD-4DB4-AB7E-19363D778A61}"/>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42CF6AFF-55E9-4EF8-9ABB-CABADE44343D}"/>
    <cellStyle name="Normal 4 2 5 4 2 3" xfId="12820" xr:uid="{F08A59B7-0E73-4932-B40A-B1F1283E7C30}"/>
    <cellStyle name="Normal 4 2 5 4 3" xfId="5566" xr:uid="{00000000-0005-0000-0000-0000E7130000}"/>
    <cellStyle name="Normal 4 2 5 4 3 2" xfId="14892" xr:uid="{6B897F44-D00A-43AF-9A48-71B10FE3EEF6}"/>
    <cellStyle name="Normal 4 2 5 4 4" xfId="10675" xr:uid="{5BD64A61-381C-4BFB-9A80-69B3F99835B9}"/>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9A19A102-55C7-48CE-A486-E1C42BBCF59D}"/>
    <cellStyle name="Normal 4 2 5 5 2 3" xfId="13233" xr:uid="{482B828A-4019-4F4B-9919-76AEF811F39A}"/>
    <cellStyle name="Normal 4 2 5 5 3" xfId="5979" xr:uid="{00000000-0005-0000-0000-0000EB130000}"/>
    <cellStyle name="Normal 4 2 5 5 3 2" xfId="15305" xr:uid="{4FD42F09-CC31-4950-986C-BFCFB6D2FD5D}"/>
    <cellStyle name="Normal 4 2 5 5 4" xfId="11088" xr:uid="{08B8314C-0B36-4BE2-B4EC-D04A1FE28A3A}"/>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123B31FC-0A76-40B3-8A61-76E0693CB6D0}"/>
    <cellStyle name="Normal 4 2 5 6 2 3" xfId="13646" xr:uid="{3F5E942A-1E67-4EA9-AB7F-F9E25CC656AE}"/>
    <cellStyle name="Normal 4 2 5 6 3" xfId="6392" xr:uid="{00000000-0005-0000-0000-0000EF130000}"/>
    <cellStyle name="Normal 4 2 5 6 3 2" xfId="15718" xr:uid="{2CB5D5B2-937E-45BE-8B96-0924CE92CC44}"/>
    <cellStyle name="Normal 4 2 5 6 4" xfId="11501" xr:uid="{12BD4453-4200-44D8-8EDB-FA14622FA998}"/>
    <cellStyle name="Normal 4 2 5 7" xfId="2522" xr:uid="{00000000-0005-0000-0000-0000F0130000}"/>
    <cellStyle name="Normal 4 2 5 7 2" xfId="6805" xr:uid="{00000000-0005-0000-0000-0000F1130000}"/>
    <cellStyle name="Normal 4 2 5 7 2 2" xfId="16131" xr:uid="{5653DFA4-E369-43D8-8FE3-77AF9B816767}"/>
    <cellStyle name="Normal 4 2 5 7 3" xfId="11914" xr:uid="{3B80318E-642C-4C58-841B-41B3CAFA1B1D}"/>
    <cellStyle name="Normal 4 2 5 8" xfId="4740" xr:uid="{00000000-0005-0000-0000-0000F2130000}"/>
    <cellStyle name="Normal 4 2 5 8 2" xfId="14066" xr:uid="{64865D39-4206-4765-9CBC-715C03F9DE2B}"/>
    <cellStyle name="Normal 4 2 5 9" xfId="8846" xr:uid="{C69C7E2D-02E8-4C87-9C63-A39D0E37A062}"/>
    <cellStyle name="Normal 4 2 5 9 2" xfId="18169" xr:uid="{A6105E54-96DD-481C-9380-026432FFCF1D}"/>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DF82C3B2-83BF-4561-90CF-DB3AB774FC3C}"/>
    <cellStyle name="Normal 4 2 6 2 2 3" xfId="12409" xr:uid="{7D16AF46-404C-41B5-9020-53AEC51DDD94}"/>
    <cellStyle name="Normal 4 2 6 2 3" xfId="5155" xr:uid="{00000000-0005-0000-0000-0000F7130000}"/>
    <cellStyle name="Normal 4 2 6 2 3 2" xfId="14481" xr:uid="{50208810-28E0-42E1-A76E-1D6F86A4EEEB}"/>
    <cellStyle name="Normal 4 2 6 2 4" xfId="9387" xr:uid="{933EA8C7-37F7-4AF2-922A-47A5CB1A47BC}"/>
    <cellStyle name="Normal 4 2 6 2 4 2" xfId="18700" xr:uid="{3A6D039D-6952-4957-AF6D-47E77A035799}"/>
    <cellStyle name="Normal 4 2 6 2 5" xfId="10264" xr:uid="{BDB86CF8-8068-4EB0-8279-80084F6EE8BD}"/>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CB5029A1-9BE8-45E4-B3B9-39A94614EA78}"/>
    <cellStyle name="Normal 4 2 6 3 2 3" xfId="12822" xr:uid="{B4DDDAA1-7BA2-4DAA-A212-C96602C2979F}"/>
    <cellStyle name="Normal 4 2 6 3 3" xfId="5568" xr:uid="{00000000-0005-0000-0000-0000FB130000}"/>
    <cellStyle name="Normal 4 2 6 3 3 2" xfId="14894" xr:uid="{8830FB8D-830A-42B2-A3B8-4C2CACA6B568}"/>
    <cellStyle name="Normal 4 2 6 3 4" xfId="10677" xr:uid="{3BE8E2C5-3456-47CA-B675-ECBC126EBDD2}"/>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4082D209-D091-45D4-B10E-6CD0A380189C}"/>
    <cellStyle name="Normal 4 2 6 4 2 3" xfId="13235" xr:uid="{ABC33254-2A1E-4995-B530-057FAB7C41C2}"/>
    <cellStyle name="Normal 4 2 6 4 3" xfId="5981" xr:uid="{00000000-0005-0000-0000-0000FF130000}"/>
    <cellStyle name="Normal 4 2 6 4 3 2" xfId="15307" xr:uid="{DDED51F8-42EB-4825-A05A-0A46F32C55C7}"/>
    <cellStyle name="Normal 4 2 6 4 4" xfId="11090" xr:uid="{BDC40185-921F-46EC-BD7C-3833B121DD8E}"/>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0F6F3029-AFF3-4DEA-8623-5F123D4283C9}"/>
    <cellStyle name="Normal 4 2 6 5 2 3" xfId="13648" xr:uid="{063890EA-B652-46B9-9F8A-3234A6A614E4}"/>
    <cellStyle name="Normal 4 2 6 5 3" xfId="6394" xr:uid="{00000000-0005-0000-0000-000003140000}"/>
    <cellStyle name="Normal 4 2 6 5 3 2" xfId="15720" xr:uid="{A6DE2CCF-A026-4D77-80A9-F34D6EC6440A}"/>
    <cellStyle name="Normal 4 2 6 5 4" xfId="11503" xr:uid="{B23079DF-9007-4D6F-930C-38A78430000E}"/>
    <cellStyle name="Normal 4 2 6 6" xfId="2524" xr:uid="{00000000-0005-0000-0000-000004140000}"/>
    <cellStyle name="Normal 4 2 6 6 2" xfId="6807" xr:uid="{00000000-0005-0000-0000-000005140000}"/>
    <cellStyle name="Normal 4 2 6 6 2 2" xfId="16133" xr:uid="{B92D3590-3DEA-4BFE-9C54-22C8F65C1A43}"/>
    <cellStyle name="Normal 4 2 6 6 3" xfId="11916" xr:uid="{F1AA296E-79D0-45DD-B03B-E40048108F06}"/>
    <cellStyle name="Normal 4 2 6 7" xfId="4742" xr:uid="{00000000-0005-0000-0000-000006140000}"/>
    <cellStyle name="Normal 4 2 6 7 2" xfId="14068" xr:uid="{D8C4CB62-EC03-40EA-845F-0CA3EEE28CB0}"/>
    <cellStyle name="Normal 4 2 6 8" xfId="8962" xr:uid="{1A1596D6-3914-4465-A638-E540359059D2}"/>
    <cellStyle name="Normal 4 2 6 8 2" xfId="18285" xr:uid="{26BD736C-2FDC-4EB4-8BF9-8CEADD615527}"/>
    <cellStyle name="Normal 4 2 6 9" xfId="9851" xr:uid="{DAE2992F-AC61-47B2-B3D1-0A0EF5068AAA}"/>
    <cellStyle name="Normal 4 2 7" xfId="9165" xr:uid="{6363F967-7399-442D-B2CE-00085FF7F1E8}"/>
    <cellStyle name="Normal 4 2 7 2" xfId="18481" xr:uid="{CF0FE062-75A9-4B7A-BA3E-6195ABA49657}"/>
    <cellStyle name="Normal 4 2 8" xfId="8743" xr:uid="{E2B8331F-47F9-4829-99C7-E05840A106B9}"/>
    <cellStyle name="Normal 4 2 8 2" xfId="18066" xr:uid="{A1EEFCDC-CD2D-48B0-88C4-E1315E8090CC}"/>
    <cellStyle name="Normal 4 3" xfId="366" xr:uid="{00000000-0005-0000-0000-000007140000}"/>
    <cellStyle name="Normal 4 3 10" xfId="9852" xr:uid="{F3157E0B-489A-4C3B-BC80-7C42AD59B0D5}"/>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5" xr:uid="{815D0901-E541-4902-B583-D65C3591EADA}"/>
    <cellStyle name="Normal 4 3 2 2 2 11" xfId="9853" xr:uid="{F12A6A53-B8E7-470B-87CD-3D274E4970DC}"/>
    <cellStyle name="Normal 4 3 2 2 2 2" xfId="370" xr:uid="{00000000-0005-0000-0000-00000B140000}"/>
    <cellStyle name="Normal 4 3 2 2 2 2 10" xfId="9854" xr:uid="{81A87AE2-D23F-4FAA-BBA0-B091435856F9}"/>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4D724868-4BCD-4D3B-A029-F1CE28AED3ED}"/>
    <cellStyle name="Normal 4 3 2 2 2 2 2 2 2 3" xfId="12413" xr:uid="{9B1D94B4-41BA-4FB7-BCEF-A329990D051C}"/>
    <cellStyle name="Normal 4 3 2 2 2 2 2 2 3" xfId="5159" xr:uid="{00000000-0005-0000-0000-000010140000}"/>
    <cellStyle name="Normal 4 3 2 2 2 2 2 2 3 2" xfId="14485" xr:uid="{76EF46FD-BC36-4E58-B08F-D1E2E713511A}"/>
    <cellStyle name="Normal 4 3 2 2 2 2 2 2 4" xfId="9557" xr:uid="{4F6BDD99-7BF1-4D2F-9EDC-4F75F1942DB4}"/>
    <cellStyle name="Normal 4 3 2 2 2 2 2 2 4 2" xfId="18870" xr:uid="{8A255622-087E-401D-B36A-7198EE519336}"/>
    <cellStyle name="Normal 4 3 2 2 2 2 2 2 5" xfId="10268" xr:uid="{ABCE0F10-EE21-4F44-8F4A-74D8AF25590B}"/>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F3070356-D666-46DF-B664-111715B8ABC9}"/>
    <cellStyle name="Normal 4 3 2 2 2 2 2 3 2 3" xfId="12826" xr:uid="{CB00B93A-B96F-49CC-B171-F37196047C8F}"/>
    <cellStyle name="Normal 4 3 2 2 2 2 2 3 3" xfId="5572" xr:uid="{00000000-0005-0000-0000-000014140000}"/>
    <cellStyle name="Normal 4 3 2 2 2 2 2 3 3 2" xfId="14898" xr:uid="{5095C02F-42C8-475D-A858-ACCE38BDB560}"/>
    <cellStyle name="Normal 4 3 2 2 2 2 2 3 4" xfId="10681" xr:uid="{27B3180F-48F4-4FBD-879D-1B784B926E69}"/>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3B33EBEF-CD46-4DE6-AAF9-2A28868CA86D}"/>
    <cellStyle name="Normal 4 3 2 2 2 2 2 4 2 3" xfId="13239" xr:uid="{3CE41972-0651-408C-9D33-F0CD22008E37}"/>
    <cellStyle name="Normal 4 3 2 2 2 2 2 4 3" xfId="5985" xr:uid="{00000000-0005-0000-0000-000018140000}"/>
    <cellStyle name="Normal 4 3 2 2 2 2 2 4 3 2" xfId="15311" xr:uid="{9594F999-CB9D-4730-A259-55CAF9FC84F8}"/>
    <cellStyle name="Normal 4 3 2 2 2 2 2 4 4" xfId="11094" xr:uid="{B60B6E61-7D5B-4577-99A2-5B5159FC4CD9}"/>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F8D9A4CF-F275-4CB6-A87A-C06C27C07FFD}"/>
    <cellStyle name="Normal 4 3 2 2 2 2 2 5 2 3" xfId="13652" xr:uid="{31454D67-4C5B-46E8-8711-18A5CC00E2AE}"/>
    <cellStyle name="Normal 4 3 2 2 2 2 2 5 3" xfId="6398" xr:uid="{00000000-0005-0000-0000-00001C140000}"/>
    <cellStyle name="Normal 4 3 2 2 2 2 2 5 3 2" xfId="15724" xr:uid="{F45CB490-8284-480E-908F-33913688F7B3}"/>
    <cellStyle name="Normal 4 3 2 2 2 2 2 5 4" xfId="11507" xr:uid="{16EB6722-AF12-480A-8A0B-6E5059A0F9EB}"/>
    <cellStyle name="Normal 4 3 2 2 2 2 2 6" xfId="2528" xr:uid="{00000000-0005-0000-0000-00001D140000}"/>
    <cellStyle name="Normal 4 3 2 2 2 2 2 6 2" xfId="6811" xr:uid="{00000000-0005-0000-0000-00001E140000}"/>
    <cellStyle name="Normal 4 3 2 2 2 2 2 6 2 2" xfId="16137" xr:uid="{14C341C2-8668-4EB1-9D09-59B1CA46DA97}"/>
    <cellStyle name="Normal 4 3 2 2 2 2 2 6 3" xfId="11920" xr:uid="{432519FE-8419-431B-8A5E-B385BCF35EE0}"/>
    <cellStyle name="Normal 4 3 2 2 2 2 2 7" xfId="4746" xr:uid="{00000000-0005-0000-0000-00001F140000}"/>
    <cellStyle name="Normal 4 3 2 2 2 2 2 7 2" xfId="14072" xr:uid="{1A1CD7D0-01B5-4ED4-AA36-49EDD262095F}"/>
    <cellStyle name="Normal 4 3 2 2 2 2 2 8" xfId="9132" xr:uid="{14F6ED12-EABF-4C82-AD59-55D351026913}"/>
    <cellStyle name="Normal 4 3 2 2 2 2 2 8 2" xfId="18455" xr:uid="{CE8D3C9E-7363-4024-9023-9F8B7E9A0E4F}"/>
    <cellStyle name="Normal 4 3 2 2 2 2 2 9" xfId="9855" xr:uid="{617DB0AF-2962-40BE-B547-91E811EED92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843D8555-2A3F-499C-8393-D2AA9E47E25C}"/>
    <cellStyle name="Normal 4 3 2 2 2 2 3 2 3" xfId="12412" xr:uid="{185ED545-5B6B-48C5-9914-B84503FB797E}"/>
    <cellStyle name="Normal 4 3 2 2 2 2 3 3" xfId="5158" xr:uid="{00000000-0005-0000-0000-000023140000}"/>
    <cellStyle name="Normal 4 3 2 2 2 2 3 3 2" xfId="14484" xr:uid="{F979EE63-C4B9-44B8-BE65-8D26FEC5346F}"/>
    <cellStyle name="Normal 4 3 2 2 2 2 3 4" xfId="9350" xr:uid="{DFFEAFB7-A284-4FD9-B115-C19DA011CCC7}"/>
    <cellStyle name="Normal 4 3 2 2 2 2 3 4 2" xfId="18663" xr:uid="{4C29E4A6-06A4-4796-88DF-0777B0C74551}"/>
    <cellStyle name="Normal 4 3 2 2 2 2 3 5" xfId="10267" xr:uid="{BF2824F7-B95E-44B6-BA03-ED7BFE058021}"/>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433A10F8-14BB-4AF7-A8AD-F89D7BCCBC27}"/>
    <cellStyle name="Normal 4 3 2 2 2 2 4 2 3" xfId="12825" xr:uid="{801008B7-9906-44AA-A74B-9554F0B01A44}"/>
    <cellStyle name="Normal 4 3 2 2 2 2 4 3" xfId="5571" xr:uid="{00000000-0005-0000-0000-000027140000}"/>
    <cellStyle name="Normal 4 3 2 2 2 2 4 3 2" xfId="14897" xr:uid="{81C36F98-9229-4B4C-86DA-AF9A813149BA}"/>
    <cellStyle name="Normal 4 3 2 2 2 2 4 4" xfId="10680" xr:uid="{45C9DD25-0FE1-4737-9833-95D54AACDC46}"/>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A0256665-DC0A-4113-BEFE-B63B6D769F86}"/>
    <cellStyle name="Normal 4 3 2 2 2 2 5 2 3" xfId="13238" xr:uid="{6ADDBCB6-4A85-4995-B30D-DC604AED8BCB}"/>
    <cellStyle name="Normal 4 3 2 2 2 2 5 3" xfId="5984" xr:uid="{00000000-0005-0000-0000-00002B140000}"/>
    <cellStyle name="Normal 4 3 2 2 2 2 5 3 2" xfId="15310" xr:uid="{93E15218-46F6-4C0C-9E24-12A2795AE073}"/>
    <cellStyle name="Normal 4 3 2 2 2 2 5 4" xfId="11093" xr:uid="{C0C41C3B-2782-4BF0-BC4D-B68D7EF3A5B2}"/>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CE656F8C-AFAC-4AE7-ADE6-40C0E13D0601}"/>
    <cellStyle name="Normal 4 3 2 2 2 2 6 2 3" xfId="13651" xr:uid="{7DCD360D-CC75-4A99-97FA-E61F7A87D09B}"/>
    <cellStyle name="Normal 4 3 2 2 2 2 6 3" xfId="6397" xr:uid="{00000000-0005-0000-0000-00002F140000}"/>
    <cellStyle name="Normal 4 3 2 2 2 2 6 3 2" xfId="15723" xr:uid="{C58B090F-1A0B-479A-9C8C-6C313398950C}"/>
    <cellStyle name="Normal 4 3 2 2 2 2 6 4" xfId="11506" xr:uid="{73A4E4F2-D772-4F70-9F3A-CBEA83DF481F}"/>
    <cellStyle name="Normal 4 3 2 2 2 2 7" xfId="2527" xr:uid="{00000000-0005-0000-0000-000030140000}"/>
    <cellStyle name="Normal 4 3 2 2 2 2 7 2" xfId="6810" xr:uid="{00000000-0005-0000-0000-000031140000}"/>
    <cellStyle name="Normal 4 3 2 2 2 2 7 2 2" xfId="16136" xr:uid="{78AF7350-085A-49E3-9306-26A5EB7B8D22}"/>
    <cellStyle name="Normal 4 3 2 2 2 2 7 3" xfId="11919" xr:uid="{A69C4D7C-0381-4279-AB8B-C507B2FC9E21}"/>
    <cellStyle name="Normal 4 3 2 2 2 2 8" xfId="4745" xr:uid="{00000000-0005-0000-0000-000032140000}"/>
    <cellStyle name="Normal 4 3 2 2 2 2 8 2" xfId="14071" xr:uid="{FF70BADF-5FE9-4537-9FF4-2BF830BE9272}"/>
    <cellStyle name="Normal 4 3 2 2 2 2 9" xfId="8925" xr:uid="{71BB8AFA-37D7-474D-A12B-C284DDE23CE9}"/>
    <cellStyle name="Normal 4 3 2 2 2 2 9 2" xfId="18248" xr:uid="{759E2F0E-6295-4116-A13E-DA5420099AB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70CED66C-A997-4522-A8B6-84C85D8B283F}"/>
    <cellStyle name="Normal 4 3 2 2 2 3 2 2 3" xfId="12414" xr:uid="{5F7BEF85-1994-4952-BC6A-4FB285137C9E}"/>
    <cellStyle name="Normal 4 3 2 2 2 3 2 3" xfId="5160" xr:uid="{00000000-0005-0000-0000-000037140000}"/>
    <cellStyle name="Normal 4 3 2 2 2 3 2 3 2" xfId="14486" xr:uid="{C1C83406-F67B-457F-BA93-7759C65DF353}"/>
    <cellStyle name="Normal 4 3 2 2 2 3 2 4" xfId="9454" xr:uid="{B81F5EAA-7D8E-43B5-94D7-313E66088BA5}"/>
    <cellStyle name="Normal 4 3 2 2 2 3 2 4 2" xfId="18767" xr:uid="{959A9F91-CFF6-45D8-ADDE-EC8B0F06FFAD}"/>
    <cellStyle name="Normal 4 3 2 2 2 3 2 5" xfId="10269" xr:uid="{80838C9C-C836-4292-940F-2B16FA8A5CA7}"/>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1863C74A-0088-4F6B-BDD2-2ADBA5F372BA}"/>
    <cellStyle name="Normal 4 3 2 2 2 3 3 2 3" xfId="12827" xr:uid="{652C38F6-87D4-4563-8C0B-9C51C0EF319E}"/>
    <cellStyle name="Normal 4 3 2 2 2 3 3 3" xfId="5573" xr:uid="{00000000-0005-0000-0000-00003B140000}"/>
    <cellStyle name="Normal 4 3 2 2 2 3 3 3 2" xfId="14899" xr:uid="{106CE2CD-5182-49F9-B60C-26BCED25164B}"/>
    <cellStyle name="Normal 4 3 2 2 2 3 3 4" xfId="10682" xr:uid="{A005F2CE-933D-438D-88F6-00E10AE24CAB}"/>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70E1B11C-66CD-44EF-91A5-0976C59856AB}"/>
    <cellStyle name="Normal 4 3 2 2 2 3 4 2 3" xfId="13240" xr:uid="{100A890C-7657-4EEE-99F5-8AD5801F6A41}"/>
    <cellStyle name="Normal 4 3 2 2 2 3 4 3" xfId="5986" xr:uid="{00000000-0005-0000-0000-00003F140000}"/>
    <cellStyle name="Normal 4 3 2 2 2 3 4 3 2" xfId="15312" xr:uid="{B9CDCBC5-9FB9-4543-B5C4-BB3358350C93}"/>
    <cellStyle name="Normal 4 3 2 2 2 3 4 4" xfId="11095" xr:uid="{339A5870-2B85-4E5E-98EE-5AC17B3CF692}"/>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13D64F05-2433-49D9-84C2-2C65040B8BDF}"/>
    <cellStyle name="Normal 4 3 2 2 2 3 5 2 3" xfId="13653" xr:uid="{5A597269-FD79-4523-AD1A-D586E8ED08A9}"/>
    <cellStyle name="Normal 4 3 2 2 2 3 5 3" xfId="6399" xr:uid="{00000000-0005-0000-0000-000043140000}"/>
    <cellStyle name="Normal 4 3 2 2 2 3 5 3 2" xfId="15725" xr:uid="{A88E411A-BA8F-4304-A518-EA0CD993AA59}"/>
    <cellStyle name="Normal 4 3 2 2 2 3 5 4" xfId="11508" xr:uid="{347050CD-6096-423F-9DB5-22A4381E942C}"/>
    <cellStyle name="Normal 4 3 2 2 2 3 6" xfId="2529" xr:uid="{00000000-0005-0000-0000-000044140000}"/>
    <cellStyle name="Normal 4 3 2 2 2 3 6 2" xfId="6812" xr:uid="{00000000-0005-0000-0000-000045140000}"/>
    <cellStyle name="Normal 4 3 2 2 2 3 6 2 2" xfId="16138" xr:uid="{BE555E3D-E751-474E-8FE0-1E6F060E9813}"/>
    <cellStyle name="Normal 4 3 2 2 2 3 6 3" xfId="11921" xr:uid="{01BEDF3F-508F-4A56-B647-B88AB8D66D93}"/>
    <cellStyle name="Normal 4 3 2 2 2 3 7" xfId="4747" xr:uid="{00000000-0005-0000-0000-000046140000}"/>
    <cellStyle name="Normal 4 3 2 2 2 3 7 2" xfId="14073" xr:uid="{64C49478-E947-419C-83AE-6950C53453EE}"/>
    <cellStyle name="Normal 4 3 2 2 2 3 8" xfId="9029" xr:uid="{CC421D7E-69EF-4D96-A95C-E67F046F8D14}"/>
    <cellStyle name="Normal 4 3 2 2 2 3 8 2" xfId="18352" xr:uid="{F1FABCB8-F667-4938-AC8D-A23D4E202A8F}"/>
    <cellStyle name="Normal 4 3 2 2 2 3 9" xfId="9856" xr:uid="{FCD294F2-FA37-45E0-BAA9-926403847638}"/>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7916A367-329D-41A5-8CF1-FD857AAC617E}"/>
    <cellStyle name="Normal 4 3 2 2 2 4 2 3" xfId="12411" xr:uid="{CB185FBF-5B7A-4FBA-825E-0CA832E2A439}"/>
    <cellStyle name="Normal 4 3 2 2 2 4 3" xfId="5157" xr:uid="{00000000-0005-0000-0000-00004A140000}"/>
    <cellStyle name="Normal 4 3 2 2 2 4 3 2" xfId="14483" xr:uid="{8606942D-4A92-447A-BB27-FAC86DE63290}"/>
    <cellStyle name="Normal 4 3 2 2 2 4 4" xfId="9247" xr:uid="{70D9D224-DB0B-42B4-B4A9-BC88F455C395}"/>
    <cellStyle name="Normal 4 3 2 2 2 4 4 2" xfId="18560" xr:uid="{0BED0107-6A8F-436F-86BA-219DB7F6896E}"/>
    <cellStyle name="Normal 4 3 2 2 2 4 5" xfId="10266" xr:uid="{2789E5F1-21FA-4987-89C9-6A06C63395AE}"/>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5C831B8A-DFEC-4A14-81E8-97C0FE7FE8EF}"/>
    <cellStyle name="Normal 4 3 2 2 2 5 2 3" xfId="12824" xr:uid="{B0223A3F-8068-4530-9653-742636E975CD}"/>
    <cellStyle name="Normal 4 3 2 2 2 5 3" xfId="5570" xr:uid="{00000000-0005-0000-0000-00004E140000}"/>
    <cellStyle name="Normal 4 3 2 2 2 5 3 2" xfId="14896" xr:uid="{64A3CEA3-F8F8-494D-B9E9-9C7990F2DDBE}"/>
    <cellStyle name="Normal 4 3 2 2 2 5 4" xfId="10679" xr:uid="{FEE7418D-0611-4D9F-9F00-5559DF9E1376}"/>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97675E2B-746F-498C-9961-F8B44BCDDA59}"/>
    <cellStyle name="Normal 4 3 2 2 2 6 2 3" xfId="13237" xr:uid="{12DEB697-3CB3-4C2F-B695-57A555F1C91A}"/>
    <cellStyle name="Normal 4 3 2 2 2 6 3" xfId="5983" xr:uid="{00000000-0005-0000-0000-000052140000}"/>
    <cellStyle name="Normal 4 3 2 2 2 6 3 2" xfId="15309" xr:uid="{F1E6D966-5B68-4AEF-B701-5DDDB6B00D4A}"/>
    <cellStyle name="Normal 4 3 2 2 2 6 4" xfId="11092" xr:uid="{D7EAD920-519F-478F-9E75-201C997DA7C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0ADC903D-F705-4DC0-9B67-2F400F83729E}"/>
    <cellStyle name="Normal 4 3 2 2 2 7 2 3" xfId="13650" xr:uid="{BF397260-0B5A-4595-9125-E20F9313B248}"/>
    <cellStyle name="Normal 4 3 2 2 2 7 3" xfId="6396" xr:uid="{00000000-0005-0000-0000-000056140000}"/>
    <cellStyle name="Normal 4 3 2 2 2 7 3 2" xfId="15722" xr:uid="{88A76385-EE5B-42D3-974B-5A26408AD015}"/>
    <cellStyle name="Normal 4 3 2 2 2 7 4" xfId="11505" xr:uid="{5F528F72-8205-4D9F-8B33-6FC9D21C8659}"/>
    <cellStyle name="Normal 4 3 2 2 2 8" xfId="2526" xr:uid="{00000000-0005-0000-0000-000057140000}"/>
    <cellStyle name="Normal 4 3 2 2 2 8 2" xfId="6809" xr:uid="{00000000-0005-0000-0000-000058140000}"/>
    <cellStyle name="Normal 4 3 2 2 2 8 2 2" xfId="16135" xr:uid="{DB58450D-119B-4E32-A02D-EC23B6DC72D2}"/>
    <cellStyle name="Normal 4 3 2 2 2 8 3" xfId="11918" xr:uid="{A38769C3-B73F-478C-8292-26281974528E}"/>
    <cellStyle name="Normal 4 3 2 2 2 9" xfId="4744" xr:uid="{00000000-0005-0000-0000-000059140000}"/>
    <cellStyle name="Normal 4 3 2 2 2 9 2" xfId="14070" xr:uid="{9775EA92-F63E-435E-BB6B-30F8D04557B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4" xr:uid="{0A25FF79-CF60-4451-BE14-7B0CC4B693E1}"/>
    <cellStyle name="Normal 4 3 3 11" xfId="9857" xr:uid="{B63F5A43-728D-4045-8C43-68B627526EEE}"/>
    <cellStyle name="Normal 4 3 3 2" xfId="375" xr:uid="{00000000-0005-0000-0000-00005E140000}"/>
    <cellStyle name="Normal 4 3 3 2 10" xfId="9858" xr:uid="{1027D1E8-E92F-4D27-8593-8BF6FFA1C798}"/>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1A538B5F-DD18-449E-9499-CFC7687A64BA}"/>
    <cellStyle name="Normal 4 3 3 2 2 2 2 3" xfId="12417" xr:uid="{ADF21326-163E-4863-A2E0-0D21F8660C55}"/>
    <cellStyle name="Normal 4 3 3 2 2 2 3" xfId="5163" xr:uid="{00000000-0005-0000-0000-000063140000}"/>
    <cellStyle name="Normal 4 3 3 2 2 2 3 2" xfId="14489" xr:uid="{8B52BE51-645E-4FFE-85EA-739FFB8B21C2}"/>
    <cellStyle name="Normal 4 3 3 2 2 2 4" xfId="9556" xr:uid="{7233D5E9-9F1E-43FF-8391-DCCFDF8A705D}"/>
    <cellStyle name="Normal 4 3 3 2 2 2 4 2" xfId="18869" xr:uid="{8800A508-5E66-41CD-B64C-7A501012B009}"/>
    <cellStyle name="Normal 4 3 3 2 2 2 5" xfId="10272" xr:uid="{EB424CD4-5597-4284-8AE0-C0F9F02CD718}"/>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3E3DA360-55DE-476A-8328-69A0FFE611BB}"/>
    <cellStyle name="Normal 4 3 3 2 2 3 2 3" xfId="12830" xr:uid="{9D7EB06D-99D8-4C5B-9615-BA6E1A97D1DD}"/>
    <cellStyle name="Normal 4 3 3 2 2 3 3" xfId="5576" xr:uid="{00000000-0005-0000-0000-000067140000}"/>
    <cellStyle name="Normal 4 3 3 2 2 3 3 2" xfId="14902" xr:uid="{F2A78B36-1861-4A1A-B28E-5826D5E693A9}"/>
    <cellStyle name="Normal 4 3 3 2 2 3 4" xfId="10685" xr:uid="{F77DF20E-6C44-46C1-B4A0-81C29CDE1BEC}"/>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89AFCE02-81D2-4923-BDA3-43A0A556095C}"/>
    <cellStyle name="Normal 4 3 3 2 2 4 2 3" xfId="13243" xr:uid="{BBA97AB3-D7C3-40CF-B463-62D1DD686D5B}"/>
    <cellStyle name="Normal 4 3 3 2 2 4 3" xfId="5989" xr:uid="{00000000-0005-0000-0000-00006B140000}"/>
    <cellStyle name="Normal 4 3 3 2 2 4 3 2" xfId="15315" xr:uid="{58AA013E-84DD-492C-A88A-DA3BBC855D7E}"/>
    <cellStyle name="Normal 4 3 3 2 2 4 4" xfId="11098" xr:uid="{595FC4C6-1FF4-4AD9-8C4C-045B975956D4}"/>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FCDB9252-51C1-463C-A75B-F80BFE611201}"/>
    <cellStyle name="Normal 4 3 3 2 2 5 2 3" xfId="13656" xr:uid="{05CFFD70-B3D3-465D-B7CA-DB216C73C8E4}"/>
    <cellStyle name="Normal 4 3 3 2 2 5 3" xfId="6402" xr:uid="{00000000-0005-0000-0000-00006F140000}"/>
    <cellStyle name="Normal 4 3 3 2 2 5 3 2" xfId="15728" xr:uid="{B690F65C-2175-4425-A55B-D9D8BA449B23}"/>
    <cellStyle name="Normal 4 3 3 2 2 5 4" xfId="11511" xr:uid="{31F6A2CD-1FEA-41E0-9B8C-C0B373077F1B}"/>
    <cellStyle name="Normal 4 3 3 2 2 6" xfId="2532" xr:uid="{00000000-0005-0000-0000-000070140000}"/>
    <cellStyle name="Normal 4 3 3 2 2 6 2" xfId="6815" xr:uid="{00000000-0005-0000-0000-000071140000}"/>
    <cellStyle name="Normal 4 3 3 2 2 6 2 2" xfId="16141" xr:uid="{7296FD4A-64E2-42FD-9033-D07C3DAA4EC8}"/>
    <cellStyle name="Normal 4 3 3 2 2 6 3" xfId="11924" xr:uid="{4BFAE485-096B-4239-B996-F7297B9C7A3B}"/>
    <cellStyle name="Normal 4 3 3 2 2 7" xfId="4750" xr:uid="{00000000-0005-0000-0000-000072140000}"/>
    <cellStyle name="Normal 4 3 3 2 2 7 2" xfId="14076" xr:uid="{7C946A11-5EFD-4457-BE21-72DB1764F1B9}"/>
    <cellStyle name="Normal 4 3 3 2 2 8" xfId="9131" xr:uid="{D7BA3B10-6765-4B57-99D1-3AF7343772F8}"/>
    <cellStyle name="Normal 4 3 3 2 2 8 2" xfId="18454" xr:uid="{DA58F23F-CBBE-4246-B91C-05A0AC431627}"/>
    <cellStyle name="Normal 4 3 3 2 2 9" xfId="9859" xr:uid="{D801ADE0-A5A3-4227-8273-E0E6A800D7A7}"/>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A88BC45C-A453-4A5E-8AB6-0403C30C8D7F}"/>
    <cellStyle name="Normal 4 3 3 2 3 2 3" xfId="12416" xr:uid="{3C2212F0-302B-4DCC-9FA2-4E2D3717B9BD}"/>
    <cellStyle name="Normal 4 3 3 2 3 3" xfId="5162" xr:uid="{00000000-0005-0000-0000-000076140000}"/>
    <cellStyle name="Normal 4 3 3 2 3 3 2" xfId="14488" xr:uid="{7DAB582F-4D42-4320-BDC9-2B73F26E0A4A}"/>
    <cellStyle name="Normal 4 3 3 2 3 4" xfId="9349" xr:uid="{E498700C-D7AE-42FC-8EB1-59BA2C1BA6B9}"/>
    <cellStyle name="Normal 4 3 3 2 3 4 2" xfId="18662" xr:uid="{C4EF1CA7-9856-4E6D-877D-E11FCC59DED7}"/>
    <cellStyle name="Normal 4 3 3 2 3 5" xfId="10271" xr:uid="{C872FCF0-D37D-4402-98FD-30C8C7ABE62C}"/>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64B5DBA3-B724-4760-964F-85BC8EAE52BE}"/>
    <cellStyle name="Normal 4 3 3 2 4 2 3" xfId="12829" xr:uid="{23CEED5D-5580-48C8-8D93-DBCFE301F88C}"/>
    <cellStyle name="Normal 4 3 3 2 4 3" xfId="5575" xr:uid="{00000000-0005-0000-0000-00007A140000}"/>
    <cellStyle name="Normal 4 3 3 2 4 3 2" xfId="14901" xr:uid="{A938DFF1-AEA8-4A62-B658-22CD3ED74381}"/>
    <cellStyle name="Normal 4 3 3 2 4 4" xfId="10684" xr:uid="{137C7BB9-E2F2-48DF-BB4F-05D03CE5232E}"/>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D64A725E-9F0B-4900-97D3-0CBB32C4CDE3}"/>
    <cellStyle name="Normal 4 3 3 2 5 2 3" xfId="13242" xr:uid="{24F6BDAE-470C-45F2-944A-D4F5E066EE96}"/>
    <cellStyle name="Normal 4 3 3 2 5 3" xfId="5988" xr:uid="{00000000-0005-0000-0000-00007E140000}"/>
    <cellStyle name="Normal 4 3 3 2 5 3 2" xfId="15314" xr:uid="{9E898CC1-DB96-4B75-A64C-58456DAF2D0B}"/>
    <cellStyle name="Normal 4 3 3 2 5 4" xfId="11097" xr:uid="{5B2DDA08-E9CB-41E9-AC36-ED34D9FB189F}"/>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80223427-F41D-4F8F-AECF-44C0CF21093D}"/>
    <cellStyle name="Normal 4 3 3 2 6 2 3" xfId="13655" xr:uid="{6C178389-9416-4D6C-BDDA-E1D6AB58A21A}"/>
    <cellStyle name="Normal 4 3 3 2 6 3" xfId="6401" xr:uid="{00000000-0005-0000-0000-000082140000}"/>
    <cellStyle name="Normal 4 3 3 2 6 3 2" xfId="15727" xr:uid="{04E09B45-4BB0-49D9-B598-73B95268694C}"/>
    <cellStyle name="Normal 4 3 3 2 6 4" xfId="11510" xr:uid="{C5F370A9-A4C3-446C-B1EB-A6BC5A8D6B87}"/>
    <cellStyle name="Normal 4 3 3 2 7" xfId="2531" xr:uid="{00000000-0005-0000-0000-000083140000}"/>
    <cellStyle name="Normal 4 3 3 2 7 2" xfId="6814" xr:uid="{00000000-0005-0000-0000-000084140000}"/>
    <cellStyle name="Normal 4 3 3 2 7 2 2" xfId="16140" xr:uid="{1A3262E7-22FE-4591-81C5-8641C76C5D80}"/>
    <cellStyle name="Normal 4 3 3 2 7 3" xfId="11923" xr:uid="{0A06C51A-A42B-4467-83C2-A177A60D09BC}"/>
    <cellStyle name="Normal 4 3 3 2 8" xfId="4749" xr:uid="{00000000-0005-0000-0000-000085140000}"/>
    <cellStyle name="Normal 4 3 3 2 8 2" xfId="14075" xr:uid="{890026C9-0865-4BC9-B55B-1BF551AA5157}"/>
    <cellStyle name="Normal 4 3 3 2 9" xfId="8924" xr:uid="{F9E914C5-63E8-4CB8-8EA1-7427CE35C4AA}"/>
    <cellStyle name="Normal 4 3 3 2 9 2" xfId="18247" xr:uid="{1E2754F0-1D75-44F0-9ED0-D66A5B505C57}"/>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8E95F93A-660F-4757-993C-B3CE8A13E118}"/>
    <cellStyle name="Normal 4 3 3 3 2 2 3" xfId="12418" xr:uid="{3F0BA1D0-FB99-4F86-9938-86FFD2348CF0}"/>
    <cellStyle name="Normal 4 3 3 3 2 3" xfId="5164" xr:uid="{00000000-0005-0000-0000-00008A140000}"/>
    <cellStyle name="Normal 4 3 3 3 2 3 2" xfId="14490" xr:uid="{9FFDC5BC-1F4E-4F8D-9354-DE47BBC6D18B}"/>
    <cellStyle name="Normal 4 3 3 3 2 4" xfId="9453" xr:uid="{18D68920-503C-42C1-A733-EBE17DC6D008}"/>
    <cellStyle name="Normal 4 3 3 3 2 4 2" xfId="18766" xr:uid="{D2025E99-75C9-4B61-9A3C-04E2E4163EE9}"/>
    <cellStyle name="Normal 4 3 3 3 2 5" xfId="10273" xr:uid="{4D06CB71-E671-4C36-85AC-A3620DCD4C5F}"/>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B6C754D8-61F7-4C3C-A209-293ADA3D071E}"/>
    <cellStyle name="Normal 4 3 3 3 3 2 3" xfId="12831" xr:uid="{4BC4D5F4-9733-452B-8412-441A845F2EA3}"/>
    <cellStyle name="Normal 4 3 3 3 3 3" xfId="5577" xr:uid="{00000000-0005-0000-0000-00008E140000}"/>
    <cellStyle name="Normal 4 3 3 3 3 3 2" xfId="14903" xr:uid="{DC5A00BE-2778-46D3-B505-DD776FA98AB4}"/>
    <cellStyle name="Normal 4 3 3 3 3 4" xfId="10686" xr:uid="{A1DE6606-D820-4C2F-B500-FEAEDB0948FF}"/>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EB06A249-FBFB-49A3-88B6-88EE46C309A9}"/>
    <cellStyle name="Normal 4 3 3 3 4 2 3" xfId="13244" xr:uid="{669A1BD5-0148-40AB-A867-39036D2F0A65}"/>
    <cellStyle name="Normal 4 3 3 3 4 3" xfId="5990" xr:uid="{00000000-0005-0000-0000-000092140000}"/>
    <cellStyle name="Normal 4 3 3 3 4 3 2" xfId="15316" xr:uid="{E8E39A3F-45E6-4A36-8CAF-CA3B3637EDB8}"/>
    <cellStyle name="Normal 4 3 3 3 4 4" xfId="11099" xr:uid="{192E4E4E-5A3D-42A4-A398-8EC99ADFAC37}"/>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9DA05142-E76A-466A-8052-AA63B499568B}"/>
    <cellStyle name="Normal 4 3 3 3 5 2 3" xfId="13657" xr:uid="{58DBFA38-516B-4D70-8B20-BD3D978C2AC5}"/>
    <cellStyle name="Normal 4 3 3 3 5 3" xfId="6403" xr:uid="{00000000-0005-0000-0000-000096140000}"/>
    <cellStyle name="Normal 4 3 3 3 5 3 2" xfId="15729" xr:uid="{8BA4353E-747D-4205-83C0-1D46947E0D81}"/>
    <cellStyle name="Normal 4 3 3 3 5 4" xfId="11512" xr:uid="{5B938779-98DF-4651-B553-71140F8ACCF3}"/>
    <cellStyle name="Normal 4 3 3 3 6" xfId="2533" xr:uid="{00000000-0005-0000-0000-000097140000}"/>
    <cellStyle name="Normal 4 3 3 3 6 2" xfId="6816" xr:uid="{00000000-0005-0000-0000-000098140000}"/>
    <cellStyle name="Normal 4 3 3 3 6 2 2" xfId="16142" xr:uid="{F964BCEC-8408-4BD8-9253-0D426928E3DC}"/>
    <cellStyle name="Normal 4 3 3 3 6 3" xfId="11925" xr:uid="{8CA8D2BB-FACD-47F8-8283-979B0B58DBBB}"/>
    <cellStyle name="Normal 4 3 3 3 7" xfId="4751" xr:uid="{00000000-0005-0000-0000-000099140000}"/>
    <cellStyle name="Normal 4 3 3 3 7 2" xfId="14077" xr:uid="{E3A428F5-429A-4928-93F5-601A825BF0D5}"/>
    <cellStyle name="Normal 4 3 3 3 8" xfId="9028" xr:uid="{A0BD85BE-0D8B-455E-B326-708B8FF8A8C8}"/>
    <cellStyle name="Normal 4 3 3 3 8 2" xfId="18351" xr:uid="{C4235051-1C1F-4224-8EB4-194861B330C2}"/>
    <cellStyle name="Normal 4 3 3 3 9" xfId="9860" xr:uid="{21594491-09FA-4377-B89A-70D4EE4E6D8D}"/>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FAF94630-76CF-4446-A74C-F2C80C90631B}"/>
    <cellStyle name="Normal 4 3 3 4 2 3" xfId="12415" xr:uid="{B82AB79E-9329-418E-B1A6-634DD0B19749}"/>
    <cellStyle name="Normal 4 3 3 4 3" xfId="5161" xr:uid="{00000000-0005-0000-0000-00009D140000}"/>
    <cellStyle name="Normal 4 3 3 4 3 2" xfId="14487" xr:uid="{3EAA9F16-2E7A-487E-8EDF-B854DDA22531}"/>
    <cellStyle name="Normal 4 3 3 4 4" xfId="9246" xr:uid="{E1107DA9-8F13-4216-80A2-CEA1D2EF57FC}"/>
    <cellStyle name="Normal 4 3 3 4 4 2" xfId="18559" xr:uid="{457596DF-BCCD-4DEF-99BD-03E68B83B075}"/>
    <cellStyle name="Normal 4 3 3 4 5" xfId="10270" xr:uid="{2E7C2D87-CED3-4B7E-AFF3-8AA61F2A1D57}"/>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14B8D4DF-6D31-4E83-95F1-5F4DFA192C08}"/>
    <cellStyle name="Normal 4 3 3 5 2 3" xfId="12828" xr:uid="{F8FB9273-8069-4152-AF3A-C6F425F06461}"/>
    <cellStyle name="Normal 4 3 3 5 3" xfId="5574" xr:uid="{00000000-0005-0000-0000-0000A1140000}"/>
    <cellStyle name="Normal 4 3 3 5 3 2" xfId="14900" xr:uid="{F86E3C64-44BA-45C0-80DF-C5B92E897D5A}"/>
    <cellStyle name="Normal 4 3 3 5 4" xfId="10683" xr:uid="{E3C6BA1B-0A5C-4CC9-809F-26756A6A5DB1}"/>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792640A7-E47A-48C4-B991-AD15D2BBB32A}"/>
    <cellStyle name="Normal 4 3 3 6 2 3" xfId="13241" xr:uid="{3FD6DB73-1D00-428A-BD07-ECC7177A813B}"/>
    <cellStyle name="Normal 4 3 3 6 3" xfId="5987" xr:uid="{00000000-0005-0000-0000-0000A5140000}"/>
    <cellStyle name="Normal 4 3 3 6 3 2" xfId="15313" xr:uid="{21A52C78-88D3-4E65-806D-5591FC54CAE2}"/>
    <cellStyle name="Normal 4 3 3 6 4" xfId="11096" xr:uid="{C42CC048-ED98-4BCC-A3D3-C83A746700FC}"/>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95CDE396-EEE6-4A5D-926E-90B8C8B4631E}"/>
    <cellStyle name="Normal 4 3 3 7 2 3" xfId="13654" xr:uid="{204BFD52-9741-4A16-828C-2CB6A0CCC996}"/>
    <cellStyle name="Normal 4 3 3 7 3" xfId="6400" xr:uid="{00000000-0005-0000-0000-0000A9140000}"/>
    <cellStyle name="Normal 4 3 3 7 3 2" xfId="15726" xr:uid="{55EA08EB-8BB6-447C-B24F-5B5267199AE2}"/>
    <cellStyle name="Normal 4 3 3 7 4" xfId="11509" xr:uid="{EFB588D0-05E9-482F-88AC-DE43E25E9867}"/>
    <cellStyle name="Normal 4 3 3 8" xfId="2530" xr:uid="{00000000-0005-0000-0000-0000AA140000}"/>
    <cellStyle name="Normal 4 3 3 8 2" xfId="6813" xr:uid="{00000000-0005-0000-0000-0000AB140000}"/>
    <cellStyle name="Normal 4 3 3 8 2 2" xfId="16139" xr:uid="{CC0CFFA9-16B6-4D04-A001-A1D98058FB97}"/>
    <cellStyle name="Normal 4 3 3 8 3" xfId="11922" xr:uid="{DA69A444-AE84-4B68-95AD-19B07A553789}"/>
    <cellStyle name="Normal 4 3 3 9" xfId="4748" xr:uid="{00000000-0005-0000-0000-0000AC140000}"/>
    <cellStyle name="Normal 4 3 3 9 2" xfId="14074" xr:uid="{DBBA4447-F9F2-4424-B073-156171DE8E46}"/>
    <cellStyle name="Normal 4 3 4" xfId="842" xr:uid="{00000000-0005-0000-0000-0000AD140000}"/>
    <cellStyle name="Normal 4 3 4 2" xfId="3079" xr:uid="{00000000-0005-0000-0000-0000AE140000}"/>
    <cellStyle name="Normal 4 3 4 2 2" xfId="7301" xr:uid="{00000000-0005-0000-0000-0000AF140000}"/>
    <cellStyle name="Normal 4 3 4 2 2 2" xfId="16627" xr:uid="{C0B1502D-76EF-4EEF-B08A-8BCDBA3B552A}"/>
    <cellStyle name="Normal 4 3 4 2 3" xfId="12410" xr:uid="{25F580C1-0892-4567-A5B4-86F4881FE849}"/>
    <cellStyle name="Normal 4 3 4 3" xfId="5156" xr:uid="{00000000-0005-0000-0000-0000B0140000}"/>
    <cellStyle name="Normal 4 3 4 3 2" xfId="14482" xr:uid="{C5E87BB4-72FC-493A-9020-453480652E67}"/>
    <cellStyle name="Normal 4 3 4 4" xfId="9608" xr:uid="{C2EFFD2B-01D5-4B2B-BD85-BB4245D6A35E}"/>
    <cellStyle name="Normal 4 3 4 4 2" xfId="18907" xr:uid="{6E9A41C0-6947-44B9-BEB8-C7B65A1DD31F}"/>
    <cellStyle name="Normal 4 3 4 5" xfId="10265" xr:uid="{02AE30F2-0410-4407-8087-ECB8DA1431AD}"/>
    <cellStyle name="Normal 4 3 5" xfId="1262" xr:uid="{00000000-0005-0000-0000-0000B1140000}"/>
    <cellStyle name="Normal 4 3 5 2" xfId="3492" xr:uid="{00000000-0005-0000-0000-0000B2140000}"/>
    <cellStyle name="Normal 4 3 5 2 2" xfId="7714" xr:uid="{00000000-0005-0000-0000-0000B3140000}"/>
    <cellStyle name="Normal 4 3 5 2 2 2" xfId="17040" xr:uid="{93B35E55-4C17-4E5A-B1D9-77BF3C7A3FA7}"/>
    <cellStyle name="Normal 4 3 5 2 3" xfId="12823" xr:uid="{039A43B3-359C-4A6A-B04D-D78313A6498D}"/>
    <cellStyle name="Normal 4 3 5 3" xfId="5569" xr:uid="{00000000-0005-0000-0000-0000B4140000}"/>
    <cellStyle name="Normal 4 3 5 3 2" xfId="14895" xr:uid="{AA32D35C-9096-4CF8-8F31-F4375175F6A9}"/>
    <cellStyle name="Normal 4 3 5 4" xfId="10678" xr:uid="{DA01AB67-AFF6-410F-9FA1-2094DCA5D903}"/>
    <cellStyle name="Normal 4 3 6" xfId="1675" xr:uid="{00000000-0005-0000-0000-0000B5140000}"/>
    <cellStyle name="Normal 4 3 6 2" xfId="3905" xr:uid="{00000000-0005-0000-0000-0000B6140000}"/>
    <cellStyle name="Normal 4 3 6 2 2" xfId="8127" xr:uid="{00000000-0005-0000-0000-0000B7140000}"/>
    <cellStyle name="Normal 4 3 6 2 2 2" xfId="17453" xr:uid="{3F554D29-B14B-4261-B887-FEC9D57ED010}"/>
    <cellStyle name="Normal 4 3 6 2 3" xfId="13236" xr:uid="{81B1F512-612E-45F0-B2DB-57872FF3FC3D}"/>
    <cellStyle name="Normal 4 3 6 3" xfId="5982" xr:uid="{00000000-0005-0000-0000-0000B8140000}"/>
    <cellStyle name="Normal 4 3 6 3 2" xfId="15308" xr:uid="{B92F784D-9DE0-4B8C-870D-5A8D4241046F}"/>
    <cellStyle name="Normal 4 3 6 4" xfId="11091" xr:uid="{188ACF9B-7AE7-4729-BDA6-121862CB01BA}"/>
    <cellStyle name="Normal 4 3 7" xfId="2089" xr:uid="{00000000-0005-0000-0000-0000B9140000}"/>
    <cellStyle name="Normal 4 3 7 2" xfId="4318" xr:uid="{00000000-0005-0000-0000-0000BA140000}"/>
    <cellStyle name="Normal 4 3 7 2 2" xfId="8540" xr:uid="{00000000-0005-0000-0000-0000BB140000}"/>
    <cellStyle name="Normal 4 3 7 2 2 2" xfId="17866" xr:uid="{DD55A5B3-DEAF-43CA-8F5B-C45731D421B9}"/>
    <cellStyle name="Normal 4 3 7 2 3" xfId="13649" xr:uid="{A7A422BB-24FA-4736-ACBD-1E57D0272237}"/>
    <cellStyle name="Normal 4 3 7 3" xfId="6395" xr:uid="{00000000-0005-0000-0000-0000BC140000}"/>
    <cellStyle name="Normal 4 3 7 3 2" xfId="15721" xr:uid="{FACBA777-7C6E-410E-95F6-99DEA0BE1E18}"/>
    <cellStyle name="Normal 4 3 7 4" xfId="11504" xr:uid="{AB62259A-7C2A-4275-A5B5-A0341B9AF864}"/>
    <cellStyle name="Normal 4 3 8" xfId="2525" xr:uid="{00000000-0005-0000-0000-0000BD140000}"/>
    <cellStyle name="Normal 4 3 8 2" xfId="6808" xr:uid="{00000000-0005-0000-0000-0000BE140000}"/>
    <cellStyle name="Normal 4 3 8 2 2" xfId="16134" xr:uid="{5B98AAEF-5696-4C8D-8A3C-691D2D54204C}"/>
    <cellStyle name="Normal 4 3 8 3" xfId="11917" xr:uid="{0305C3EF-58C6-41E1-A14E-FF78A5D8032F}"/>
    <cellStyle name="Normal 4 3 9" xfId="4743" xr:uid="{00000000-0005-0000-0000-0000BF140000}"/>
    <cellStyle name="Normal 4 3 9 2" xfId="14069" xr:uid="{9C56FC8E-F0A7-4B7C-8BA3-E1F1B35BFE53}"/>
    <cellStyle name="Normal 4 4" xfId="378" xr:uid="{00000000-0005-0000-0000-0000C0140000}"/>
    <cellStyle name="Normal 4 4 10" xfId="2534" xr:uid="{00000000-0005-0000-0000-0000C1140000}"/>
    <cellStyle name="Normal 4 4 10 2" xfId="6817" xr:uid="{00000000-0005-0000-0000-0000C2140000}"/>
    <cellStyle name="Normal 4 4 10 2 2" xfId="16143" xr:uid="{54E82613-21D0-4B6F-A98D-C4546C96C303}"/>
    <cellStyle name="Normal 4 4 10 3" xfId="11926" xr:uid="{3F2366E8-69B5-4560-AE2B-05D13DD1D480}"/>
    <cellStyle name="Normal 4 4 11" xfId="4752" xr:uid="{00000000-0005-0000-0000-0000C3140000}"/>
    <cellStyle name="Normal 4 4 11 2" xfId="14078" xr:uid="{C4FE60BF-DEE1-4180-9571-A5B8C112677B}"/>
    <cellStyle name="Normal 4 4 12" xfId="8749" xr:uid="{A91736B6-873D-4B1A-8B29-18DC69E5E65F}"/>
    <cellStyle name="Normal 4 4 12 2" xfId="18072" xr:uid="{93D3C4D7-F520-4FE2-9055-9CB3DA5EC0B9}"/>
    <cellStyle name="Normal 4 4 13" xfId="9861" xr:uid="{43C80367-E0DE-4C2C-ADE4-AC22D7F1D5D8}"/>
    <cellStyle name="Normal 4 4 2" xfId="379" xr:uid="{00000000-0005-0000-0000-0000C4140000}"/>
    <cellStyle name="Normal 4 4 2 10" xfId="4753" xr:uid="{00000000-0005-0000-0000-0000C5140000}"/>
    <cellStyle name="Normal 4 4 2 10 2" xfId="14079" xr:uid="{03612CB1-507F-4B8F-8E8C-C98B6DEEE08A}"/>
    <cellStyle name="Normal 4 4 2 11" xfId="8781" xr:uid="{12B8F0AD-1EB8-4D0A-9CAD-21DEEFEDAE41}"/>
    <cellStyle name="Normal 4 4 2 11 2" xfId="18104" xr:uid="{42E1FD86-D9CB-49A8-906D-D20E5A6D61DE}"/>
    <cellStyle name="Normal 4 4 2 12" xfId="9862" xr:uid="{82E833C5-D3C5-4DD8-BBA5-F405C434DC41}"/>
    <cellStyle name="Normal 4 4 2 2" xfId="380" xr:uid="{00000000-0005-0000-0000-0000C6140000}"/>
    <cellStyle name="Normal 4 4 2 2 10" xfId="8824" xr:uid="{FF218EA8-00A9-476B-AA88-FBBBBED2D06B}"/>
    <cellStyle name="Normal 4 4 2 2 10 2" xfId="18147" xr:uid="{BD47C81A-8EE5-45AF-8A30-4802481C8CD1}"/>
    <cellStyle name="Normal 4 4 2 2 11" xfId="9863" xr:uid="{5894215C-D047-4F97-8F14-BF18CB87614B}"/>
    <cellStyle name="Normal 4 4 2 2 2" xfId="381" xr:uid="{00000000-0005-0000-0000-0000C7140000}"/>
    <cellStyle name="Normal 4 4 2 2 2 10" xfId="9864" xr:uid="{E16F6C23-D35E-41F9-895B-405A3DED5431}"/>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3A90168F-34CC-4232-9018-1F6E0C5DECC2}"/>
    <cellStyle name="Normal 4 4 2 2 2 2 2 2 3" xfId="12423" xr:uid="{5A0E4FE5-AD2F-422E-A79A-DC0B189B823D}"/>
    <cellStyle name="Normal 4 4 2 2 2 2 2 3" xfId="5169" xr:uid="{00000000-0005-0000-0000-0000CC140000}"/>
    <cellStyle name="Normal 4 4 2 2 2 2 2 3 2" xfId="14495" xr:uid="{180B47E5-EE9B-4818-9528-F84973238E89}"/>
    <cellStyle name="Normal 4 4 2 2 2 2 2 4" xfId="9559" xr:uid="{6E5E886C-D83F-47E6-AD2B-552CC2A98FD0}"/>
    <cellStyle name="Normal 4 4 2 2 2 2 2 4 2" xfId="18872" xr:uid="{15F8B354-2CF2-4A9F-B1B3-AF5BB002BFC2}"/>
    <cellStyle name="Normal 4 4 2 2 2 2 2 5" xfId="10278" xr:uid="{18DE6BCE-8783-4595-B1E9-6A64E0E7F7F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89F9EF8C-4C2E-44D5-BE67-016F4889C5D5}"/>
    <cellStyle name="Normal 4 4 2 2 2 2 3 2 3" xfId="12836" xr:uid="{031A8CE4-9A85-4DFE-B998-6AC1012F3156}"/>
    <cellStyle name="Normal 4 4 2 2 2 2 3 3" xfId="5582" xr:uid="{00000000-0005-0000-0000-0000D0140000}"/>
    <cellStyle name="Normal 4 4 2 2 2 2 3 3 2" xfId="14908" xr:uid="{51214179-4DB0-4E22-98B3-F0ABCC1BE4CB}"/>
    <cellStyle name="Normal 4 4 2 2 2 2 3 4" xfId="10691" xr:uid="{F464D86B-8DD0-4941-93F0-7CDF460B2006}"/>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4F4D1E4B-8E42-43DC-B98B-07A3929FC0EC}"/>
    <cellStyle name="Normal 4 4 2 2 2 2 4 2 3" xfId="13249" xr:uid="{FFCE60B7-0E25-4B2C-B0FD-2D7A1FBCBAA4}"/>
    <cellStyle name="Normal 4 4 2 2 2 2 4 3" xfId="5995" xr:uid="{00000000-0005-0000-0000-0000D4140000}"/>
    <cellStyle name="Normal 4 4 2 2 2 2 4 3 2" xfId="15321" xr:uid="{A690CD0E-1DDE-42E1-9DDD-CA8C13647850}"/>
    <cellStyle name="Normal 4 4 2 2 2 2 4 4" xfId="11104" xr:uid="{5DA49778-9B8D-4892-BD82-76682F3EA07B}"/>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6CED08BB-B66D-4A54-B9D3-D01944498872}"/>
    <cellStyle name="Normal 4 4 2 2 2 2 5 2 3" xfId="13662" xr:uid="{60609AC2-C04F-4694-B717-A977F92A706A}"/>
    <cellStyle name="Normal 4 4 2 2 2 2 5 3" xfId="6408" xr:uid="{00000000-0005-0000-0000-0000D8140000}"/>
    <cellStyle name="Normal 4 4 2 2 2 2 5 3 2" xfId="15734" xr:uid="{15A3E548-70DC-4E3C-A511-9624C15ED240}"/>
    <cellStyle name="Normal 4 4 2 2 2 2 5 4" xfId="11517" xr:uid="{FB77692B-403F-4351-BCA3-8A70A2D10C50}"/>
    <cellStyle name="Normal 4 4 2 2 2 2 6" xfId="2538" xr:uid="{00000000-0005-0000-0000-0000D9140000}"/>
    <cellStyle name="Normal 4 4 2 2 2 2 6 2" xfId="6821" xr:uid="{00000000-0005-0000-0000-0000DA140000}"/>
    <cellStyle name="Normal 4 4 2 2 2 2 6 2 2" xfId="16147" xr:uid="{05372A8E-C8EF-48D1-8588-CB3DD1A30AE2}"/>
    <cellStyle name="Normal 4 4 2 2 2 2 6 3" xfId="11930" xr:uid="{23147C45-5BA0-43A5-88A3-5EDCC5544D6F}"/>
    <cellStyle name="Normal 4 4 2 2 2 2 7" xfId="4756" xr:uid="{00000000-0005-0000-0000-0000DB140000}"/>
    <cellStyle name="Normal 4 4 2 2 2 2 7 2" xfId="14082" xr:uid="{D9CB36FD-1C94-4D0E-A714-DD976E8DA798}"/>
    <cellStyle name="Normal 4 4 2 2 2 2 8" xfId="9134" xr:uid="{B37D4C66-6754-4A5E-BFF7-77694E4355C2}"/>
    <cellStyle name="Normal 4 4 2 2 2 2 8 2" xfId="18457" xr:uid="{2B14AAC9-6425-4368-AF1B-D1D78A1320B4}"/>
    <cellStyle name="Normal 4 4 2 2 2 2 9" xfId="9865" xr:uid="{1E5D1146-100A-4D23-A74D-BC86D44A47C5}"/>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A962C2AA-BB3B-4A6E-BC70-446B06DDB588}"/>
    <cellStyle name="Normal 4 4 2 2 2 3 2 3" xfId="12422" xr:uid="{C46F91B8-49DC-45C1-A908-6FDAC0C32780}"/>
    <cellStyle name="Normal 4 4 2 2 2 3 3" xfId="5168" xr:uid="{00000000-0005-0000-0000-0000DF140000}"/>
    <cellStyle name="Normal 4 4 2 2 2 3 3 2" xfId="14494" xr:uid="{9CC5E442-DDEB-4CAE-B1B9-936EF34BFF1B}"/>
    <cellStyle name="Normal 4 4 2 2 2 3 4" xfId="9352" xr:uid="{76F31DA2-44D0-447F-BA9C-6271BA6AAE96}"/>
    <cellStyle name="Normal 4 4 2 2 2 3 4 2" xfId="18665" xr:uid="{5BFF6C45-F8CB-4087-B274-EEDBB08942EA}"/>
    <cellStyle name="Normal 4 4 2 2 2 3 5" xfId="10277" xr:uid="{D9DEEAF8-9356-443E-BA58-AD45415DE882}"/>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2EA67619-8EB0-44AE-AE7C-AB5F73CBB864}"/>
    <cellStyle name="Normal 4 4 2 2 2 4 2 3" xfId="12835" xr:uid="{FCB4BEEE-D191-4A52-B5C2-9F2D0A78C53E}"/>
    <cellStyle name="Normal 4 4 2 2 2 4 3" xfId="5581" xr:uid="{00000000-0005-0000-0000-0000E3140000}"/>
    <cellStyle name="Normal 4 4 2 2 2 4 3 2" xfId="14907" xr:uid="{69E71E83-FBE9-4167-8A85-AF3749FA8AF8}"/>
    <cellStyle name="Normal 4 4 2 2 2 4 4" xfId="10690" xr:uid="{D3FDF265-C882-4EC8-9DFD-7C96B7741F34}"/>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12C77932-F157-4FBE-92C7-7DDDF293EF01}"/>
    <cellStyle name="Normal 4 4 2 2 2 5 2 3" xfId="13248" xr:uid="{C9C244EB-4037-4C9F-9D9A-DC6E422AB7FA}"/>
    <cellStyle name="Normal 4 4 2 2 2 5 3" xfId="5994" xr:uid="{00000000-0005-0000-0000-0000E7140000}"/>
    <cellStyle name="Normal 4 4 2 2 2 5 3 2" xfId="15320" xr:uid="{4694B1E3-EC4D-44FD-B5A8-0397098E7187}"/>
    <cellStyle name="Normal 4 4 2 2 2 5 4" xfId="11103" xr:uid="{6CFCCE3E-987C-4402-9B54-C67CA89E828C}"/>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87787151-EF09-43AD-8490-081FED4AA8CF}"/>
    <cellStyle name="Normal 4 4 2 2 2 6 2 3" xfId="13661" xr:uid="{DE71E4E8-CAC5-4BD6-AD7A-B3F741FBAF23}"/>
    <cellStyle name="Normal 4 4 2 2 2 6 3" xfId="6407" xr:uid="{00000000-0005-0000-0000-0000EB140000}"/>
    <cellStyle name="Normal 4 4 2 2 2 6 3 2" xfId="15733" xr:uid="{E8C5259C-FD97-4C7D-AC5E-60AEAF23F5A8}"/>
    <cellStyle name="Normal 4 4 2 2 2 6 4" xfId="11516" xr:uid="{4EE24AFE-20CA-435B-A89A-3A0C7566D976}"/>
    <cellStyle name="Normal 4 4 2 2 2 7" xfId="2537" xr:uid="{00000000-0005-0000-0000-0000EC140000}"/>
    <cellStyle name="Normal 4 4 2 2 2 7 2" xfId="6820" xr:uid="{00000000-0005-0000-0000-0000ED140000}"/>
    <cellStyle name="Normal 4 4 2 2 2 7 2 2" xfId="16146" xr:uid="{ACE6387F-FCCA-4106-A40A-F6813F1F39B3}"/>
    <cellStyle name="Normal 4 4 2 2 2 7 3" xfId="11929" xr:uid="{972ED42D-0D00-4565-9EA0-C2F2413A45F4}"/>
    <cellStyle name="Normal 4 4 2 2 2 8" xfId="4755" xr:uid="{00000000-0005-0000-0000-0000EE140000}"/>
    <cellStyle name="Normal 4 4 2 2 2 8 2" xfId="14081" xr:uid="{2E87730B-8AD5-47F9-96FB-6908AE8991A5}"/>
    <cellStyle name="Normal 4 4 2 2 2 9" xfId="8927" xr:uid="{195B9197-F273-4D3B-B7A6-9CBAA360D528}"/>
    <cellStyle name="Normal 4 4 2 2 2 9 2" xfId="18250" xr:uid="{EC6A3D33-2629-4F6D-86C2-E076BB7A5D9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76827FE2-7E67-4F47-A7E4-C3D21E7CA7E8}"/>
    <cellStyle name="Normal 4 4 2 2 3 2 2 3" xfId="12424" xr:uid="{B32F198F-3B96-4016-8E9A-03EDB80B5FF1}"/>
    <cellStyle name="Normal 4 4 2 2 3 2 3" xfId="5170" xr:uid="{00000000-0005-0000-0000-0000F3140000}"/>
    <cellStyle name="Normal 4 4 2 2 3 2 3 2" xfId="14496" xr:uid="{C848A473-DFE0-4C60-9051-9D5CDBDA20C7}"/>
    <cellStyle name="Normal 4 4 2 2 3 2 4" xfId="9456" xr:uid="{7CB0B972-68D8-4A2C-A3A7-1D2BD109E44A}"/>
    <cellStyle name="Normal 4 4 2 2 3 2 4 2" xfId="18769" xr:uid="{703E89F3-CDD2-4D6A-9881-18E56FE92508}"/>
    <cellStyle name="Normal 4 4 2 2 3 2 5" xfId="10279" xr:uid="{A6F18CF0-5C62-4696-A72D-25629BC3729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CEBD9721-8384-4172-AF8D-C8226C74C804}"/>
    <cellStyle name="Normal 4 4 2 2 3 3 2 3" xfId="12837" xr:uid="{7F98775E-1A4A-4823-8385-010FF2990BF3}"/>
    <cellStyle name="Normal 4 4 2 2 3 3 3" xfId="5583" xr:uid="{00000000-0005-0000-0000-0000F7140000}"/>
    <cellStyle name="Normal 4 4 2 2 3 3 3 2" xfId="14909" xr:uid="{D9EC6547-245A-4930-A85E-05D559FD05A2}"/>
    <cellStyle name="Normal 4 4 2 2 3 3 4" xfId="10692" xr:uid="{D1ABB03C-93CD-4CF0-9B2E-8B73589EBB95}"/>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87563B0B-6A51-4C64-84EB-A74C47593F21}"/>
    <cellStyle name="Normal 4 4 2 2 3 4 2 3" xfId="13250" xr:uid="{9A63D6CA-F4D2-432D-8C5E-41C9EE555358}"/>
    <cellStyle name="Normal 4 4 2 2 3 4 3" xfId="5996" xr:uid="{00000000-0005-0000-0000-0000FB140000}"/>
    <cellStyle name="Normal 4 4 2 2 3 4 3 2" xfId="15322" xr:uid="{87CC0D75-22A6-4D9A-834A-5AE7148E72E1}"/>
    <cellStyle name="Normal 4 4 2 2 3 4 4" xfId="11105" xr:uid="{BE921C32-CD0A-4E20-9B46-1A4CB15B37DB}"/>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E74BC32F-3E28-4854-BC77-9C260DC8603D}"/>
    <cellStyle name="Normal 4 4 2 2 3 5 2 3" xfId="13663" xr:uid="{F3196F37-E0A6-4A25-809A-C88673E0F476}"/>
    <cellStyle name="Normal 4 4 2 2 3 5 3" xfId="6409" xr:uid="{00000000-0005-0000-0000-0000FF140000}"/>
    <cellStyle name="Normal 4 4 2 2 3 5 3 2" xfId="15735" xr:uid="{B40BAC46-E759-41F7-8E28-3DFD6D733800}"/>
    <cellStyle name="Normal 4 4 2 2 3 5 4" xfId="11518" xr:uid="{BFA159F1-28C6-4BBC-AF22-83294E9B9663}"/>
    <cellStyle name="Normal 4 4 2 2 3 6" xfId="2539" xr:uid="{00000000-0005-0000-0000-000000150000}"/>
    <cellStyle name="Normal 4 4 2 2 3 6 2" xfId="6822" xr:uid="{00000000-0005-0000-0000-000001150000}"/>
    <cellStyle name="Normal 4 4 2 2 3 6 2 2" xfId="16148" xr:uid="{898FF8AE-19E3-48B7-BF43-C937419A21CC}"/>
    <cellStyle name="Normal 4 4 2 2 3 6 3" xfId="11931" xr:uid="{9837C57C-66A1-43C6-B630-2BF190CDD2BE}"/>
    <cellStyle name="Normal 4 4 2 2 3 7" xfId="4757" xr:uid="{00000000-0005-0000-0000-000002150000}"/>
    <cellStyle name="Normal 4 4 2 2 3 7 2" xfId="14083" xr:uid="{23709ED2-CB2F-4ED6-8AA3-21EF9ABBFBEB}"/>
    <cellStyle name="Normal 4 4 2 2 3 8" xfId="9031" xr:uid="{F1B59444-328A-4279-8A0A-A9F7E26061D5}"/>
    <cellStyle name="Normal 4 4 2 2 3 8 2" xfId="18354" xr:uid="{CADD4084-FD90-4039-A997-F3263FCBC97B}"/>
    <cellStyle name="Normal 4 4 2 2 3 9" xfId="9866" xr:uid="{B008F347-C80E-457B-9CD7-6A186D7F0CEF}"/>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BF5A9AD9-9DBA-456B-B54E-EFDF6CEB4AFA}"/>
    <cellStyle name="Normal 4 4 2 2 4 2 3" xfId="12421" xr:uid="{5375A508-D58F-4E7D-8F69-89643191789D}"/>
    <cellStyle name="Normal 4 4 2 2 4 3" xfId="5167" xr:uid="{00000000-0005-0000-0000-000006150000}"/>
    <cellStyle name="Normal 4 4 2 2 4 3 2" xfId="14493" xr:uid="{138BD6EE-E0F3-49E9-BCEB-1C5FB779ACB0}"/>
    <cellStyle name="Normal 4 4 2 2 4 4" xfId="9249" xr:uid="{7E4CA7C7-738D-4CFA-907A-40590344548A}"/>
    <cellStyle name="Normal 4 4 2 2 4 4 2" xfId="18562" xr:uid="{FC48D25C-2EEB-4277-891F-3DF966A625E1}"/>
    <cellStyle name="Normal 4 4 2 2 4 5" xfId="10276" xr:uid="{15EF97BA-D29B-4A4E-850D-AB0B2AEFB951}"/>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9068C9B6-8FBA-4714-967B-399FEE67771C}"/>
    <cellStyle name="Normal 4 4 2 2 5 2 3" xfId="12834" xr:uid="{5B17DA15-498F-46F6-AC24-5DCA440C4E0B}"/>
    <cellStyle name="Normal 4 4 2 2 5 3" xfId="5580" xr:uid="{00000000-0005-0000-0000-00000A150000}"/>
    <cellStyle name="Normal 4 4 2 2 5 3 2" xfId="14906" xr:uid="{8A7D1B14-A66D-4793-8FF8-79443279B340}"/>
    <cellStyle name="Normal 4 4 2 2 5 4" xfId="10689" xr:uid="{C930040B-068D-4C78-82FB-E46A7FF40D8C}"/>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98B27919-6EBD-46A1-B09C-BA8DD505FAE3}"/>
    <cellStyle name="Normal 4 4 2 2 6 2 3" xfId="13247" xr:uid="{EEEE0937-B401-4237-B71A-2939CC18A75E}"/>
    <cellStyle name="Normal 4 4 2 2 6 3" xfId="5993" xr:uid="{00000000-0005-0000-0000-00000E150000}"/>
    <cellStyle name="Normal 4 4 2 2 6 3 2" xfId="15319" xr:uid="{EE95E177-6C75-4AAA-9718-4C2F61B61EA4}"/>
    <cellStyle name="Normal 4 4 2 2 6 4" xfId="11102" xr:uid="{F9D9D472-4879-4620-95CF-14AEAE3017AA}"/>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791DE04C-0FBF-4D10-9C3B-DC3D8A50A1EC}"/>
    <cellStyle name="Normal 4 4 2 2 7 2 3" xfId="13660" xr:uid="{69EEC5FF-6382-48A5-99D0-FFD14C9F03F8}"/>
    <cellStyle name="Normal 4 4 2 2 7 3" xfId="6406" xr:uid="{00000000-0005-0000-0000-000012150000}"/>
    <cellStyle name="Normal 4 4 2 2 7 3 2" xfId="15732" xr:uid="{D7673384-FF0A-43C3-87AB-F4AC44E57663}"/>
    <cellStyle name="Normal 4 4 2 2 7 4" xfId="11515" xr:uid="{E693B509-9B3A-44DD-AF8A-F3B99D64AC54}"/>
    <cellStyle name="Normal 4 4 2 2 8" xfId="2536" xr:uid="{00000000-0005-0000-0000-000013150000}"/>
    <cellStyle name="Normal 4 4 2 2 8 2" xfId="6819" xr:uid="{00000000-0005-0000-0000-000014150000}"/>
    <cellStyle name="Normal 4 4 2 2 8 2 2" xfId="16145" xr:uid="{CD22BE4C-81CA-49A9-A93F-AFECCEC50C2C}"/>
    <cellStyle name="Normal 4 4 2 2 8 3" xfId="11928" xr:uid="{EFC08D28-2559-4CBB-8F35-B2595AADBDD3}"/>
    <cellStyle name="Normal 4 4 2 2 9" xfId="4754" xr:uid="{00000000-0005-0000-0000-000015150000}"/>
    <cellStyle name="Normal 4 4 2 2 9 2" xfId="14080" xr:uid="{4BB1E78D-B7AE-463B-823A-46F2FCEDEFD7}"/>
    <cellStyle name="Normal 4 4 2 3" xfId="384" xr:uid="{00000000-0005-0000-0000-000016150000}"/>
    <cellStyle name="Normal 4 4 2 3 10" xfId="9867" xr:uid="{58D1C1F7-CC09-42BD-BBDA-7A5163F0F3A4}"/>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9368B30A-E23E-4769-BDAC-DEC96ACD6704}"/>
    <cellStyle name="Normal 4 4 2 3 2 2 2 3" xfId="12426" xr:uid="{5DEC42CA-7F98-4EDE-BDDA-9F10BDC0658C}"/>
    <cellStyle name="Normal 4 4 2 3 2 2 3" xfId="5172" xr:uid="{00000000-0005-0000-0000-00001B150000}"/>
    <cellStyle name="Normal 4 4 2 3 2 2 3 2" xfId="14498" xr:uid="{2E8FFA25-67FD-41ED-B7F7-C6FEE00D1D74}"/>
    <cellStyle name="Normal 4 4 2 3 2 2 4" xfId="9516" xr:uid="{93008D3B-5827-4778-B167-5B518B5BF56F}"/>
    <cellStyle name="Normal 4 4 2 3 2 2 4 2" xfId="18829" xr:uid="{87FC2261-0FE9-4236-AB33-5E15BACAF0EA}"/>
    <cellStyle name="Normal 4 4 2 3 2 2 5" xfId="10281" xr:uid="{ECCD0BDE-716E-4D36-B5CB-4B8656157E3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EFA74545-5CF5-4D0B-9062-4963633C75CB}"/>
    <cellStyle name="Normal 4 4 2 3 2 3 2 3" xfId="12839" xr:uid="{32948585-DDB9-4231-BBFD-3BD5D3C997A7}"/>
    <cellStyle name="Normal 4 4 2 3 2 3 3" xfId="5585" xr:uid="{00000000-0005-0000-0000-00001F150000}"/>
    <cellStyle name="Normal 4 4 2 3 2 3 3 2" xfId="14911" xr:uid="{1E538921-1322-4768-88CC-CEB94A9059B5}"/>
    <cellStyle name="Normal 4 4 2 3 2 3 4" xfId="10694" xr:uid="{CEDC5F95-689A-4120-B64A-994A2BA42DD5}"/>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AB00B9A0-EDF5-4CB7-BCDB-79C87B8E1912}"/>
    <cellStyle name="Normal 4 4 2 3 2 4 2 3" xfId="13252" xr:uid="{AAA252D8-108D-4B15-B4E6-5BD4B6B7F171}"/>
    <cellStyle name="Normal 4 4 2 3 2 4 3" xfId="5998" xr:uid="{00000000-0005-0000-0000-000023150000}"/>
    <cellStyle name="Normal 4 4 2 3 2 4 3 2" xfId="15324" xr:uid="{5FA20AD9-11A0-4593-B590-4BDB4D0B24E5}"/>
    <cellStyle name="Normal 4 4 2 3 2 4 4" xfId="11107" xr:uid="{8947C916-B639-46D3-A3C3-229C48E6332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677D3E12-FC10-42D2-AFF6-293B7FF73170}"/>
    <cellStyle name="Normal 4 4 2 3 2 5 2 3" xfId="13665" xr:uid="{805BA4EF-5421-420C-A4BB-A1E05C037B2D}"/>
    <cellStyle name="Normal 4 4 2 3 2 5 3" xfId="6411" xr:uid="{00000000-0005-0000-0000-000027150000}"/>
    <cellStyle name="Normal 4 4 2 3 2 5 3 2" xfId="15737" xr:uid="{BA2C0425-DA69-4B40-8FC1-475F2B71B301}"/>
    <cellStyle name="Normal 4 4 2 3 2 5 4" xfId="11520" xr:uid="{3F57C4F5-872C-46C8-8539-34748B1CE22B}"/>
    <cellStyle name="Normal 4 4 2 3 2 6" xfId="2541" xr:uid="{00000000-0005-0000-0000-000028150000}"/>
    <cellStyle name="Normal 4 4 2 3 2 6 2" xfId="6824" xr:uid="{00000000-0005-0000-0000-000029150000}"/>
    <cellStyle name="Normal 4 4 2 3 2 6 2 2" xfId="16150" xr:uid="{0674BEC5-B3EE-43A1-9238-595CA2297C33}"/>
    <cellStyle name="Normal 4 4 2 3 2 6 3" xfId="11933" xr:uid="{CA41F85F-C7B4-4350-B699-F8EC95CEA421}"/>
    <cellStyle name="Normal 4 4 2 3 2 7" xfId="4759" xr:uid="{00000000-0005-0000-0000-00002A150000}"/>
    <cellStyle name="Normal 4 4 2 3 2 7 2" xfId="14085" xr:uid="{E4D1BED7-1347-4442-9301-459AA827D973}"/>
    <cellStyle name="Normal 4 4 2 3 2 8" xfId="9091" xr:uid="{9DBAED0A-05EE-4674-B1B7-8D03DBB53301}"/>
    <cellStyle name="Normal 4 4 2 3 2 8 2" xfId="18414" xr:uid="{F23F04BA-DFA4-4285-B10B-A0360C4AB56F}"/>
    <cellStyle name="Normal 4 4 2 3 2 9" xfId="9868" xr:uid="{62343C2A-DFCA-41E6-80FD-81DC41B1ECDC}"/>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B026E2BA-57A4-4498-ADE8-1D710FCCC760}"/>
    <cellStyle name="Normal 4 4 2 3 3 2 3" xfId="12425" xr:uid="{9E9324D4-331B-437D-92AD-7C12EF3AF9CF}"/>
    <cellStyle name="Normal 4 4 2 3 3 3" xfId="5171" xr:uid="{00000000-0005-0000-0000-00002E150000}"/>
    <cellStyle name="Normal 4 4 2 3 3 3 2" xfId="14497" xr:uid="{3581456A-0B22-476D-9535-EDAFF1A08570}"/>
    <cellStyle name="Normal 4 4 2 3 3 4" xfId="9309" xr:uid="{73E912F6-92AF-449E-AE53-1DEDEF686C0F}"/>
    <cellStyle name="Normal 4 4 2 3 3 4 2" xfId="18622" xr:uid="{9663AD56-515D-4A19-9B52-8B2DB1617C97}"/>
    <cellStyle name="Normal 4 4 2 3 3 5" xfId="10280" xr:uid="{9A090733-F1D6-4B3E-8E8D-086F03E8E0BC}"/>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311B653B-A5EE-45CA-84BE-BA078847E7E9}"/>
    <cellStyle name="Normal 4 4 2 3 4 2 3" xfId="12838" xr:uid="{F50645D2-6046-449F-BDED-619B5E692A2E}"/>
    <cellStyle name="Normal 4 4 2 3 4 3" xfId="5584" xr:uid="{00000000-0005-0000-0000-000032150000}"/>
    <cellStyle name="Normal 4 4 2 3 4 3 2" xfId="14910" xr:uid="{75B31FC4-103B-4944-876F-213AFF3B958F}"/>
    <cellStyle name="Normal 4 4 2 3 4 4" xfId="10693" xr:uid="{0B092D97-6112-4B07-937F-110DE1120FCA}"/>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38230460-071A-4329-8AB7-5BDF6974C28C}"/>
    <cellStyle name="Normal 4 4 2 3 5 2 3" xfId="13251" xr:uid="{15551D08-6F7B-40B2-9A7B-1EF8543C1C6B}"/>
    <cellStyle name="Normal 4 4 2 3 5 3" xfId="5997" xr:uid="{00000000-0005-0000-0000-000036150000}"/>
    <cellStyle name="Normal 4 4 2 3 5 3 2" xfId="15323" xr:uid="{5892A02C-F7AB-44B3-A672-AC304B47EBDC}"/>
    <cellStyle name="Normal 4 4 2 3 5 4" xfId="11106" xr:uid="{2FDEA9A2-3D22-44D9-BAE7-4804129F456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98ECD00D-527F-4983-BA2D-70906B953472}"/>
    <cellStyle name="Normal 4 4 2 3 6 2 3" xfId="13664" xr:uid="{9237A260-34B1-49A2-9F6F-8D0E7CA1C227}"/>
    <cellStyle name="Normal 4 4 2 3 6 3" xfId="6410" xr:uid="{00000000-0005-0000-0000-00003A150000}"/>
    <cellStyle name="Normal 4 4 2 3 6 3 2" xfId="15736" xr:uid="{0E1C8119-0A6B-4C6A-99E0-C38F7A2E90F7}"/>
    <cellStyle name="Normal 4 4 2 3 6 4" xfId="11519" xr:uid="{79229BB4-1D12-45A8-B6B4-0C54747092C4}"/>
    <cellStyle name="Normal 4 4 2 3 7" xfId="2540" xr:uid="{00000000-0005-0000-0000-00003B150000}"/>
    <cellStyle name="Normal 4 4 2 3 7 2" xfId="6823" xr:uid="{00000000-0005-0000-0000-00003C150000}"/>
    <cellStyle name="Normal 4 4 2 3 7 2 2" xfId="16149" xr:uid="{05BFE56E-D2C8-403C-B19A-A8E168D6C1DA}"/>
    <cellStyle name="Normal 4 4 2 3 7 3" xfId="11932" xr:uid="{A8734724-B0D8-412F-AF3B-34D4BC9BB47C}"/>
    <cellStyle name="Normal 4 4 2 3 8" xfId="4758" xr:uid="{00000000-0005-0000-0000-00003D150000}"/>
    <cellStyle name="Normal 4 4 2 3 8 2" xfId="14084" xr:uid="{58AA65E5-7358-4FD3-A17B-BB179BC626ED}"/>
    <cellStyle name="Normal 4 4 2 3 9" xfId="8884" xr:uid="{CBA8CCC0-D2E2-46C8-AC83-39734599F615}"/>
    <cellStyle name="Normal 4 4 2 3 9 2" xfId="18207" xr:uid="{597106A8-747F-4A4D-B1B1-193D382A04D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884F29A8-2441-473F-8604-A9C57E1C7860}"/>
    <cellStyle name="Normal 4 4 2 4 2 2 3" xfId="12427" xr:uid="{3A42092D-2036-40A8-B667-6B794BB525E8}"/>
    <cellStyle name="Normal 4 4 2 4 2 3" xfId="5173" xr:uid="{00000000-0005-0000-0000-000042150000}"/>
    <cellStyle name="Normal 4 4 2 4 2 3 2" xfId="14499" xr:uid="{4515E63A-EF4C-4BD4-A882-FE9D8ECC406B}"/>
    <cellStyle name="Normal 4 4 2 4 2 4" xfId="9413" xr:uid="{4DC092EA-7C69-4E02-9FE8-33F62D070F54}"/>
    <cellStyle name="Normal 4 4 2 4 2 4 2" xfId="18726" xr:uid="{69534C26-C550-4620-B021-5219BCBDD439}"/>
    <cellStyle name="Normal 4 4 2 4 2 5" xfId="10282" xr:uid="{CA45FE45-B461-4A27-B477-394DFB41099E}"/>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541259E0-55C6-43B2-86DF-FB29E90A862F}"/>
    <cellStyle name="Normal 4 4 2 4 3 2 3" xfId="12840" xr:uid="{BED2D3B8-5CFD-4AD4-8C4C-7A2BC922A0F0}"/>
    <cellStyle name="Normal 4 4 2 4 3 3" xfId="5586" xr:uid="{00000000-0005-0000-0000-000046150000}"/>
    <cellStyle name="Normal 4 4 2 4 3 3 2" xfId="14912" xr:uid="{D79D10C9-42CB-4862-A9A5-FD6A68EED363}"/>
    <cellStyle name="Normal 4 4 2 4 3 4" xfId="10695" xr:uid="{23DF0A4B-9654-4CFD-9F60-0051F52E7B51}"/>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D20CE193-A2ED-4658-B607-6C3CD153E514}"/>
    <cellStyle name="Normal 4 4 2 4 4 2 3" xfId="13253" xr:uid="{C8B36256-EDC5-4C0D-B9A4-A27325154967}"/>
    <cellStyle name="Normal 4 4 2 4 4 3" xfId="5999" xr:uid="{00000000-0005-0000-0000-00004A150000}"/>
    <cellStyle name="Normal 4 4 2 4 4 3 2" xfId="15325" xr:uid="{1A1A8375-3C55-440A-99E8-99C6D6836015}"/>
    <cellStyle name="Normal 4 4 2 4 4 4" xfId="11108" xr:uid="{1A898EFF-6D9A-4193-AE91-BAE30CA7C3EE}"/>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5C4B1B04-57FD-48E8-B664-F03330DFE155}"/>
    <cellStyle name="Normal 4 4 2 4 5 2 3" xfId="13666" xr:uid="{AF4BC84B-1EAA-4824-BE20-201F81741C94}"/>
    <cellStyle name="Normal 4 4 2 4 5 3" xfId="6412" xr:uid="{00000000-0005-0000-0000-00004E150000}"/>
    <cellStyle name="Normal 4 4 2 4 5 3 2" xfId="15738" xr:uid="{183010FC-4D2F-4AA5-93EF-2550AD586B75}"/>
    <cellStyle name="Normal 4 4 2 4 5 4" xfId="11521" xr:uid="{1497A47B-4D5C-4368-9473-43B9DAFC9107}"/>
    <cellStyle name="Normal 4 4 2 4 6" xfId="2542" xr:uid="{00000000-0005-0000-0000-00004F150000}"/>
    <cellStyle name="Normal 4 4 2 4 6 2" xfId="6825" xr:uid="{00000000-0005-0000-0000-000050150000}"/>
    <cellStyle name="Normal 4 4 2 4 6 2 2" xfId="16151" xr:uid="{06F65F45-58BC-44A4-80DE-F0C550C7E95C}"/>
    <cellStyle name="Normal 4 4 2 4 6 3" xfId="11934" xr:uid="{4941DE0B-CBCD-4CCB-8455-90BEADF85F35}"/>
    <cellStyle name="Normal 4 4 2 4 7" xfId="4760" xr:uid="{00000000-0005-0000-0000-000051150000}"/>
    <cellStyle name="Normal 4 4 2 4 7 2" xfId="14086" xr:uid="{84B87960-9E24-4066-A77C-C839C21A5604}"/>
    <cellStyle name="Normal 4 4 2 4 8" xfId="8988" xr:uid="{F852E7B0-7ACD-4401-B3B6-BE989A5C8AD5}"/>
    <cellStyle name="Normal 4 4 2 4 8 2" xfId="18311" xr:uid="{E9A85A82-BFE3-431B-8C95-93F69AAEDAE0}"/>
    <cellStyle name="Normal 4 4 2 4 9" xfId="9869" xr:uid="{C5BB85BF-9A40-4291-BBDF-B999C3444C52}"/>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C7351D10-105F-4F77-8FAF-0BAE6B25C4C5}"/>
    <cellStyle name="Normal 4 4 2 5 2 3" xfId="12420" xr:uid="{DD7364D9-C539-4668-ACC7-3033F0602F02}"/>
    <cellStyle name="Normal 4 4 2 5 3" xfId="5166" xr:uid="{00000000-0005-0000-0000-000055150000}"/>
    <cellStyle name="Normal 4 4 2 5 3 2" xfId="14492" xr:uid="{C4C3334D-51E1-49C4-9A61-A3E08C553AB7}"/>
    <cellStyle name="Normal 4 4 2 5 4" xfId="9205" xr:uid="{A63DE01D-3EC8-40FC-A47E-E0EA001EED52}"/>
    <cellStyle name="Normal 4 4 2 5 4 2" xfId="18519" xr:uid="{22BC8A7F-2511-4C49-80B0-01627FA16E8A}"/>
    <cellStyle name="Normal 4 4 2 5 5" xfId="10275" xr:uid="{54CE45B6-DEF7-40D8-9021-2187819DB49A}"/>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F26A1BBE-7206-4344-87D3-D7F34AB7CA25}"/>
    <cellStyle name="Normal 4 4 2 6 2 3" xfId="12833" xr:uid="{D8618373-412B-458F-801B-F308AA909D6F}"/>
    <cellStyle name="Normal 4 4 2 6 3" xfId="5579" xr:uid="{00000000-0005-0000-0000-000059150000}"/>
    <cellStyle name="Normal 4 4 2 6 3 2" xfId="14905" xr:uid="{A10ABABF-43D9-413E-95E1-D14445873244}"/>
    <cellStyle name="Normal 4 4 2 6 4" xfId="10688" xr:uid="{36F83AC2-7885-40C2-856C-0C25573E3735}"/>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833E8F2A-F00E-4760-B598-1A7F39C9D95F}"/>
    <cellStyle name="Normal 4 4 2 7 2 3" xfId="13246" xr:uid="{0CBA63AA-D68E-4E8D-9EE2-49F52C1378E3}"/>
    <cellStyle name="Normal 4 4 2 7 3" xfId="5992" xr:uid="{00000000-0005-0000-0000-00005D150000}"/>
    <cellStyle name="Normal 4 4 2 7 3 2" xfId="15318" xr:uid="{86B12442-7C6C-4DF1-AB9F-948580849556}"/>
    <cellStyle name="Normal 4 4 2 7 4" xfId="11101" xr:uid="{CB8A499A-E297-495B-9365-CA9A596FF144}"/>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3D00A846-9059-41D8-A65E-9FCF8387B857}"/>
    <cellStyle name="Normal 4 4 2 8 2 3" xfId="13659" xr:uid="{E3989217-735D-4467-8ADA-CE23C8CDC679}"/>
    <cellStyle name="Normal 4 4 2 8 3" xfId="6405" xr:uid="{00000000-0005-0000-0000-000061150000}"/>
    <cellStyle name="Normal 4 4 2 8 3 2" xfId="15731" xr:uid="{BAEB7048-79A7-4B0E-9F01-E6854C7877CF}"/>
    <cellStyle name="Normal 4 4 2 8 4" xfId="11514" xr:uid="{BD1D5791-5545-4D15-BB0B-A2105CE3A3E5}"/>
    <cellStyle name="Normal 4 4 2 9" xfId="2535" xr:uid="{00000000-0005-0000-0000-000062150000}"/>
    <cellStyle name="Normal 4 4 2 9 2" xfId="6818" xr:uid="{00000000-0005-0000-0000-000063150000}"/>
    <cellStyle name="Normal 4 4 2 9 2 2" xfId="16144" xr:uid="{C015C6B5-DD36-4DB6-A906-F1AD97C3C343}"/>
    <cellStyle name="Normal 4 4 2 9 3" xfId="11927" xr:uid="{6C8740A0-235A-47AF-8611-77EC6FAE3E69}"/>
    <cellStyle name="Normal 4 4 3" xfId="387" xr:uid="{00000000-0005-0000-0000-000064150000}"/>
    <cellStyle name="Normal 4 4 3 10" xfId="8823" xr:uid="{E623F102-F69B-4FD0-BEDA-A1480AF4D892}"/>
    <cellStyle name="Normal 4 4 3 10 2" xfId="18146" xr:uid="{171AD18A-EDF5-4E2F-9078-7861BC60FAD7}"/>
    <cellStyle name="Normal 4 4 3 11" xfId="9870" xr:uid="{5A7B051B-BEB3-4415-9198-747922F9506A}"/>
    <cellStyle name="Normal 4 4 3 2" xfId="388" xr:uid="{00000000-0005-0000-0000-000065150000}"/>
    <cellStyle name="Normal 4 4 3 2 10" xfId="9871" xr:uid="{724ED44A-B27A-40FD-BEB5-5F24E867740B}"/>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2C37B87D-DCBA-4E1C-8FD1-F4C8BDC108F4}"/>
    <cellStyle name="Normal 4 4 3 2 2 2 2 3" xfId="12430" xr:uid="{9D57A9E5-0106-4369-A65A-5B2CB1685DA4}"/>
    <cellStyle name="Normal 4 4 3 2 2 2 3" xfId="5176" xr:uid="{00000000-0005-0000-0000-00006A150000}"/>
    <cellStyle name="Normal 4 4 3 2 2 2 3 2" xfId="14502" xr:uid="{16CF708D-6E83-4CC3-852C-EE450D36FD98}"/>
    <cellStyle name="Normal 4 4 3 2 2 2 4" xfId="9558" xr:uid="{8C9519E6-5920-473D-9749-EC61E4877632}"/>
    <cellStyle name="Normal 4 4 3 2 2 2 4 2" xfId="18871" xr:uid="{E4462E11-2EAA-4226-A7BF-823CD3F36F97}"/>
    <cellStyle name="Normal 4 4 3 2 2 2 5" xfId="10285" xr:uid="{BF16B542-01F9-499F-B1D7-982358567F9B}"/>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0310D347-3469-4B15-83B0-5EAA2413818F}"/>
    <cellStyle name="Normal 4 4 3 2 2 3 2 3" xfId="12843" xr:uid="{5866DA7C-05D2-4E9B-B78E-5F3038C72C8F}"/>
    <cellStyle name="Normal 4 4 3 2 2 3 3" xfId="5589" xr:uid="{00000000-0005-0000-0000-00006E150000}"/>
    <cellStyle name="Normal 4 4 3 2 2 3 3 2" xfId="14915" xr:uid="{651A6A80-5907-4D31-B14B-6E678334AFBD}"/>
    <cellStyle name="Normal 4 4 3 2 2 3 4" xfId="10698" xr:uid="{2E12460C-D750-40CF-A2C8-31934A9589BA}"/>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21CB061C-2E03-4030-B5E0-24DB8587A7C8}"/>
    <cellStyle name="Normal 4 4 3 2 2 4 2 3" xfId="13256" xr:uid="{83B87D5F-0CA0-4303-B7C0-3E012B25BEB4}"/>
    <cellStyle name="Normal 4 4 3 2 2 4 3" xfId="6002" xr:uid="{00000000-0005-0000-0000-000072150000}"/>
    <cellStyle name="Normal 4 4 3 2 2 4 3 2" xfId="15328" xr:uid="{5466CF16-5A8D-4392-88F4-87BE98D801E5}"/>
    <cellStyle name="Normal 4 4 3 2 2 4 4" xfId="11111" xr:uid="{E175D29F-8FC5-46CB-AD8C-535370660515}"/>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5E5B23CF-F4D3-4B7C-9014-197E6C294137}"/>
    <cellStyle name="Normal 4 4 3 2 2 5 2 3" xfId="13669" xr:uid="{1B05DB9C-C941-43CE-8B75-4A7B20086926}"/>
    <cellStyle name="Normal 4 4 3 2 2 5 3" xfId="6415" xr:uid="{00000000-0005-0000-0000-000076150000}"/>
    <cellStyle name="Normal 4 4 3 2 2 5 3 2" xfId="15741" xr:uid="{5D2C43CE-1FD9-48C4-BCFD-028264979AD1}"/>
    <cellStyle name="Normal 4 4 3 2 2 5 4" xfId="11524" xr:uid="{3B7728EF-2DA0-451F-A7DA-9D5C1F8076C2}"/>
    <cellStyle name="Normal 4 4 3 2 2 6" xfId="2545" xr:uid="{00000000-0005-0000-0000-000077150000}"/>
    <cellStyle name="Normal 4 4 3 2 2 6 2" xfId="6828" xr:uid="{00000000-0005-0000-0000-000078150000}"/>
    <cellStyle name="Normal 4 4 3 2 2 6 2 2" xfId="16154" xr:uid="{10EBE965-9826-475F-986F-E3F49D2B3554}"/>
    <cellStyle name="Normal 4 4 3 2 2 6 3" xfId="11937" xr:uid="{4C95B83A-3416-4261-816E-4B0D43C54D06}"/>
    <cellStyle name="Normal 4 4 3 2 2 7" xfId="4763" xr:uid="{00000000-0005-0000-0000-000079150000}"/>
    <cellStyle name="Normal 4 4 3 2 2 7 2" xfId="14089" xr:uid="{31AAF348-9A0E-4C1F-AAB2-9D2B657CABAD}"/>
    <cellStyle name="Normal 4 4 3 2 2 8" xfId="9133" xr:uid="{37002A66-D58A-4EF9-8D22-8F1A3EE99E08}"/>
    <cellStyle name="Normal 4 4 3 2 2 8 2" xfId="18456" xr:uid="{C654516C-9749-407E-B23C-0C0BD5827D6E}"/>
    <cellStyle name="Normal 4 4 3 2 2 9" xfId="9872" xr:uid="{E00857D1-9733-4858-9140-7EA5B0FDC6D4}"/>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1FF5BAB3-F30E-4040-A3A6-33D826DAB7A4}"/>
    <cellStyle name="Normal 4 4 3 2 3 2 3" xfId="12429" xr:uid="{806252DB-3DB0-449C-B76B-9ACD2D8700C8}"/>
    <cellStyle name="Normal 4 4 3 2 3 3" xfId="5175" xr:uid="{00000000-0005-0000-0000-00007D150000}"/>
    <cellStyle name="Normal 4 4 3 2 3 3 2" xfId="14501" xr:uid="{D7308AB4-FEB6-4C30-AF90-C64BD24991CD}"/>
    <cellStyle name="Normal 4 4 3 2 3 4" xfId="9351" xr:uid="{51AD2B95-755A-411D-AA40-98381F5D8294}"/>
    <cellStyle name="Normal 4 4 3 2 3 4 2" xfId="18664" xr:uid="{4CD5C3A0-DAB1-49C4-A163-55538A431CB2}"/>
    <cellStyle name="Normal 4 4 3 2 3 5" xfId="10284" xr:uid="{D58F987E-7EDE-4CA6-8E95-D3CB09C94977}"/>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E6D78331-4140-4264-B683-501F311E0B73}"/>
    <cellStyle name="Normal 4 4 3 2 4 2 3" xfId="12842" xr:uid="{86879332-CFFA-40B9-90E2-945F0012CE45}"/>
    <cellStyle name="Normal 4 4 3 2 4 3" xfId="5588" xr:uid="{00000000-0005-0000-0000-000081150000}"/>
    <cellStyle name="Normal 4 4 3 2 4 3 2" xfId="14914" xr:uid="{83FE6357-F60A-49E9-9E2A-8E1C719F9E21}"/>
    <cellStyle name="Normal 4 4 3 2 4 4" xfId="10697" xr:uid="{445EEF21-3BA7-4F17-AC2E-CE2BA04BF26E}"/>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64F81F5D-31EA-4F72-BB9B-3CA6A5E63B4C}"/>
    <cellStyle name="Normal 4 4 3 2 5 2 3" xfId="13255" xr:uid="{6D472770-E426-4FC2-ACAE-54BEDA85F1E9}"/>
    <cellStyle name="Normal 4 4 3 2 5 3" xfId="6001" xr:uid="{00000000-0005-0000-0000-000085150000}"/>
    <cellStyle name="Normal 4 4 3 2 5 3 2" xfId="15327" xr:uid="{F3A63F54-E176-4B40-8AA6-72590E7FFA80}"/>
    <cellStyle name="Normal 4 4 3 2 5 4" xfId="11110" xr:uid="{1B266C19-8DAF-4388-9303-DBB274AE4686}"/>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FB9A0E63-A241-4977-9F1E-DEAE23F6EDD9}"/>
    <cellStyle name="Normal 4 4 3 2 6 2 3" xfId="13668" xr:uid="{CD1051E3-5F31-4284-95D5-06F52F8BD9FF}"/>
    <cellStyle name="Normal 4 4 3 2 6 3" xfId="6414" xr:uid="{00000000-0005-0000-0000-000089150000}"/>
    <cellStyle name="Normal 4 4 3 2 6 3 2" xfId="15740" xr:uid="{A86B691B-21FB-4AA5-AE55-63F483590C74}"/>
    <cellStyle name="Normal 4 4 3 2 6 4" xfId="11523" xr:uid="{4B71B5EF-80A7-412D-9993-3F444ED7B1B3}"/>
    <cellStyle name="Normal 4 4 3 2 7" xfId="2544" xr:uid="{00000000-0005-0000-0000-00008A150000}"/>
    <cellStyle name="Normal 4 4 3 2 7 2" xfId="6827" xr:uid="{00000000-0005-0000-0000-00008B150000}"/>
    <cellStyle name="Normal 4 4 3 2 7 2 2" xfId="16153" xr:uid="{46AA4184-5200-41AB-A0BE-47945B1CA797}"/>
    <cellStyle name="Normal 4 4 3 2 7 3" xfId="11936" xr:uid="{2A21FB6C-DD39-4C27-B345-B5B29C3500D6}"/>
    <cellStyle name="Normal 4 4 3 2 8" xfId="4762" xr:uid="{00000000-0005-0000-0000-00008C150000}"/>
    <cellStyle name="Normal 4 4 3 2 8 2" xfId="14088" xr:uid="{5FB59EE7-9EDC-47A2-9952-53BD390E683C}"/>
    <cellStyle name="Normal 4 4 3 2 9" xfId="8926" xr:uid="{821D1F47-EF8D-4C64-BA70-5606A81A57B5}"/>
    <cellStyle name="Normal 4 4 3 2 9 2" xfId="18249" xr:uid="{E2663924-6AE5-4333-8C3C-CF52DD843079}"/>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97B9C430-8870-4939-A7BA-E89F43E8960B}"/>
    <cellStyle name="Normal 4 4 3 3 2 2 3" xfId="12431" xr:uid="{04B73F5D-96F5-4AEB-85B4-C9C1768A1669}"/>
    <cellStyle name="Normal 4 4 3 3 2 3" xfId="5177" xr:uid="{00000000-0005-0000-0000-000091150000}"/>
    <cellStyle name="Normal 4 4 3 3 2 3 2" xfId="14503" xr:uid="{52C0548A-B8A0-4C67-97E5-FBBAF9E90EB2}"/>
    <cellStyle name="Normal 4 4 3 3 2 4" xfId="9455" xr:uid="{E39EB3A2-D99A-426C-AFEC-E4C90C85BE02}"/>
    <cellStyle name="Normal 4 4 3 3 2 4 2" xfId="18768" xr:uid="{29B8F250-9143-47BE-B203-363A1B743828}"/>
    <cellStyle name="Normal 4 4 3 3 2 5" xfId="10286" xr:uid="{9A2DB09A-2423-43C8-8B59-D09A8D12D765}"/>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F1E4EC7A-E297-4EF3-B1F1-523B74FB80AA}"/>
    <cellStyle name="Normal 4 4 3 3 3 2 3" xfId="12844" xr:uid="{C9618229-5758-4A2E-BFB0-8CF38DFEAFD4}"/>
    <cellStyle name="Normal 4 4 3 3 3 3" xfId="5590" xr:uid="{00000000-0005-0000-0000-000095150000}"/>
    <cellStyle name="Normal 4 4 3 3 3 3 2" xfId="14916" xr:uid="{B3826838-D84F-4788-AA76-D20539719EAF}"/>
    <cellStyle name="Normal 4 4 3 3 3 4" xfId="10699" xr:uid="{C676BAE4-2121-47CF-9C50-B9094CE7925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2A8E8B1E-5F60-49EA-A279-86229CD6036C}"/>
    <cellStyle name="Normal 4 4 3 3 4 2 3" xfId="13257" xr:uid="{9515AE42-AF9F-47E7-AC73-66310F384F3D}"/>
    <cellStyle name="Normal 4 4 3 3 4 3" xfId="6003" xr:uid="{00000000-0005-0000-0000-000099150000}"/>
    <cellStyle name="Normal 4 4 3 3 4 3 2" xfId="15329" xr:uid="{C42F057E-64F9-44F5-AEA1-2ABC838630E0}"/>
    <cellStyle name="Normal 4 4 3 3 4 4" xfId="11112" xr:uid="{19E12134-285C-43D5-8ED7-2951694B404D}"/>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07E8B814-D033-4F88-AA4D-DA4F9C265185}"/>
    <cellStyle name="Normal 4 4 3 3 5 2 3" xfId="13670" xr:uid="{6FC40E38-0150-4D49-93CB-9A914FCDF557}"/>
    <cellStyle name="Normal 4 4 3 3 5 3" xfId="6416" xr:uid="{00000000-0005-0000-0000-00009D150000}"/>
    <cellStyle name="Normal 4 4 3 3 5 3 2" xfId="15742" xr:uid="{7A9E0F2A-8C68-4E98-9177-728ABEAD3994}"/>
    <cellStyle name="Normal 4 4 3 3 5 4" xfId="11525" xr:uid="{839DC3EB-09BD-4579-A19A-25D362FD597B}"/>
    <cellStyle name="Normal 4 4 3 3 6" xfId="2546" xr:uid="{00000000-0005-0000-0000-00009E150000}"/>
    <cellStyle name="Normal 4 4 3 3 6 2" xfId="6829" xr:uid="{00000000-0005-0000-0000-00009F150000}"/>
    <cellStyle name="Normal 4 4 3 3 6 2 2" xfId="16155" xr:uid="{4AB16EC3-6819-4D14-9A5D-53BA578229C0}"/>
    <cellStyle name="Normal 4 4 3 3 6 3" xfId="11938" xr:uid="{C8BC9E67-2708-40E1-8A14-FFB754BE2A67}"/>
    <cellStyle name="Normal 4 4 3 3 7" xfId="4764" xr:uid="{00000000-0005-0000-0000-0000A0150000}"/>
    <cellStyle name="Normal 4 4 3 3 7 2" xfId="14090" xr:uid="{B4826AC6-072F-4B9C-ABD8-9E96A5484CE8}"/>
    <cellStyle name="Normal 4 4 3 3 8" xfId="9030" xr:uid="{F975DAAD-4546-4770-9976-5C5C66DA227B}"/>
    <cellStyle name="Normal 4 4 3 3 8 2" xfId="18353" xr:uid="{D98F27D9-3AE5-4F1E-8767-382F5DD81F71}"/>
    <cellStyle name="Normal 4 4 3 3 9" xfId="9873" xr:uid="{DDAB67C1-208B-4B0F-8063-9FAFBFA3116B}"/>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A5557E76-DF65-48AB-877F-5BA0456A4B90}"/>
    <cellStyle name="Normal 4 4 3 4 2 3" xfId="12428" xr:uid="{0A37D177-59F4-4F43-94E3-5BB97A267162}"/>
    <cellStyle name="Normal 4 4 3 4 3" xfId="5174" xr:uid="{00000000-0005-0000-0000-0000A4150000}"/>
    <cellStyle name="Normal 4 4 3 4 3 2" xfId="14500" xr:uid="{1F203F0D-2F2C-4C6F-A3C1-E79FF3240CF6}"/>
    <cellStyle name="Normal 4 4 3 4 4" xfId="9248" xr:uid="{6C5F877B-48E6-47C2-B849-E53F373D5A86}"/>
    <cellStyle name="Normal 4 4 3 4 4 2" xfId="18561" xr:uid="{E1BF49E0-2D80-43C8-9AF7-D2B8C4AE18B5}"/>
    <cellStyle name="Normal 4 4 3 4 5" xfId="10283" xr:uid="{0ED8CF74-D790-4DC6-8FC7-647B3909DE77}"/>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B4965A89-BC48-4DEE-8783-C2C2AD2126ED}"/>
    <cellStyle name="Normal 4 4 3 5 2 3" xfId="12841" xr:uid="{74DC13E4-001B-4B02-8AD0-6FA1A11520BC}"/>
    <cellStyle name="Normal 4 4 3 5 3" xfId="5587" xr:uid="{00000000-0005-0000-0000-0000A8150000}"/>
    <cellStyle name="Normal 4 4 3 5 3 2" xfId="14913" xr:uid="{562526E5-AC03-4F52-A4C3-24558F19C744}"/>
    <cellStyle name="Normal 4 4 3 5 4" xfId="10696" xr:uid="{73B6416F-A37B-4ED6-A763-B6599ABF6B0F}"/>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EF202EA6-969F-4495-ABF2-E777B18FE336}"/>
    <cellStyle name="Normal 4 4 3 6 2 3" xfId="13254" xr:uid="{E3E5C0A4-DEDB-41F1-8851-06E8001BF60D}"/>
    <cellStyle name="Normal 4 4 3 6 3" xfId="6000" xr:uid="{00000000-0005-0000-0000-0000AC150000}"/>
    <cellStyle name="Normal 4 4 3 6 3 2" xfId="15326" xr:uid="{A2450954-4727-4E7A-9BC1-3F94C4BCAA61}"/>
    <cellStyle name="Normal 4 4 3 6 4" xfId="11109" xr:uid="{0C8D7037-8146-4672-9B55-38A4BF5D3F1E}"/>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34E4C51B-094F-4031-84E1-7E8864CEEC99}"/>
    <cellStyle name="Normal 4 4 3 7 2 3" xfId="13667" xr:uid="{5D60B1FE-7268-4342-869F-7F037DBCC089}"/>
    <cellStyle name="Normal 4 4 3 7 3" xfId="6413" xr:uid="{00000000-0005-0000-0000-0000B0150000}"/>
    <cellStyle name="Normal 4 4 3 7 3 2" xfId="15739" xr:uid="{F2AE395C-6D3C-4411-A62C-AE7BC025B48C}"/>
    <cellStyle name="Normal 4 4 3 7 4" xfId="11522" xr:uid="{B9D3F0A4-7CD9-431C-9DD5-8FE70C423CBD}"/>
    <cellStyle name="Normal 4 4 3 8" xfId="2543" xr:uid="{00000000-0005-0000-0000-0000B1150000}"/>
    <cellStyle name="Normal 4 4 3 8 2" xfId="6826" xr:uid="{00000000-0005-0000-0000-0000B2150000}"/>
    <cellStyle name="Normal 4 4 3 8 2 2" xfId="16152" xr:uid="{6356B889-FE62-4911-BFF1-6CEFB35C52B6}"/>
    <cellStyle name="Normal 4 4 3 8 3" xfId="11935" xr:uid="{B4230822-0CCD-4E5D-88FA-FDFF55EC0BC4}"/>
    <cellStyle name="Normal 4 4 3 9" xfId="4761" xr:uid="{00000000-0005-0000-0000-0000B3150000}"/>
    <cellStyle name="Normal 4 4 3 9 2" xfId="14087" xr:uid="{F8215B35-88F9-437F-9859-DC9133250037}"/>
    <cellStyle name="Normal 4 4 4" xfId="391" xr:uid="{00000000-0005-0000-0000-0000B4150000}"/>
    <cellStyle name="Normal 4 4 4 10" xfId="9874" xr:uid="{6D409AEC-1186-4E73-BB9F-757668D4CC28}"/>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043B33FB-8108-4EFF-8345-F4D2933FE190}"/>
    <cellStyle name="Normal 4 4 4 2 2 2 3" xfId="12433" xr:uid="{79B2DFB0-C008-4674-8135-0873B2CEBA60}"/>
    <cellStyle name="Normal 4 4 4 2 2 3" xfId="5179" xr:uid="{00000000-0005-0000-0000-0000B9150000}"/>
    <cellStyle name="Normal 4 4 4 2 2 3 2" xfId="14505" xr:uid="{DAD267E8-39B1-4416-A351-6BEE8F1F12D1}"/>
    <cellStyle name="Normal 4 4 4 2 2 4" xfId="9484" xr:uid="{69910E0C-08C8-41C5-A6FC-61B52F6CD538}"/>
    <cellStyle name="Normal 4 4 4 2 2 4 2" xfId="18797" xr:uid="{2AD31F1A-8655-45F1-9453-DC913A6C1BC7}"/>
    <cellStyle name="Normal 4 4 4 2 2 5" xfId="10288" xr:uid="{78540316-9A98-407C-AEDB-86173329044D}"/>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605BE339-9B3B-4C35-BA90-16D79A9087A9}"/>
    <cellStyle name="Normal 4 4 4 2 3 2 3" xfId="12846" xr:uid="{7A491CB3-7F89-403A-9612-158B03613751}"/>
    <cellStyle name="Normal 4 4 4 2 3 3" xfId="5592" xr:uid="{00000000-0005-0000-0000-0000BD150000}"/>
    <cellStyle name="Normal 4 4 4 2 3 3 2" xfId="14918" xr:uid="{1038918A-CC62-4293-8549-DD15DBB3B08D}"/>
    <cellStyle name="Normal 4 4 4 2 3 4" xfId="10701" xr:uid="{B5C6FE14-F08A-4C93-BAE2-330175B5B801}"/>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813DD99F-1D0F-4B88-8821-31ECE57DE0BC}"/>
    <cellStyle name="Normal 4 4 4 2 4 2 3" xfId="13259" xr:uid="{6366287E-E20C-4B7D-B32C-1B6B1D4EE7D2}"/>
    <cellStyle name="Normal 4 4 4 2 4 3" xfId="6005" xr:uid="{00000000-0005-0000-0000-0000C1150000}"/>
    <cellStyle name="Normal 4 4 4 2 4 3 2" xfId="15331" xr:uid="{591BC601-FCD6-48A0-B2DC-4E7050759253}"/>
    <cellStyle name="Normal 4 4 4 2 4 4" xfId="11114" xr:uid="{EE3ED524-3D24-49AD-96DB-D788BFCF7938}"/>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ABC5BA9F-E139-4025-A6E8-7381D6D7496D}"/>
    <cellStyle name="Normal 4 4 4 2 5 2 3" xfId="13672" xr:uid="{9D0A4F6D-DB35-419E-A2FF-FCAD1974B307}"/>
    <cellStyle name="Normal 4 4 4 2 5 3" xfId="6418" xr:uid="{00000000-0005-0000-0000-0000C5150000}"/>
    <cellStyle name="Normal 4 4 4 2 5 3 2" xfId="15744" xr:uid="{09482ECD-B3AB-49DC-B437-B2C44796A72A}"/>
    <cellStyle name="Normal 4 4 4 2 5 4" xfId="11527" xr:uid="{D20E39B7-2670-4DEB-A9EB-6D543F87D690}"/>
    <cellStyle name="Normal 4 4 4 2 6" xfId="2548" xr:uid="{00000000-0005-0000-0000-0000C6150000}"/>
    <cellStyle name="Normal 4 4 4 2 6 2" xfId="6831" xr:uid="{00000000-0005-0000-0000-0000C7150000}"/>
    <cellStyle name="Normal 4 4 4 2 6 2 2" xfId="16157" xr:uid="{1C3DB4E9-20B6-4206-9B19-9F448CF2300A}"/>
    <cellStyle name="Normal 4 4 4 2 6 3" xfId="11940" xr:uid="{47605F21-818A-4220-84D1-D0BB68E92EE1}"/>
    <cellStyle name="Normal 4 4 4 2 7" xfId="4766" xr:uid="{00000000-0005-0000-0000-0000C8150000}"/>
    <cellStyle name="Normal 4 4 4 2 7 2" xfId="14092" xr:uid="{C5CE214B-48DB-4398-9D58-DFAF81EB12F7}"/>
    <cellStyle name="Normal 4 4 4 2 8" xfId="9059" xr:uid="{76617FCA-DBA6-4291-BD32-6340A19903F7}"/>
    <cellStyle name="Normal 4 4 4 2 8 2" xfId="18382" xr:uid="{3D122660-FB00-4418-A659-8363F139A503}"/>
    <cellStyle name="Normal 4 4 4 2 9" xfId="9875" xr:uid="{B4813928-DDE1-49F4-B63C-071C432554B6}"/>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E8C47D1C-D4E2-4DE1-9C22-EDBE5D9BD5BE}"/>
    <cellStyle name="Normal 4 4 4 3 2 3" xfId="12432" xr:uid="{5442EC7A-B18F-4C4A-B2B5-D682E184BD12}"/>
    <cellStyle name="Normal 4 4 4 3 3" xfId="5178" xr:uid="{00000000-0005-0000-0000-0000CC150000}"/>
    <cellStyle name="Normal 4 4 4 3 3 2" xfId="14504" xr:uid="{D71A9D11-CC90-428F-B54D-890DE1E2B844}"/>
    <cellStyle name="Normal 4 4 4 3 4" xfId="9277" xr:uid="{DD01CD29-2559-4BCC-919C-99D1D75C445F}"/>
    <cellStyle name="Normal 4 4 4 3 4 2" xfId="18590" xr:uid="{E48F5BAF-AA30-440F-B774-9C351B909583}"/>
    <cellStyle name="Normal 4 4 4 3 5" xfId="10287" xr:uid="{F66A83E2-3273-4BFE-8416-36EFC31BBF9E}"/>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772FF4CF-099F-406F-A751-12A2ED3308FD}"/>
    <cellStyle name="Normal 4 4 4 4 2 3" xfId="12845" xr:uid="{5AF12DB8-FBFB-4F2D-8FF8-896F2D1C8A19}"/>
    <cellStyle name="Normal 4 4 4 4 3" xfId="5591" xr:uid="{00000000-0005-0000-0000-0000D0150000}"/>
    <cellStyle name="Normal 4 4 4 4 3 2" xfId="14917" xr:uid="{593EB95A-91E4-42B9-9B12-9A854B50FD69}"/>
    <cellStyle name="Normal 4 4 4 4 4" xfId="10700" xr:uid="{46685708-0908-494C-B2A9-7BACCDC7B73B}"/>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D7B28331-4289-41E5-B871-1674D74CCFCB}"/>
    <cellStyle name="Normal 4 4 4 5 2 3" xfId="13258" xr:uid="{815988A3-3D79-4B38-9B91-DC72FDB75249}"/>
    <cellStyle name="Normal 4 4 4 5 3" xfId="6004" xr:uid="{00000000-0005-0000-0000-0000D4150000}"/>
    <cellStyle name="Normal 4 4 4 5 3 2" xfId="15330" xr:uid="{FABAE0D4-EED2-4EEA-98DA-AE0C39DB5C9B}"/>
    <cellStyle name="Normal 4 4 4 5 4" xfId="11113" xr:uid="{DDE29BFD-5653-44A2-88F7-9BF6F7E749CB}"/>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AD9DA6FF-846F-4789-8738-2CBFBF8D1EA6}"/>
    <cellStyle name="Normal 4 4 4 6 2 3" xfId="13671" xr:uid="{8E684033-DB33-43E6-8C04-FF2B15A4F004}"/>
    <cellStyle name="Normal 4 4 4 6 3" xfId="6417" xr:uid="{00000000-0005-0000-0000-0000D8150000}"/>
    <cellStyle name="Normal 4 4 4 6 3 2" xfId="15743" xr:uid="{7B544E50-E379-4D47-9632-422AF44ADB66}"/>
    <cellStyle name="Normal 4 4 4 6 4" xfId="11526" xr:uid="{95E5BF0B-65E0-491A-B45C-1EB4E004BA23}"/>
    <cellStyle name="Normal 4 4 4 7" xfId="2547" xr:uid="{00000000-0005-0000-0000-0000D9150000}"/>
    <cellStyle name="Normal 4 4 4 7 2" xfId="6830" xr:uid="{00000000-0005-0000-0000-0000DA150000}"/>
    <cellStyle name="Normal 4 4 4 7 2 2" xfId="16156" xr:uid="{B178D761-E31A-4096-81ED-0A5E410A8E54}"/>
    <cellStyle name="Normal 4 4 4 7 3" xfId="11939" xr:uid="{C93D530E-37F0-4E4D-89E0-6AE094E6CBDC}"/>
    <cellStyle name="Normal 4 4 4 8" xfId="4765" xr:uid="{00000000-0005-0000-0000-0000DB150000}"/>
    <cellStyle name="Normal 4 4 4 8 2" xfId="14091" xr:uid="{0651E37F-E966-4AD0-86A9-6EFA7AA74000}"/>
    <cellStyle name="Normal 4 4 4 9" xfId="8852" xr:uid="{DF4BB962-85B1-44B5-A0FE-735796672772}"/>
    <cellStyle name="Normal 4 4 4 9 2" xfId="18175" xr:uid="{C7346640-123A-4ED9-B60C-3D350F9AA08D}"/>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513271F7-4093-4BC9-BA07-05C6ACDED43B}"/>
    <cellStyle name="Normal 4 4 5 2 2 3" xfId="12434" xr:uid="{927BEBD7-5783-4828-8A49-C47B6072A4E6}"/>
    <cellStyle name="Normal 4 4 5 2 3" xfId="5180" xr:uid="{00000000-0005-0000-0000-0000E0150000}"/>
    <cellStyle name="Normal 4 4 5 2 3 2" xfId="14506" xr:uid="{490B8E06-4271-49B6-98AB-B5EDEFEDDCE1}"/>
    <cellStyle name="Normal 4 4 5 2 4" xfId="9393" xr:uid="{C2991CC4-4E0B-46C4-B338-C6A1C9BA2DE9}"/>
    <cellStyle name="Normal 4 4 5 2 4 2" xfId="18706" xr:uid="{A4AF60A4-4FA6-48C6-8E6E-3A90C75C79B7}"/>
    <cellStyle name="Normal 4 4 5 2 5" xfId="10289" xr:uid="{C8A054E8-2B63-4E11-99B9-003294D9369E}"/>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3CFC5377-0791-48AC-AD82-DB5346DC1365}"/>
    <cellStyle name="Normal 4 4 5 3 2 3" xfId="12847" xr:uid="{C2631D37-9F61-4C97-A932-377C0C3574C3}"/>
    <cellStyle name="Normal 4 4 5 3 3" xfId="5593" xr:uid="{00000000-0005-0000-0000-0000E4150000}"/>
    <cellStyle name="Normal 4 4 5 3 3 2" xfId="14919" xr:uid="{407019F2-B946-4025-B176-91760A73AF12}"/>
    <cellStyle name="Normal 4 4 5 3 4" xfId="10702" xr:uid="{A038A7DE-2AAD-4579-A834-941FB5CA0AC7}"/>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8384EEC6-E475-427B-923E-58105E0F85F0}"/>
    <cellStyle name="Normal 4 4 5 4 2 3" xfId="13260" xr:uid="{7993BF23-9C32-4153-8312-3CDDBD712B2B}"/>
    <cellStyle name="Normal 4 4 5 4 3" xfId="6006" xr:uid="{00000000-0005-0000-0000-0000E8150000}"/>
    <cellStyle name="Normal 4 4 5 4 3 2" xfId="15332" xr:uid="{DF224564-7E28-4596-A203-71685E07F95C}"/>
    <cellStyle name="Normal 4 4 5 4 4" xfId="11115" xr:uid="{5F17557A-9705-4E3D-85F7-7F1BEF140A6D}"/>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B57927B4-15F3-4E5B-BBE3-4A99C6E3DD8E}"/>
    <cellStyle name="Normal 4 4 5 5 2 3" xfId="13673" xr:uid="{031185FE-8C9C-49BD-AF9C-BA6BD841DCEF}"/>
    <cellStyle name="Normal 4 4 5 5 3" xfId="6419" xr:uid="{00000000-0005-0000-0000-0000EC150000}"/>
    <cellStyle name="Normal 4 4 5 5 3 2" xfId="15745" xr:uid="{74E991F2-7B1D-43B4-BC73-89FF4B687B76}"/>
    <cellStyle name="Normal 4 4 5 5 4" xfId="11528" xr:uid="{26A58949-BB26-4787-8C1C-E83AD23E3EF6}"/>
    <cellStyle name="Normal 4 4 5 6" xfId="2549" xr:uid="{00000000-0005-0000-0000-0000ED150000}"/>
    <cellStyle name="Normal 4 4 5 6 2" xfId="6832" xr:uid="{00000000-0005-0000-0000-0000EE150000}"/>
    <cellStyle name="Normal 4 4 5 6 2 2" xfId="16158" xr:uid="{0332D870-5EAD-4465-9503-3EE00E343A12}"/>
    <cellStyle name="Normal 4 4 5 6 3" xfId="11941" xr:uid="{9DFA04AA-C1EA-4B64-8A17-9E50A9AC31A1}"/>
    <cellStyle name="Normal 4 4 5 7" xfId="4767" xr:uid="{00000000-0005-0000-0000-0000EF150000}"/>
    <cellStyle name="Normal 4 4 5 7 2" xfId="14093" xr:uid="{42A7AF55-2E44-41E4-B382-E07945D8B70A}"/>
    <cellStyle name="Normal 4 4 5 8" xfId="8968" xr:uid="{BE877DDE-435D-4CBA-84F2-0372D1DDE771}"/>
    <cellStyle name="Normal 4 4 5 8 2" xfId="18291" xr:uid="{6162FEB4-2EF7-4A83-9450-43F82C874E7C}"/>
    <cellStyle name="Normal 4 4 5 9" xfId="9876" xr:uid="{8D80F057-0681-4B32-A6AA-2E80ABA52B1A}"/>
    <cellStyle name="Normal 4 4 6" xfId="853" xr:uid="{00000000-0005-0000-0000-0000F0150000}"/>
    <cellStyle name="Normal 4 4 6 2" xfId="3088" xr:uid="{00000000-0005-0000-0000-0000F1150000}"/>
    <cellStyle name="Normal 4 4 6 2 2" xfId="7310" xr:uid="{00000000-0005-0000-0000-0000F2150000}"/>
    <cellStyle name="Normal 4 4 6 2 2 2" xfId="16636" xr:uid="{97D07F37-F547-475F-9A99-517A8A9D885B}"/>
    <cellStyle name="Normal 4 4 6 2 3" xfId="12419" xr:uid="{8FAF19F2-0E64-47FB-A1C0-75522D00D254}"/>
    <cellStyle name="Normal 4 4 6 3" xfId="5165" xr:uid="{00000000-0005-0000-0000-0000F3150000}"/>
    <cellStyle name="Normal 4 4 6 3 2" xfId="14491" xr:uid="{3F191DC2-76CD-4E0B-94F4-F5991D15B8D7}"/>
    <cellStyle name="Normal 4 4 6 4" xfId="9171" xr:uid="{C474601B-95F0-4C9E-AB77-B3E61D2A21D7}"/>
    <cellStyle name="Normal 4 4 6 4 2" xfId="18487" xr:uid="{9590697D-7342-4882-A93A-E0607B72DB29}"/>
    <cellStyle name="Normal 4 4 6 5" xfId="10274" xr:uid="{8E1DCF9E-D5D7-4A5B-B2C8-A74CB042067B}"/>
    <cellStyle name="Normal 4 4 7" xfId="1271" xr:uid="{00000000-0005-0000-0000-0000F4150000}"/>
    <cellStyle name="Normal 4 4 7 2" xfId="3501" xr:uid="{00000000-0005-0000-0000-0000F5150000}"/>
    <cellStyle name="Normal 4 4 7 2 2" xfId="7723" xr:uid="{00000000-0005-0000-0000-0000F6150000}"/>
    <cellStyle name="Normal 4 4 7 2 2 2" xfId="17049" xr:uid="{B92700FA-422C-45C8-9A7F-3D75E9F483FD}"/>
    <cellStyle name="Normal 4 4 7 2 3" xfId="12832" xr:uid="{43E9936E-1AF4-4597-AB32-549AFB29F9D5}"/>
    <cellStyle name="Normal 4 4 7 3" xfId="5578" xr:uid="{00000000-0005-0000-0000-0000F7150000}"/>
    <cellStyle name="Normal 4 4 7 3 2" xfId="14904" xr:uid="{E4CE6D50-6CE9-46BA-9231-65060B6EAADC}"/>
    <cellStyle name="Normal 4 4 7 4" xfId="10687" xr:uid="{47FA5740-D66C-4330-930B-E285F89BBE19}"/>
    <cellStyle name="Normal 4 4 8" xfId="1684" xr:uid="{00000000-0005-0000-0000-0000F8150000}"/>
    <cellStyle name="Normal 4 4 8 2" xfId="3914" xr:uid="{00000000-0005-0000-0000-0000F9150000}"/>
    <cellStyle name="Normal 4 4 8 2 2" xfId="8136" xr:uid="{00000000-0005-0000-0000-0000FA150000}"/>
    <cellStyle name="Normal 4 4 8 2 2 2" xfId="17462" xr:uid="{2D78FD3F-7476-4739-B41C-2C45BB3C33F3}"/>
    <cellStyle name="Normal 4 4 8 2 3" xfId="13245" xr:uid="{F1500540-A2CB-4199-97D8-C274678C15FF}"/>
    <cellStyle name="Normal 4 4 8 3" xfId="5991" xr:uid="{00000000-0005-0000-0000-0000FB150000}"/>
    <cellStyle name="Normal 4 4 8 3 2" xfId="15317" xr:uid="{6E20462C-AEFE-4232-9EF7-E2B2E94C222D}"/>
    <cellStyle name="Normal 4 4 8 4" xfId="11100" xr:uid="{229740B5-0BAE-4579-A4A7-BEB2162CD7C4}"/>
    <cellStyle name="Normal 4 4 9" xfId="2098" xr:uid="{00000000-0005-0000-0000-0000FC150000}"/>
    <cellStyle name="Normal 4 4 9 2" xfId="4327" xr:uid="{00000000-0005-0000-0000-0000FD150000}"/>
    <cellStyle name="Normal 4 4 9 2 2" xfId="8549" xr:uid="{00000000-0005-0000-0000-0000FE150000}"/>
    <cellStyle name="Normal 4 4 9 2 2 2" xfId="17875" xr:uid="{C8D2A783-E7D0-46A2-8365-B1E5F24A7FC5}"/>
    <cellStyle name="Normal 4 4 9 2 3" xfId="13658" xr:uid="{CF88C773-8CCB-4FB8-9CBB-7E7CF9CECC41}"/>
    <cellStyle name="Normal 4 4 9 3" xfId="6404" xr:uid="{00000000-0005-0000-0000-0000FF150000}"/>
    <cellStyle name="Normal 4 4 9 3 2" xfId="15730" xr:uid="{C6672C17-AB99-4BE2-AF5C-2ED3725B5AFC}"/>
    <cellStyle name="Normal 4 4 9 4" xfId="11513" xr:uid="{4E82860F-5A45-4E31-A6D7-0C39601EBBD4}"/>
    <cellStyle name="Normal 4 5" xfId="394" xr:uid="{00000000-0005-0000-0000-000000160000}"/>
    <cellStyle name="Normal 4 6" xfId="395" xr:uid="{00000000-0005-0000-0000-000001160000}"/>
    <cellStyle name="Normal 4 6 10" xfId="4768" xr:uid="{00000000-0005-0000-0000-000002160000}"/>
    <cellStyle name="Normal 4 6 10 2" xfId="14094" xr:uid="{5DA4D328-68AD-4785-9F4D-4A0EEE0666A6}"/>
    <cellStyle name="Normal 4 6 11" xfId="8772" xr:uid="{23628FEE-4113-4B2C-B2A0-0106FC7F55C2}"/>
    <cellStyle name="Normal 4 6 11 2" xfId="18095" xr:uid="{552005D3-76B5-4281-A0B8-BDD932C01B3D}"/>
    <cellStyle name="Normal 4 6 12" xfId="9877" xr:uid="{96C6F4F5-8477-4151-8012-1E3F9E41E91F}"/>
    <cellStyle name="Normal 4 6 2" xfId="396" xr:uid="{00000000-0005-0000-0000-000003160000}"/>
    <cellStyle name="Normal 4 6 2 10" xfId="8825" xr:uid="{C3062495-9D56-441B-95F6-B73E7DAC524C}"/>
    <cellStyle name="Normal 4 6 2 10 2" xfId="18148" xr:uid="{91A0BF80-2660-4245-B90E-6A79925B151F}"/>
    <cellStyle name="Normal 4 6 2 11" xfId="9878" xr:uid="{642D0DFE-1251-4368-A9A9-3138E4881A66}"/>
    <cellStyle name="Normal 4 6 2 2" xfId="397" xr:uid="{00000000-0005-0000-0000-000004160000}"/>
    <cellStyle name="Normal 4 6 2 2 10" xfId="9879" xr:uid="{9C7C58A2-0117-4154-AC9F-7762529AD0BC}"/>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C78637B4-E9FD-4D80-A549-6FA7EAA5C66B}"/>
    <cellStyle name="Normal 4 6 2 2 2 2 2 3" xfId="12438" xr:uid="{C71F057A-B786-42E0-93D4-80E1CE81FFD8}"/>
    <cellStyle name="Normal 4 6 2 2 2 2 3" xfId="5184" xr:uid="{00000000-0005-0000-0000-000009160000}"/>
    <cellStyle name="Normal 4 6 2 2 2 2 3 2" xfId="14510" xr:uid="{A5E91424-03D5-451D-AF48-3A0FFEA77BEE}"/>
    <cellStyle name="Normal 4 6 2 2 2 2 4" xfId="9560" xr:uid="{04DAEE11-A96E-4522-8546-8A0C107E12B9}"/>
    <cellStyle name="Normal 4 6 2 2 2 2 4 2" xfId="18873" xr:uid="{BF6A012C-CC47-4C8C-AFAC-27C499954AAD}"/>
    <cellStyle name="Normal 4 6 2 2 2 2 5" xfId="10293" xr:uid="{C4310CE0-D29F-4C98-B286-A9CC8F54CE7C}"/>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1E869400-237C-49FC-8307-89B45F31B368}"/>
    <cellStyle name="Normal 4 6 2 2 2 3 2 3" xfId="12851" xr:uid="{7679C31A-608C-4151-A44C-9EE3CA635E1D}"/>
    <cellStyle name="Normal 4 6 2 2 2 3 3" xfId="5597" xr:uid="{00000000-0005-0000-0000-00000D160000}"/>
    <cellStyle name="Normal 4 6 2 2 2 3 3 2" xfId="14923" xr:uid="{11241D94-8BE2-44E5-AC86-F68269CA4FC7}"/>
    <cellStyle name="Normal 4 6 2 2 2 3 4" xfId="10706" xr:uid="{9D246233-4857-4DB5-9407-559E5D9E1CF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E5D301C0-0854-4329-8FE7-0FA9777DD65A}"/>
    <cellStyle name="Normal 4 6 2 2 2 4 2 3" xfId="13264" xr:uid="{8443CD66-2C30-4015-8336-D20451B03164}"/>
    <cellStyle name="Normal 4 6 2 2 2 4 3" xfId="6010" xr:uid="{00000000-0005-0000-0000-000011160000}"/>
    <cellStyle name="Normal 4 6 2 2 2 4 3 2" xfId="15336" xr:uid="{6C3E3CA4-1D40-49B5-9183-095A4F2E2593}"/>
    <cellStyle name="Normal 4 6 2 2 2 4 4" xfId="11119" xr:uid="{CF73EA7D-21CB-499E-878E-BE8970B3C5C3}"/>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584F3CE5-267C-4005-B739-8A3E098ADF10}"/>
    <cellStyle name="Normal 4 6 2 2 2 5 2 3" xfId="13677" xr:uid="{3F188277-D48D-41BD-8DC5-F6AD63E64B34}"/>
    <cellStyle name="Normal 4 6 2 2 2 5 3" xfId="6423" xr:uid="{00000000-0005-0000-0000-000015160000}"/>
    <cellStyle name="Normal 4 6 2 2 2 5 3 2" xfId="15749" xr:uid="{556B9CA6-E458-4123-906D-A9E5E3C0139E}"/>
    <cellStyle name="Normal 4 6 2 2 2 5 4" xfId="11532" xr:uid="{21B1A394-59D2-4008-83C6-BB559B30AC6E}"/>
    <cellStyle name="Normal 4 6 2 2 2 6" xfId="2553" xr:uid="{00000000-0005-0000-0000-000016160000}"/>
    <cellStyle name="Normal 4 6 2 2 2 6 2" xfId="6836" xr:uid="{00000000-0005-0000-0000-000017160000}"/>
    <cellStyle name="Normal 4 6 2 2 2 6 2 2" xfId="16162" xr:uid="{7F3A3C68-E835-4431-992A-1F7DDC5E7EFE}"/>
    <cellStyle name="Normal 4 6 2 2 2 6 3" xfId="11945" xr:uid="{53651723-7859-4931-85DF-937A9CE5C89C}"/>
    <cellStyle name="Normal 4 6 2 2 2 7" xfId="4771" xr:uid="{00000000-0005-0000-0000-000018160000}"/>
    <cellStyle name="Normal 4 6 2 2 2 7 2" xfId="14097" xr:uid="{4AA41CFB-B67A-4572-948D-79B39DB5CDB4}"/>
    <cellStyle name="Normal 4 6 2 2 2 8" xfId="9135" xr:uid="{2F4C420F-13DD-45DD-99DD-C7AFF7CD7823}"/>
    <cellStyle name="Normal 4 6 2 2 2 8 2" xfId="18458" xr:uid="{35961BC7-404D-48BA-B7B7-24AA19B4BF96}"/>
    <cellStyle name="Normal 4 6 2 2 2 9" xfId="9880" xr:uid="{6975A0FE-4FCD-4F8F-B1AE-9DB9AAD2B00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933FCC35-7AB8-41D2-89FE-3D6078C7F3D0}"/>
    <cellStyle name="Normal 4 6 2 2 3 2 3" xfId="12437" xr:uid="{56E2203E-EE99-4551-9D4C-5B2EEA83E4C4}"/>
    <cellStyle name="Normal 4 6 2 2 3 3" xfId="5183" xr:uid="{00000000-0005-0000-0000-00001C160000}"/>
    <cellStyle name="Normal 4 6 2 2 3 3 2" xfId="14509" xr:uid="{1C82C8CB-9BB2-4627-A0FA-B35A0D50C38D}"/>
    <cellStyle name="Normal 4 6 2 2 3 4" xfId="9353" xr:uid="{60C7EC16-17DE-43AF-A246-41C667B376B7}"/>
    <cellStyle name="Normal 4 6 2 2 3 4 2" xfId="18666" xr:uid="{FA120F3F-19ED-461E-9FB2-0EDCB4B4F1F8}"/>
    <cellStyle name="Normal 4 6 2 2 3 5" xfId="10292" xr:uid="{959FDEAE-F7C7-4BE3-8262-50F1FD45AFAF}"/>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14C5F2E3-010E-4916-9A8A-FFD65B39CCFE}"/>
    <cellStyle name="Normal 4 6 2 2 4 2 3" xfId="12850" xr:uid="{6A0BFEC9-B1DA-4A7B-A0B1-8D6B347CE452}"/>
    <cellStyle name="Normal 4 6 2 2 4 3" xfId="5596" xr:uid="{00000000-0005-0000-0000-000020160000}"/>
    <cellStyle name="Normal 4 6 2 2 4 3 2" xfId="14922" xr:uid="{45FD62C4-85C4-4801-9873-A1540B751257}"/>
    <cellStyle name="Normal 4 6 2 2 4 4" xfId="10705" xr:uid="{F614DF87-0016-47A0-AD04-B99A332706F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16AFFCE3-BC34-44E8-90DB-3791471CA158}"/>
    <cellStyle name="Normal 4 6 2 2 5 2 3" xfId="13263" xr:uid="{38F71359-8C97-4656-A50F-5A38960CE074}"/>
    <cellStyle name="Normal 4 6 2 2 5 3" xfId="6009" xr:uid="{00000000-0005-0000-0000-000024160000}"/>
    <cellStyle name="Normal 4 6 2 2 5 3 2" xfId="15335" xr:uid="{5F931CDC-A298-41C8-809C-D1F96338FB78}"/>
    <cellStyle name="Normal 4 6 2 2 5 4" xfId="11118" xr:uid="{114626B2-5DC5-4BC5-9467-F4545BEC795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595C838B-4716-449D-86F4-4B93430AEB35}"/>
    <cellStyle name="Normal 4 6 2 2 6 2 3" xfId="13676" xr:uid="{341B0236-4D58-4098-B2F9-D4AD8F82DE95}"/>
    <cellStyle name="Normal 4 6 2 2 6 3" xfId="6422" xr:uid="{00000000-0005-0000-0000-000028160000}"/>
    <cellStyle name="Normal 4 6 2 2 6 3 2" xfId="15748" xr:uid="{E21239B5-8213-451B-8C29-1D5C4294B9BB}"/>
    <cellStyle name="Normal 4 6 2 2 6 4" xfId="11531" xr:uid="{FD3F9ACF-C992-45AB-A777-F5D4EFA725BA}"/>
    <cellStyle name="Normal 4 6 2 2 7" xfId="2552" xr:uid="{00000000-0005-0000-0000-000029160000}"/>
    <cellStyle name="Normal 4 6 2 2 7 2" xfId="6835" xr:uid="{00000000-0005-0000-0000-00002A160000}"/>
    <cellStyle name="Normal 4 6 2 2 7 2 2" xfId="16161" xr:uid="{8DE30809-A97D-424C-B98E-FB2AA0678837}"/>
    <cellStyle name="Normal 4 6 2 2 7 3" xfId="11944" xr:uid="{8D46769A-037A-480F-B013-F2D123D4E7E0}"/>
    <cellStyle name="Normal 4 6 2 2 8" xfId="4770" xr:uid="{00000000-0005-0000-0000-00002B160000}"/>
    <cellStyle name="Normal 4 6 2 2 8 2" xfId="14096" xr:uid="{E24F3714-8672-4212-8FF1-AC298C387941}"/>
    <cellStyle name="Normal 4 6 2 2 9" xfId="8928" xr:uid="{EC58FE5E-68BA-4864-AD86-0F9D1DB17AD0}"/>
    <cellStyle name="Normal 4 6 2 2 9 2" xfId="18251" xr:uid="{4B57A69A-81AA-4BA4-AC0C-BC5752C212A1}"/>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9C6DEFFD-9535-417C-B903-28B5E7E76AAE}"/>
    <cellStyle name="Normal 4 6 2 3 2 2 3" xfId="12439" xr:uid="{ABD41365-91AD-4E27-8F50-BFB3E913E6BA}"/>
    <cellStyle name="Normal 4 6 2 3 2 3" xfId="5185" xr:uid="{00000000-0005-0000-0000-000030160000}"/>
    <cellStyle name="Normal 4 6 2 3 2 3 2" xfId="14511" xr:uid="{658438F0-62AA-46EE-A98E-F88BDC9A1148}"/>
    <cellStyle name="Normal 4 6 2 3 2 4" xfId="9457" xr:uid="{E86AED2D-42AD-49DE-9461-1FA72B82C89E}"/>
    <cellStyle name="Normal 4 6 2 3 2 4 2" xfId="18770" xr:uid="{594EEF10-9D45-4399-B32D-E6E7E027025C}"/>
    <cellStyle name="Normal 4 6 2 3 2 5" xfId="10294" xr:uid="{D2F314F6-8839-4EE6-92DE-6C2585C751E1}"/>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35F0A83D-6129-4B41-8E91-3E53E4A9DDB0}"/>
    <cellStyle name="Normal 4 6 2 3 3 2 3" xfId="12852" xr:uid="{2F4A6792-FF85-43C4-9732-D2F563138E7D}"/>
    <cellStyle name="Normal 4 6 2 3 3 3" xfId="5598" xr:uid="{00000000-0005-0000-0000-000034160000}"/>
    <cellStyle name="Normal 4 6 2 3 3 3 2" xfId="14924" xr:uid="{82173501-5D6D-4806-84BF-3D9FF1AD251E}"/>
    <cellStyle name="Normal 4 6 2 3 3 4" xfId="10707" xr:uid="{4F458254-C1E8-42AE-AE71-FC290EDDBC6B}"/>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E6708CA6-9841-4CA4-A143-A93112A4DB03}"/>
    <cellStyle name="Normal 4 6 2 3 4 2 3" xfId="13265" xr:uid="{F01C5DAF-3C97-4D77-BF04-D2DA27D55E84}"/>
    <cellStyle name="Normal 4 6 2 3 4 3" xfId="6011" xr:uid="{00000000-0005-0000-0000-000038160000}"/>
    <cellStyle name="Normal 4 6 2 3 4 3 2" xfId="15337" xr:uid="{B1435992-855B-494B-B0F1-39428B0D66B7}"/>
    <cellStyle name="Normal 4 6 2 3 4 4" xfId="11120" xr:uid="{72E2F495-ABB9-42B2-8F84-542E53B1DA8A}"/>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4469D36D-0C99-4B2A-A1B6-8F4ED3686F0F}"/>
    <cellStyle name="Normal 4 6 2 3 5 2 3" xfId="13678" xr:uid="{56CF93C4-2ACB-4930-9C9A-15E8154ECE53}"/>
    <cellStyle name="Normal 4 6 2 3 5 3" xfId="6424" xr:uid="{00000000-0005-0000-0000-00003C160000}"/>
    <cellStyle name="Normal 4 6 2 3 5 3 2" xfId="15750" xr:uid="{9F9B0027-8304-4395-A4A2-3C7A8B83A801}"/>
    <cellStyle name="Normal 4 6 2 3 5 4" xfId="11533" xr:uid="{5FFDB5AE-E355-44B1-9E0A-F2EAA1D35DFD}"/>
    <cellStyle name="Normal 4 6 2 3 6" xfId="2554" xr:uid="{00000000-0005-0000-0000-00003D160000}"/>
    <cellStyle name="Normal 4 6 2 3 6 2" xfId="6837" xr:uid="{00000000-0005-0000-0000-00003E160000}"/>
    <cellStyle name="Normal 4 6 2 3 6 2 2" xfId="16163" xr:uid="{7149FA34-428F-409D-B7A3-CA01852E179F}"/>
    <cellStyle name="Normal 4 6 2 3 6 3" xfId="11946" xr:uid="{4A425A90-B685-4BD6-AA70-D3825C09847A}"/>
    <cellStyle name="Normal 4 6 2 3 7" xfId="4772" xr:uid="{00000000-0005-0000-0000-00003F160000}"/>
    <cellStyle name="Normal 4 6 2 3 7 2" xfId="14098" xr:uid="{31A75E36-61C6-4C7C-96FE-726EB77BB8F7}"/>
    <cellStyle name="Normal 4 6 2 3 8" xfId="9032" xr:uid="{576A1DC5-5971-4772-803F-0A60F80D4C41}"/>
    <cellStyle name="Normal 4 6 2 3 8 2" xfId="18355" xr:uid="{90D534B4-E4D3-4951-AA3E-D7109AABAD0F}"/>
    <cellStyle name="Normal 4 6 2 3 9" xfId="9881" xr:uid="{5713B0B7-E55C-4BF1-B73B-B42B35DEE1FA}"/>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EB5F3B2B-A74D-47D1-96DD-C2407AB9C3C8}"/>
    <cellStyle name="Normal 4 6 2 4 2 3" xfId="12436" xr:uid="{305B6BE2-933B-43BC-8517-769117B45158}"/>
    <cellStyle name="Normal 4 6 2 4 3" xfId="5182" xr:uid="{00000000-0005-0000-0000-000043160000}"/>
    <cellStyle name="Normal 4 6 2 4 3 2" xfId="14508" xr:uid="{28D4343A-C63E-4B7C-B4BF-2E92C2ED1557}"/>
    <cellStyle name="Normal 4 6 2 4 4" xfId="9250" xr:uid="{CBBC9A51-5203-4C00-93C7-FE7C973DCDD1}"/>
    <cellStyle name="Normal 4 6 2 4 4 2" xfId="18563" xr:uid="{A960E49A-20A6-413B-A0B6-53B0F9F62F6F}"/>
    <cellStyle name="Normal 4 6 2 4 5" xfId="10291" xr:uid="{66BB3DBA-709D-4AA4-A54A-4C66E0014216}"/>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442B6CF0-DEED-4AF5-A562-778502A6164A}"/>
    <cellStyle name="Normal 4 6 2 5 2 3" xfId="12849" xr:uid="{A5DEF154-535F-4194-BBAD-0D2DF411E0E1}"/>
    <cellStyle name="Normal 4 6 2 5 3" xfId="5595" xr:uid="{00000000-0005-0000-0000-000047160000}"/>
    <cellStyle name="Normal 4 6 2 5 3 2" xfId="14921" xr:uid="{E7DCEED4-B80A-437F-B0B2-4079A0AEB68C}"/>
    <cellStyle name="Normal 4 6 2 5 4" xfId="10704" xr:uid="{21AFBBED-B648-4BEE-8F91-6C03B757735D}"/>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CD98B994-58BE-4DF5-A371-03B1FD18AC05}"/>
    <cellStyle name="Normal 4 6 2 6 2 3" xfId="13262" xr:uid="{D1B67632-FCE8-47F6-B440-DC409FE087D7}"/>
    <cellStyle name="Normal 4 6 2 6 3" xfId="6008" xr:uid="{00000000-0005-0000-0000-00004B160000}"/>
    <cellStyle name="Normal 4 6 2 6 3 2" xfId="15334" xr:uid="{E7C6EAC7-29D2-4B3C-9AB0-B9B9D64AA1E7}"/>
    <cellStyle name="Normal 4 6 2 6 4" xfId="11117" xr:uid="{7C94AA42-D139-485A-8684-33BDD43DDFEC}"/>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6DD89EC7-4C49-4EC9-BAEB-8D796D27628B}"/>
    <cellStyle name="Normal 4 6 2 7 2 3" xfId="13675" xr:uid="{CC0BD810-3D7D-42B8-B7F2-B613DE6B42E5}"/>
    <cellStyle name="Normal 4 6 2 7 3" xfId="6421" xr:uid="{00000000-0005-0000-0000-00004F160000}"/>
    <cellStyle name="Normal 4 6 2 7 3 2" xfId="15747" xr:uid="{7EFA242D-7655-4DDB-9EA2-C0EFFAA24138}"/>
    <cellStyle name="Normal 4 6 2 7 4" xfId="11530" xr:uid="{C17F6A56-B50C-4621-B717-31AB2B65BCF3}"/>
    <cellStyle name="Normal 4 6 2 8" xfId="2551" xr:uid="{00000000-0005-0000-0000-000050160000}"/>
    <cellStyle name="Normal 4 6 2 8 2" xfId="6834" xr:uid="{00000000-0005-0000-0000-000051160000}"/>
    <cellStyle name="Normal 4 6 2 8 2 2" xfId="16160" xr:uid="{27A7979C-D5DF-4310-BE03-58964E41415A}"/>
    <cellStyle name="Normal 4 6 2 8 3" xfId="11943" xr:uid="{2C330266-EC00-4C14-A657-2D4F8B60E83C}"/>
    <cellStyle name="Normal 4 6 2 9" xfId="4769" xr:uid="{00000000-0005-0000-0000-000052160000}"/>
    <cellStyle name="Normal 4 6 2 9 2" xfId="14095" xr:uid="{7871AD36-D3A4-485B-AF9E-6E7B89096C9A}"/>
    <cellStyle name="Normal 4 6 3" xfId="400" xr:uid="{00000000-0005-0000-0000-000053160000}"/>
    <cellStyle name="Normal 4 6 3 10" xfId="9882" xr:uid="{004453F3-850E-41B4-8CB9-81E29D18CBB9}"/>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18712954-1B99-46D7-8A43-2232B44E305D}"/>
    <cellStyle name="Normal 4 6 3 2 2 2 3" xfId="12441" xr:uid="{BE703FEB-5C25-4834-960D-168C5694FC03}"/>
    <cellStyle name="Normal 4 6 3 2 2 3" xfId="5187" xr:uid="{00000000-0005-0000-0000-000058160000}"/>
    <cellStyle name="Normal 4 6 3 2 2 3 2" xfId="14513" xr:uid="{0B6DD2DF-F5FE-40C1-9B4F-6D299C6AB540}"/>
    <cellStyle name="Normal 4 6 3 2 2 4" xfId="9507" xr:uid="{63E4C3EA-8BE6-4CDE-9E44-1D64049D4CF5}"/>
    <cellStyle name="Normal 4 6 3 2 2 4 2" xfId="18820" xr:uid="{E379E2E4-5261-4149-9A76-5CBFE35DB1CE}"/>
    <cellStyle name="Normal 4 6 3 2 2 5" xfId="10296" xr:uid="{CDE59290-882B-4E48-912E-428E832623C2}"/>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EDF9865F-44A8-40DD-BD91-3D76B994B44A}"/>
    <cellStyle name="Normal 4 6 3 2 3 2 3" xfId="12854" xr:uid="{84324686-790B-4E2F-8757-9C80A056B08F}"/>
    <cellStyle name="Normal 4 6 3 2 3 3" xfId="5600" xr:uid="{00000000-0005-0000-0000-00005C160000}"/>
    <cellStyle name="Normal 4 6 3 2 3 3 2" xfId="14926" xr:uid="{5BD73D68-04F8-4D6C-A205-CC68057BC95A}"/>
    <cellStyle name="Normal 4 6 3 2 3 4" xfId="10709" xr:uid="{E4D3749D-60BD-4522-A2E2-59F0BA289448}"/>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5F836386-4CDD-44F5-97AC-6D39A475530F}"/>
    <cellStyle name="Normal 4 6 3 2 4 2 3" xfId="13267" xr:uid="{6EED0A9A-DA32-4C40-90DC-3B218A56DDF6}"/>
    <cellStyle name="Normal 4 6 3 2 4 3" xfId="6013" xr:uid="{00000000-0005-0000-0000-000060160000}"/>
    <cellStyle name="Normal 4 6 3 2 4 3 2" xfId="15339" xr:uid="{48F66600-4A7B-4C88-91CF-91B91CCDD9EA}"/>
    <cellStyle name="Normal 4 6 3 2 4 4" xfId="11122" xr:uid="{EB28EF67-5DC3-41AA-A6D0-0114D81552A4}"/>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8EF04BA8-7C99-40BC-AA5C-2586F5676378}"/>
    <cellStyle name="Normal 4 6 3 2 5 2 3" xfId="13680" xr:uid="{1B89864F-C620-4567-A278-60F313D4BE93}"/>
    <cellStyle name="Normal 4 6 3 2 5 3" xfId="6426" xr:uid="{00000000-0005-0000-0000-000064160000}"/>
    <cellStyle name="Normal 4 6 3 2 5 3 2" xfId="15752" xr:uid="{1BDFB64B-B9BA-46C5-9678-758144534C7D}"/>
    <cellStyle name="Normal 4 6 3 2 5 4" xfId="11535" xr:uid="{9A9BFE2D-D57E-4B8C-8B58-E1F33A8D7691}"/>
    <cellStyle name="Normal 4 6 3 2 6" xfId="2556" xr:uid="{00000000-0005-0000-0000-000065160000}"/>
    <cellStyle name="Normal 4 6 3 2 6 2" xfId="6839" xr:uid="{00000000-0005-0000-0000-000066160000}"/>
    <cellStyle name="Normal 4 6 3 2 6 2 2" xfId="16165" xr:uid="{FEFA3B52-5CDB-4571-806D-49B7D58D0D30}"/>
    <cellStyle name="Normal 4 6 3 2 6 3" xfId="11948" xr:uid="{E9F20ED9-FD84-49BD-8131-39D6C9EAD1AC}"/>
    <cellStyle name="Normal 4 6 3 2 7" xfId="4774" xr:uid="{00000000-0005-0000-0000-000067160000}"/>
    <cellStyle name="Normal 4 6 3 2 7 2" xfId="14100" xr:uid="{A1673E82-7A03-4C62-83E8-CB4C74415BC0}"/>
    <cellStyle name="Normal 4 6 3 2 8" xfId="9082" xr:uid="{B272D1AE-3713-4AD0-AE3F-D1A7344AD432}"/>
    <cellStyle name="Normal 4 6 3 2 8 2" xfId="18405" xr:uid="{84F84DB9-31D5-468A-98E0-1C8247EC1932}"/>
    <cellStyle name="Normal 4 6 3 2 9" xfId="9883" xr:uid="{752E8226-C552-4932-A4A3-1D91BFE63D3C}"/>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06ABEB70-82A0-405A-8359-AE5233185F0A}"/>
    <cellStyle name="Normal 4 6 3 3 2 3" xfId="12440" xr:uid="{99119DD6-88FD-4287-9C39-5A9CFE194B7A}"/>
    <cellStyle name="Normal 4 6 3 3 3" xfId="5186" xr:uid="{00000000-0005-0000-0000-00006B160000}"/>
    <cellStyle name="Normal 4 6 3 3 3 2" xfId="14512" xr:uid="{49FF1C5F-D8BB-4441-B406-2B5395C8A62C}"/>
    <cellStyle name="Normal 4 6 3 3 4" xfId="9300" xr:uid="{955A2E97-C871-4115-A4F5-A642AE2D2C4B}"/>
    <cellStyle name="Normal 4 6 3 3 4 2" xfId="18613" xr:uid="{1287255C-B2EC-4676-A9CC-A3EB027B7FE6}"/>
    <cellStyle name="Normal 4 6 3 3 5" xfId="10295" xr:uid="{5B8923B0-2127-4844-B586-87C44409C996}"/>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013C3D35-EF3D-48A2-8808-43A90B4C7D68}"/>
    <cellStyle name="Normal 4 6 3 4 2 3" xfId="12853" xr:uid="{9C5A347C-25AA-4442-9445-80B378C0DC95}"/>
    <cellStyle name="Normal 4 6 3 4 3" xfId="5599" xr:uid="{00000000-0005-0000-0000-00006F160000}"/>
    <cellStyle name="Normal 4 6 3 4 3 2" xfId="14925" xr:uid="{AA73D227-BB62-4AD8-94DE-387929496D33}"/>
    <cellStyle name="Normal 4 6 3 4 4" xfId="10708" xr:uid="{9B103F64-12F3-4B53-B9A5-93A792A1A774}"/>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E7749805-5D6B-44D8-ACFF-5D3F4D379CBA}"/>
    <cellStyle name="Normal 4 6 3 5 2 3" xfId="13266" xr:uid="{EBAE9D5D-A49F-4B0E-980B-CFF4AA7B7D79}"/>
    <cellStyle name="Normal 4 6 3 5 3" xfId="6012" xr:uid="{00000000-0005-0000-0000-000073160000}"/>
    <cellStyle name="Normal 4 6 3 5 3 2" xfId="15338" xr:uid="{3AFE93B7-9876-4E5C-A7E3-A3AD20ED3BAB}"/>
    <cellStyle name="Normal 4 6 3 5 4" xfId="11121" xr:uid="{B5747E01-38D4-4A68-B408-58FD40D8EAB9}"/>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8F3DD63C-0CE6-43F5-9719-C0FBEFD6399C}"/>
    <cellStyle name="Normal 4 6 3 6 2 3" xfId="13679" xr:uid="{B910999B-F508-4ABF-BB8C-E3A06F85AA09}"/>
    <cellStyle name="Normal 4 6 3 6 3" xfId="6425" xr:uid="{00000000-0005-0000-0000-000077160000}"/>
    <cellStyle name="Normal 4 6 3 6 3 2" xfId="15751" xr:uid="{FFB1E982-2D54-4E66-84EF-B63EA9D1BD55}"/>
    <cellStyle name="Normal 4 6 3 6 4" xfId="11534" xr:uid="{7546EB7C-61A8-45CB-AC07-BABAD6D7BF27}"/>
    <cellStyle name="Normal 4 6 3 7" xfId="2555" xr:uid="{00000000-0005-0000-0000-000078160000}"/>
    <cellStyle name="Normal 4 6 3 7 2" xfId="6838" xr:uid="{00000000-0005-0000-0000-000079160000}"/>
    <cellStyle name="Normal 4 6 3 7 2 2" xfId="16164" xr:uid="{70CB82B4-25C1-4F9C-A211-A499EC6E369E}"/>
    <cellStyle name="Normal 4 6 3 7 3" xfId="11947" xr:uid="{0DE23735-6E25-4022-B00D-0CDE8E430A2C}"/>
    <cellStyle name="Normal 4 6 3 8" xfId="4773" xr:uid="{00000000-0005-0000-0000-00007A160000}"/>
    <cellStyle name="Normal 4 6 3 8 2" xfId="14099" xr:uid="{13E12AF8-91ED-44EF-B951-04C85DB08AC2}"/>
    <cellStyle name="Normal 4 6 3 9" xfId="8875" xr:uid="{DFD24C28-B729-444D-A0F6-B5522ED354D5}"/>
    <cellStyle name="Normal 4 6 3 9 2" xfId="18198" xr:uid="{07535AEE-5C46-4B7F-B8B2-399F4B84E61A}"/>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B85610C9-7F44-49E5-B8C9-50838AF9764B}"/>
    <cellStyle name="Normal 4 6 4 2 2 3" xfId="12442" xr:uid="{943E842D-3600-431E-896E-8E713F725378}"/>
    <cellStyle name="Normal 4 6 4 2 3" xfId="5188" xr:uid="{00000000-0005-0000-0000-00007F160000}"/>
    <cellStyle name="Normal 4 6 4 2 3 2" xfId="14514" xr:uid="{271A0A00-E19A-44FE-8128-8B0640D6345E}"/>
    <cellStyle name="Normal 4 6 4 2 4" xfId="9404" xr:uid="{D1BAB6D6-35EF-4C34-91EA-2EB17352CDF9}"/>
    <cellStyle name="Normal 4 6 4 2 4 2" xfId="18717" xr:uid="{16E65457-FC85-4124-B55B-CE3409754E50}"/>
    <cellStyle name="Normal 4 6 4 2 5" xfId="10297" xr:uid="{EB0511DF-1711-49E1-9EA9-43BF4F48563D}"/>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106BD6F6-475B-43F2-B880-D4F35F9B6942}"/>
    <cellStyle name="Normal 4 6 4 3 2 3" xfId="12855" xr:uid="{CD0B258C-53BB-4F85-AEEB-698FE75E5BF7}"/>
    <cellStyle name="Normal 4 6 4 3 3" xfId="5601" xr:uid="{00000000-0005-0000-0000-000083160000}"/>
    <cellStyle name="Normal 4 6 4 3 3 2" xfId="14927" xr:uid="{58F1B494-2359-467D-B106-46E9602172AD}"/>
    <cellStyle name="Normal 4 6 4 3 4" xfId="10710" xr:uid="{A8EBDFE1-0A29-49EB-8A1D-DEEA329E8B20}"/>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5536672C-32C0-4F3F-ADAD-CDE850CB57E3}"/>
    <cellStyle name="Normal 4 6 4 4 2 3" xfId="13268" xr:uid="{BDE43B5B-D26F-4630-AAD5-FF2D99BE615A}"/>
    <cellStyle name="Normal 4 6 4 4 3" xfId="6014" xr:uid="{00000000-0005-0000-0000-000087160000}"/>
    <cellStyle name="Normal 4 6 4 4 3 2" xfId="15340" xr:uid="{6508F851-F543-4E6B-9E10-D7CABCF5C965}"/>
    <cellStyle name="Normal 4 6 4 4 4" xfId="11123" xr:uid="{370F68E9-49B3-4B95-A36D-F4B96433769D}"/>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4E6FB451-86D0-4214-8E3E-1DF6712412F2}"/>
    <cellStyle name="Normal 4 6 4 5 2 3" xfId="13681" xr:uid="{34716B23-05A2-4D78-AE06-46DAA5E4E625}"/>
    <cellStyle name="Normal 4 6 4 5 3" xfId="6427" xr:uid="{00000000-0005-0000-0000-00008B160000}"/>
    <cellStyle name="Normal 4 6 4 5 3 2" xfId="15753" xr:uid="{E7BACE6F-7268-4E10-8786-CE1DF31D39E8}"/>
    <cellStyle name="Normal 4 6 4 5 4" xfId="11536" xr:uid="{B3AD1D03-0707-486D-AFCF-17EC9038E097}"/>
    <cellStyle name="Normal 4 6 4 6" xfId="2557" xr:uid="{00000000-0005-0000-0000-00008C160000}"/>
    <cellStyle name="Normal 4 6 4 6 2" xfId="6840" xr:uid="{00000000-0005-0000-0000-00008D160000}"/>
    <cellStyle name="Normal 4 6 4 6 2 2" xfId="16166" xr:uid="{AC30FEE2-A925-4F1B-8F90-D612D31E8F26}"/>
    <cellStyle name="Normal 4 6 4 6 3" xfId="11949" xr:uid="{56B12DDB-22AB-4BC0-A3B7-DA575E47A67E}"/>
    <cellStyle name="Normal 4 6 4 7" xfId="4775" xr:uid="{00000000-0005-0000-0000-00008E160000}"/>
    <cellStyle name="Normal 4 6 4 7 2" xfId="14101" xr:uid="{26EBB0E9-8953-4074-9489-2F12CDC8A61C}"/>
    <cellStyle name="Normal 4 6 4 8" xfId="8979" xr:uid="{358D1440-F461-4509-8416-8F78F7D13FF4}"/>
    <cellStyle name="Normal 4 6 4 8 2" xfId="18302" xr:uid="{0D610C4C-0296-48AB-8A54-7D52D2E980E5}"/>
    <cellStyle name="Normal 4 6 4 9" xfId="9884" xr:uid="{F1B35810-932B-46C3-90F1-0BAC8632E6E6}"/>
    <cellStyle name="Normal 4 6 5" xfId="869" xr:uid="{00000000-0005-0000-0000-00008F160000}"/>
    <cellStyle name="Normal 4 6 5 2" xfId="3104" xr:uid="{00000000-0005-0000-0000-000090160000}"/>
    <cellStyle name="Normal 4 6 5 2 2" xfId="7326" xr:uid="{00000000-0005-0000-0000-000091160000}"/>
    <cellStyle name="Normal 4 6 5 2 2 2" xfId="16652" xr:uid="{A07D6BE7-2184-4869-A1DF-5E5507722446}"/>
    <cellStyle name="Normal 4 6 5 2 3" xfId="12435" xr:uid="{75781666-2B26-49C3-9D1C-50CB0D3E53CD}"/>
    <cellStyle name="Normal 4 6 5 3" xfId="5181" xr:uid="{00000000-0005-0000-0000-000092160000}"/>
    <cellStyle name="Normal 4 6 5 3 2" xfId="14507" xr:uid="{AAB41D5E-D1BB-4CE4-9DE2-604DF2C31436}"/>
    <cellStyle name="Normal 4 6 5 4" xfId="9196" xr:uid="{8DF5D81E-BEC3-4373-A99C-2D9CDEEBBA3C}"/>
    <cellStyle name="Normal 4 6 5 4 2" xfId="18510" xr:uid="{FD394AFC-8F81-4D43-8867-6BD58E432A32}"/>
    <cellStyle name="Normal 4 6 5 5" xfId="10290" xr:uid="{3B7DD661-AB65-4EC5-B14B-C15DECB16251}"/>
    <cellStyle name="Normal 4 6 6" xfId="1287" xr:uid="{00000000-0005-0000-0000-000093160000}"/>
    <cellStyle name="Normal 4 6 6 2" xfId="3517" xr:uid="{00000000-0005-0000-0000-000094160000}"/>
    <cellStyle name="Normal 4 6 6 2 2" xfId="7739" xr:uid="{00000000-0005-0000-0000-000095160000}"/>
    <cellStyle name="Normal 4 6 6 2 2 2" xfId="17065" xr:uid="{5A933FA8-DFF3-4B25-AAA8-4038BB9B5ABB}"/>
    <cellStyle name="Normal 4 6 6 2 3" xfId="12848" xr:uid="{1AEB5856-B30A-4EFC-BA37-A9992CF3A8C3}"/>
    <cellStyle name="Normal 4 6 6 3" xfId="5594" xr:uid="{00000000-0005-0000-0000-000096160000}"/>
    <cellStyle name="Normal 4 6 6 3 2" xfId="14920" xr:uid="{647B37EF-970E-4480-8867-833DB93CAC54}"/>
    <cellStyle name="Normal 4 6 6 4" xfId="10703" xr:uid="{739D643A-5A97-4AAB-9067-766767E48FA5}"/>
    <cellStyle name="Normal 4 6 7" xfId="1700" xr:uid="{00000000-0005-0000-0000-000097160000}"/>
    <cellStyle name="Normal 4 6 7 2" xfId="3930" xr:uid="{00000000-0005-0000-0000-000098160000}"/>
    <cellStyle name="Normal 4 6 7 2 2" xfId="8152" xr:uid="{00000000-0005-0000-0000-000099160000}"/>
    <cellStyle name="Normal 4 6 7 2 2 2" xfId="17478" xr:uid="{3917A11C-B68D-49B8-AC87-585D97774DE4}"/>
    <cellStyle name="Normal 4 6 7 2 3" xfId="13261" xr:uid="{F3B11F02-8F23-4F8E-A842-EC7F2B552B59}"/>
    <cellStyle name="Normal 4 6 7 3" xfId="6007" xr:uid="{00000000-0005-0000-0000-00009A160000}"/>
    <cellStyle name="Normal 4 6 7 3 2" xfId="15333" xr:uid="{8871ECCC-CC99-4293-A402-DF49528BE8BF}"/>
    <cellStyle name="Normal 4 6 7 4" xfId="11116" xr:uid="{DC944455-BBB4-4F68-9048-9E07EA073035}"/>
    <cellStyle name="Normal 4 6 8" xfId="2114" xr:uid="{00000000-0005-0000-0000-00009B160000}"/>
    <cellStyle name="Normal 4 6 8 2" xfId="4343" xr:uid="{00000000-0005-0000-0000-00009C160000}"/>
    <cellStyle name="Normal 4 6 8 2 2" xfId="8565" xr:uid="{00000000-0005-0000-0000-00009D160000}"/>
    <cellStyle name="Normal 4 6 8 2 2 2" xfId="17891" xr:uid="{CF2CDD6E-0E8B-44AA-99A9-8702650E7111}"/>
    <cellStyle name="Normal 4 6 8 2 3" xfId="13674" xr:uid="{27B2B7B8-16B8-47EF-A7F0-E2E9882CDFB2}"/>
    <cellStyle name="Normal 4 6 8 3" xfId="6420" xr:uid="{00000000-0005-0000-0000-00009E160000}"/>
    <cellStyle name="Normal 4 6 8 3 2" xfId="15746" xr:uid="{F4893655-CD1A-463B-B256-8F6546A6E14E}"/>
    <cellStyle name="Normal 4 6 8 4" xfId="11529" xr:uid="{0D6A1FB5-8CE4-452A-9532-079D7E9131C6}"/>
    <cellStyle name="Normal 4 6 9" xfId="2550" xr:uid="{00000000-0005-0000-0000-00009F160000}"/>
    <cellStyle name="Normal 4 6 9 2" xfId="6833" xr:uid="{00000000-0005-0000-0000-0000A0160000}"/>
    <cellStyle name="Normal 4 6 9 2 2" xfId="16159" xr:uid="{C6294460-72BD-41E1-BD86-5617F00569CD}"/>
    <cellStyle name="Normal 4 6 9 3" xfId="11942" xr:uid="{6A6897C1-FCC1-4A0B-9F0D-7A356F516ED5}"/>
    <cellStyle name="Normal 4 7" xfId="403" xr:uid="{00000000-0005-0000-0000-0000A1160000}"/>
    <cellStyle name="Normal 4 7 10" xfId="9885" xr:uid="{4A2C057E-C856-4B62-AB26-45C2851613E1}"/>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24A9348E-5FD3-4EEF-90B6-208C357E8D91}"/>
    <cellStyle name="Normal 4 7 2 2 2 3" xfId="12444" xr:uid="{DB0183C8-00F6-43F9-8955-867EB75AAA6B}"/>
    <cellStyle name="Normal 4 7 2 2 3" xfId="5190" xr:uid="{00000000-0005-0000-0000-0000A6160000}"/>
    <cellStyle name="Normal 4 7 2 2 3 2" xfId="14516" xr:uid="{1071B52F-55D4-4863-9DD3-AB2B6A1A2AC4}"/>
    <cellStyle name="Normal 4 7 2 2 4" xfId="9475" xr:uid="{1E309EF6-7D7C-4A4D-B2F1-E00D0CF6E167}"/>
    <cellStyle name="Normal 4 7 2 2 4 2" xfId="18788" xr:uid="{1B7A69D1-A349-473A-A189-9259F61A68D9}"/>
    <cellStyle name="Normal 4 7 2 2 5" xfId="10299" xr:uid="{258C0253-C729-423B-AF60-F7EB6F9BBED6}"/>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BBD5C525-2F8E-407E-97C6-DA29B3AF1351}"/>
    <cellStyle name="Normal 4 7 2 3 2 3" xfId="12857" xr:uid="{C1F34B21-8E17-4B8E-900C-DA3517803E38}"/>
    <cellStyle name="Normal 4 7 2 3 3" xfId="5603" xr:uid="{00000000-0005-0000-0000-0000AA160000}"/>
    <cellStyle name="Normal 4 7 2 3 3 2" xfId="14929" xr:uid="{B1E11BB8-E507-4453-B202-5A25844E0A56}"/>
    <cellStyle name="Normal 4 7 2 3 4" xfId="10712" xr:uid="{745826B8-6FB2-46B3-8F7B-EA822190058C}"/>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26FE566F-5257-48EB-9819-36F934AAFAC4}"/>
    <cellStyle name="Normal 4 7 2 4 2 3" xfId="13270" xr:uid="{0B46BCBA-464F-46B3-8315-F34253BB35FA}"/>
    <cellStyle name="Normal 4 7 2 4 3" xfId="6016" xr:uid="{00000000-0005-0000-0000-0000AE160000}"/>
    <cellStyle name="Normal 4 7 2 4 3 2" xfId="15342" xr:uid="{91D34478-E8AB-4EA6-8B4D-8B6750D16F97}"/>
    <cellStyle name="Normal 4 7 2 4 4" xfId="11125" xr:uid="{27E86EBE-D20F-4750-AF4E-C1DA131F3A59}"/>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96F33CDB-5D1A-46F8-93E5-5EECF67BBA9D}"/>
    <cellStyle name="Normal 4 7 2 5 2 3" xfId="13683" xr:uid="{7C22A711-DC92-4213-8AA8-831E497FDB7D}"/>
    <cellStyle name="Normal 4 7 2 5 3" xfId="6429" xr:uid="{00000000-0005-0000-0000-0000B2160000}"/>
    <cellStyle name="Normal 4 7 2 5 3 2" xfId="15755" xr:uid="{7BDD1172-BA77-45D0-944A-899264D40C30}"/>
    <cellStyle name="Normal 4 7 2 5 4" xfId="11538" xr:uid="{E6BE64C3-EAE3-48C6-8A55-C96FCE0F77F6}"/>
    <cellStyle name="Normal 4 7 2 6" xfId="2559" xr:uid="{00000000-0005-0000-0000-0000B3160000}"/>
    <cellStyle name="Normal 4 7 2 6 2" xfId="6842" xr:uid="{00000000-0005-0000-0000-0000B4160000}"/>
    <cellStyle name="Normal 4 7 2 6 2 2" xfId="16168" xr:uid="{4FB50658-89DE-4FE7-AA14-6412A8C02DEA}"/>
    <cellStyle name="Normal 4 7 2 6 3" xfId="11951" xr:uid="{534F15FD-343D-4B83-A7CB-E00009E0A9DD}"/>
    <cellStyle name="Normal 4 7 2 7" xfId="4777" xr:uid="{00000000-0005-0000-0000-0000B5160000}"/>
    <cellStyle name="Normal 4 7 2 7 2" xfId="14103" xr:uid="{0A4DB817-B287-4C19-B3E9-983AD1854113}"/>
    <cellStyle name="Normal 4 7 2 8" xfId="9050" xr:uid="{C18A0BCD-6C40-47C4-AC72-E06914F008F6}"/>
    <cellStyle name="Normal 4 7 2 8 2" xfId="18373" xr:uid="{1A47755B-F3C9-4B3A-ACBD-629B3C07103B}"/>
    <cellStyle name="Normal 4 7 2 9" xfId="9886" xr:uid="{7FC1C89F-C143-4321-96CB-9F49B62948FC}"/>
    <cellStyle name="Normal 4 7 3" xfId="877" xr:uid="{00000000-0005-0000-0000-0000B6160000}"/>
    <cellStyle name="Normal 4 7 3 2" xfId="3112" xr:uid="{00000000-0005-0000-0000-0000B7160000}"/>
    <cellStyle name="Normal 4 7 3 2 2" xfId="7334" xr:uid="{00000000-0005-0000-0000-0000B8160000}"/>
    <cellStyle name="Normal 4 7 3 2 2 2" xfId="16660" xr:uid="{D56BB5B4-487E-420A-8A7A-CD2290F66049}"/>
    <cellStyle name="Normal 4 7 3 2 3" xfId="12443" xr:uid="{FE45B388-8B2A-402B-99E2-45058716033A}"/>
    <cellStyle name="Normal 4 7 3 3" xfId="5189" xr:uid="{00000000-0005-0000-0000-0000B9160000}"/>
    <cellStyle name="Normal 4 7 3 3 2" xfId="14515" xr:uid="{2F80D199-521D-41F6-B6AD-AB07E69120AA}"/>
    <cellStyle name="Normal 4 7 3 4" xfId="9268" xr:uid="{83DA99B2-5D77-4110-AEB9-304D3ECEF3EB}"/>
    <cellStyle name="Normal 4 7 3 4 2" xfId="18581" xr:uid="{C93DB09D-8BA3-4FA6-9647-1AF21AA2CEF0}"/>
    <cellStyle name="Normal 4 7 3 5" xfId="10298" xr:uid="{075F499B-372C-4835-9F06-C10532AAE470}"/>
    <cellStyle name="Normal 4 7 4" xfId="1295" xr:uid="{00000000-0005-0000-0000-0000BA160000}"/>
    <cellStyle name="Normal 4 7 4 2" xfId="3525" xr:uid="{00000000-0005-0000-0000-0000BB160000}"/>
    <cellStyle name="Normal 4 7 4 2 2" xfId="7747" xr:uid="{00000000-0005-0000-0000-0000BC160000}"/>
    <cellStyle name="Normal 4 7 4 2 2 2" xfId="17073" xr:uid="{C77D03A3-0009-4DC5-90DA-D3C3930B9CB2}"/>
    <cellStyle name="Normal 4 7 4 2 3" xfId="12856" xr:uid="{B152ECC0-7ED5-4984-8999-490C8C09A0AB}"/>
    <cellStyle name="Normal 4 7 4 3" xfId="5602" xr:uid="{00000000-0005-0000-0000-0000BD160000}"/>
    <cellStyle name="Normal 4 7 4 3 2" xfId="14928" xr:uid="{F1A54FBC-FB32-4337-BC63-4A3628882D30}"/>
    <cellStyle name="Normal 4 7 4 4" xfId="10711" xr:uid="{8E174A8E-F612-4C92-BA0E-0BF4AE4B5E5A}"/>
    <cellStyle name="Normal 4 7 5" xfId="1708" xr:uid="{00000000-0005-0000-0000-0000BE160000}"/>
    <cellStyle name="Normal 4 7 5 2" xfId="3938" xr:uid="{00000000-0005-0000-0000-0000BF160000}"/>
    <cellStyle name="Normal 4 7 5 2 2" xfId="8160" xr:uid="{00000000-0005-0000-0000-0000C0160000}"/>
    <cellStyle name="Normal 4 7 5 2 2 2" xfId="17486" xr:uid="{620C33F4-85FC-4A84-A887-598534D64D70}"/>
    <cellStyle name="Normal 4 7 5 2 3" xfId="13269" xr:uid="{5D0A2C81-ADDD-4F72-8AB4-5A15AAC537E0}"/>
    <cellStyle name="Normal 4 7 5 3" xfId="6015" xr:uid="{00000000-0005-0000-0000-0000C1160000}"/>
    <cellStyle name="Normal 4 7 5 3 2" xfId="15341" xr:uid="{5298B95B-84BD-44B8-BC9D-BD6011DD559D}"/>
    <cellStyle name="Normal 4 7 5 4" xfId="11124" xr:uid="{9F9A78E6-F934-4411-83BD-883AA0DE2E02}"/>
    <cellStyle name="Normal 4 7 6" xfId="2122" xr:uid="{00000000-0005-0000-0000-0000C2160000}"/>
    <cellStyle name="Normal 4 7 6 2" xfId="4351" xr:uid="{00000000-0005-0000-0000-0000C3160000}"/>
    <cellStyle name="Normal 4 7 6 2 2" xfId="8573" xr:uid="{00000000-0005-0000-0000-0000C4160000}"/>
    <cellStyle name="Normal 4 7 6 2 2 2" xfId="17899" xr:uid="{EC2693E0-8DC1-4A88-85C3-D8E817464EA7}"/>
    <cellStyle name="Normal 4 7 6 2 3" xfId="13682" xr:uid="{879C4A47-547B-49E1-B4DD-506640B38A33}"/>
    <cellStyle name="Normal 4 7 6 3" xfId="6428" xr:uid="{00000000-0005-0000-0000-0000C5160000}"/>
    <cellStyle name="Normal 4 7 6 3 2" xfId="15754" xr:uid="{CEFE3B4F-F185-450D-BD2D-764FEB9AB902}"/>
    <cellStyle name="Normal 4 7 6 4" xfId="11537" xr:uid="{117785A3-11F7-4E44-98FE-44DC7D080F1D}"/>
    <cellStyle name="Normal 4 7 7" xfId="2558" xr:uid="{00000000-0005-0000-0000-0000C6160000}"/>
    <cellStyle name="Normal 4 7 7 2" xfId="6841" xr:uid="{00000000-0005-0000-0000-0000C7160000}"/>
    <cellStyle name="Normal 4 7 7 2 2" xfId="16167" xr:uid="{4A04C94A-1EA3-4D39-B156-C69A116C932D}"/>
    <cellStyle name="Normal 4 7 7 3" xfId="11950" xr:uid="{946FA7DE-2BD4-4562-8E13-CE91B3A1E4BA}"/>
    <cellStyle name="Normal 4 7 8" xfId="4776" xr:uid="{00000000-0005-0000-0000-0000C8160000}"/>
    <cellStyle name="Normal 4 7 8 2" xfId="14102" xr:uid="{DE994EE1-3F2F-4536-BC04-D1ADDF43F03F}"/>
    <cellStyle name="Normal 4 7 9" xfId="8843" xr:uid="{092972D9-0015-4C5A-94A6-5AFD2026266B}"/>
    <cellStyle name="Normal 4 7 9 2" xfId="18166" xr:uid="{00438807-FC45-4AB7-A934-280BAFE2EFCE}"/>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F32AA197-27DD-43DA-B24C-8E2A187C2049}"/>
    <cellStyle name="Normal 4 8 2 2 3" xfId="12445" xr:uid="{7B2319CC-59B3-4357-99DE-9FCD10724AAF}"/>
    <cellStyle name="Normal 4 8 2 3" xfId="5191" xr:uid="{00000000-0005-0000-0000-0000CD160000}"/>
    <cellStyle name="Normal 4 8 2 3 2" xfId="14517" xr:uid="{BC3FB874-5CC1-4719-8B68-991BD56E7B6D}"/>
    <cellStyle name="Normal 4 8 2 4" xfId="9384" xr:uid="{6351F1DA-E485-4044-8429-C0AE76E79EEE}"/>
    <cellStyle name="Normal 4 8 2 4 2" xfId="18697" xr:uid="{C8B0D237-018C-4220-9863-C4E169998852}"/>
    <cellStyle name="Normal 4 8 2 5" xfId="10300" xr:uid="{6AB18EFC-912E-4EFE-A6DB-81AC8E8EB7F6}"/>
    <cellStyle name="Normal 4 8 3" xfId="1297" xr:uid="{00000000-0005-0000-0000-0000CE160000}"/>
    <cellStyle name="Normal 4 8 3 2" xfId="3527" xr:uid="{00000000-0005-0000-0000-0000CF160000}"/>
    <cellStyle name="Normal 4 8 3 2 2" xfId="7749" xr:uid="{00000000-0005-0000-0000-0000D0160000}"/>
    <cellStyle name="Normal 4 8 3 2 2 2" xfId="17075" xr:uid="{5F95981C-4B76-43C0-BBAC-473126EA1AF4}"/>
    <cellStyle name="Normal 4 8 3 2 3" xfId="12858" xr:uid="{7EC02B3A-CC21-4314-B3A7-3CDBF8BC8A91}"/>
    <cellStyle name="Normal 4 8 3 3" xfId="5604" xr:uid="{00000000-0005-0000-0000-0000D1160000}"/>
    <cellStyle name="Normal 4 8 3 3 2" xfId="14930" xr:uid="{8CAA0B98-142D-4486-8E57-75800EAD66BC}"/>
    <cellStyle name="Normal 4 8 3 4" xfId="10713" xr:uid="{1A6D1441-9B53-4BAE-A92B-8FF70590A760}"/>
    <cellStyle name="Normal 4 8 4" xfId="1710" xr:uid="{00000000-0005-0000-0000-0000D2160000}"/>
    <cellStyle name="Normal 4 8 4 2" xfId="3940" xr:uid="{00000000-0005-0000-0000-0000D3160000}"/>
    <cellStyle name="Normal 4 8 4 2 2" xfId="8162" xr:uid="{00000000-0005-0000-0000-0000D4160000}"/>
    <cellStyle name="Normal 4 8 4 2 2 2" xfId="17488" xr:uid="{1EA97A66-3480-4C3A-B925-78FBD3F746CD}"/>
    <cellStyle name="Normal 4 8 4 2 3" xfId="13271" xr:uid="{EAC51FF6-D9A5-4D64-A760-91D75236EB4F}"/>
    <cellStyle name="Normal 4 8 4 3" xfId="6017" xr:uid="{00000000-0005-0000-0000-0000D5160000}"/>
    <cellStyle name="Normal 4 8 4 3 2" xfId="15343" xr:uid="{2F9B5DC2-F6A1-4573-A6C7-63B6345E92DD}"/>
    <cellStyle name="Normal 4 8 4 4" xfId="11126" xr:uid="{B3970678-F097-4AAD-9620-A6EA467FA399}"/>
    <cellStyle name="Normal 4 8 5" xfId="2124" xr:uid="{00000000-0005-0000-0000-0000D6160000}"/>
    <cellStyle name="Normal 4 8 5 2" xfId="4353" xr:uid="{00000000-0005-0000-0000-0000D7160000}"/>
    <cellStyle name="Normal 4 8 5 2 2" xfId="8575" xr:uid="{00000000-0005-0000-0000-0000D8160000}"/>
    <cellStyle name="Normal 4 8 5 2 2 2" xfId="17901" xr:uid="{9B6CB043-2D22-46C6-AFBB-1954DA38AB0B}"/>
    <cellStyle name="Normal 4 8 5 2 3" xfId="13684" xr:uid="{738C7199-CCF0-4811-AA1F-5B015E963601}"/>
    <cellStyle name="Normal 4 8 5 3" xfId="6430" xr:uid="{00000000-0005-0000-0000-0000D9160000}"/>
    <cellStyle name="Normal 4 8 5 3 2" xfId="15756" xr:uid="{F1EABE97-6D3A-47AB-8B1C-1675D0F3B574}"/>
    <cellStyle name="Normal 4 8 5 4" xfId="11539" xr:uid="{2FBFF197-451D-4051-AD59-EF75024BD719}"/>
    <cellStyle name="Normal 4 8 6" xfId="2560" xr:uid="{00000000-0005-0000-0000-0000DA160000}"/>
    <cellStyle name="Normal 4 8 6 2" xfId="6843" xr:uid="{00000000-0005-0000-0000-0000DB160000}"/>
    <cellStyle name="Normal 4 8 6 2 2" xfId="16169" xr:uid="{78B84053-920B-485E-9FF5-738AEF309F82}"/>
    <cellStyle name="Normal 4 8 6 3" xfId="11952" xr:uid="{360B7317-6725-4E1B-8067-BC63A68DE168}"/>
    <cellStyle name="Normal 4 8 7" xfId="4778" xr:uid="{00000000-0005-0000-0000-0000DC160000}"/>
    <cellStyle name="Normal 4 8 7 2" xfId="14104" xr:uid="{154F9409-72F0-4EE1-8229-F5CC5C356BAF}"/>
    <cellStyle name="Normal 4 8 8" xfId="8959" xr:uid="{E3216EF3-66EB-48FF-967C-A258B3C3F4FF}"/>
    <cellStyle name="Normal 4 8 8 2" xfId="18282" xr:uid="{C3C0F1A5-EE99-40D0-AC23-0144FF428AE1}"/>
    <cellStyle name="Normal 4 8 9" xfId="9887" xr:uid="{F5FB2F1B-EC06-4357-A944-79326EEEAE8C}"/>
    <cellStyle name="Normal 4 9" xfId="4715" xr:uid="{00000000-0005-0000-0000-0000DD160000}"/>
    <cellStyle name="Normal 4 9 2" xfId="9162" xr:uid="{BC355FAB-4557-4712-A03F-EB5522B29E6A}"/>
    <cellStyle name="Normal 4 9 2 2" xfId="18478" xr:uid="{43214C26-A2D6-48CF-A462-380DAA29649F}"/>
    <cellStyle name="Normal 4 9 3" xfId="14041" xr:uid="{5EA2D926-D464-4215-B74E-C0E98A78C747}"/>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B69A9BAD-442A-4E5A-B4F6-589F68434C36}"/>
    <cellStyle name="Normal 5 10 2 3" xfId="13272" xr:uid="{A82A31F1-B614-4285-8C59-8343A1747E0F}"/>
    <cellStyle name="Normal 5 10 3" xfId="6018" xr:uid="{00000000-0005-0000-0000-0000E2160000}"/>
    <cellStyle name="Normal 5 10 3 2" xfId="15344" xr:uid="{3E5339C9-366B-4CD7-A025-D68247B5A413}"/>
    <cellStyle name="Normal 5 10 4" xfId="11127" xr:uid="{7657692A-8DB0-4722-A292-5C3183BC3B72}"/>
    <cellStyle name="Normal 5 11" xfId="2125" xr:uid="{00000000-0005-0000-0000-0000E3160000}"/>
    <cellStyle name="Normal 5 11 2" xfId="4354" xr:uid="{00000000-0005-0000-0000-0000E4160000}"/>
    <cellStyle name="Normal 5 11 2 2" xfId="8576" xr:uid="{00000000-0005-0000-0000-0000E5160000}"/>
    <cellStyle name="Normal 5 11 2 2 2" xfId="17902" xr:uid="{41ADCE5E-74D5-4605-8592-D2EA13B5A46F}"/>
    <cellStyle name="Normal 5 11 2 3" xfId="13685" xr:uid="{C6523E37-D97F-46FE-8A84-3C6B47747A6F}"/>
    <cellStyle name="Normal 5 11 3" xfId="6431" xr:uid="{00000000-0005-0000-0000-0000E6160000}"/>
    <cellStyle name="Normal 5 11 3 2" xfId="15757" xr:uid="{5F505195-8473-4DEA-842A-DBC16E253091}"/>
    <cellStyle name="Normal 5 11 4" xfId="11540" xr:uid="{80F1FEA7-4265-4882-B77A-1E4E7D7B1962}"/>
    <cellStyle name="Normal 5 12" xfId="2561" xr:uid="{00000000-0005-0000-0000-0000E7160000}"/>
    <cellStyle name="Normal 5 12 2" xfId="6844" xr:uid="{00000000-0005-0000-0000-0000E8160000}"/>
    <cellStyle name="Normal 5 12 2 2" xfId="16170" xr:uid="{8A182B62-3629-42D5-A516-BEB3DDA098CA}"/>
    <cellStyle name="Normal 5 12 3" xfId="11953" xr:uid="{AB7C5E81-2364-479C-A97F-5EC3CB5EB835}"/>
    <cellStyle name="Normal 5 13" xfId="4779" xr:uid="{00000000-0005-0000-0000-0000E9160000}"/>
    <cellStyle name="Normal 5 13 2" xfId="14105" xr:uid="{80413FC6-CB65-4443-9782-BA4D2F11A58D}"/>
    <cellStyle name="Normal 5 14" xfId="8741" xr:uid="{6467398C-BC57-47BF-AF01-9B3356F8431F}"/>
    <cellStyle name="Normal 5 14 2" xfId="18064" xr:uid="{CB0C1243-B0AD-44F4-A987-910A628091A1}"/>
    <cellStyle name="Normal 5 15" xfId="9888" xr:uid="{B016EA7A-44E8-42BB-9A35-EC2F37DAA79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52660E6E-ACFE-4D43-9CC8-C6316FE2C4BC}"/>
    <cellStyle name="Normal 5 2 10 2 3" xfId="13686" xr:uid="{51AECE6C-E6C6-450D-9E0E-C1289E794931}"/>
    <cellStyle name="Normal 5 2 10 3" xfId="6432" xr:uid="{00000000-0005-0000-0000-0000EE160000}"/>
    <cellStyle name="Normal 5 2 10 3 2" xfId="15758" xr:uid="{7FE760C1-2D30-404D-A730-1801CDF8D97D}"/>
    <cellStyle name="Normal 5 2 10 4" xfId="11541" xr:uid="{4CE5772D-86DF-4CE1-AAA6-462997B821D0}"/>
    <cellStyle name="Normal 5 2 11" xfId="2562" xr:uid="{00000000-0005-0000-0000-0000EF160000}"/>
    <cellStyle name="Normal 5 2 11 2" xfId="6845" xr:uid="{00000000-0005-0000-0000-0000F0160000}"/>
    <cellStyle name="Normal 5 2 11 2 2" xfId="16171" xr:uid="{7D66164F-7D7E-4459-8586-E698E5671D80}"/>
    <cellStyle name="Normal 5 2 11 3" xfId="11954" xr:uid="{39996E86-6271-4D61-9F1F-B13C6410D601}"/>
    <cellStyle name="Normal 5 2 12" xfId="4780" xr:uid="{00000000-0005-0000-0000-0000F1160000}"/>
    <cellStyle name="Normal 5 2 12 2" xfId="14106" xr:uid="{59BF4017-0CCF-47BF-BE90-5A838B51E25C}"/>
    <cellStyle name="Normal 5 2 13" xfId="8744" xr:uid="{40D5DF2B-E9DF-4D52-AAE0-3E5A94050B59}"/>
    <cellStyle name="Normal 5 2 13 2" xfId="18067" xr:uid="{110F07EE-F284-41E4-833D-C843A7A91ABD}"/>
    <cellStyle name="Normal 5 2 14" xfId="9889" xr:uid="{2F933F72-22E1-480F-BDC6-395CBDDEEBC9}"/>
    <cellStyle name="Normal 5 2 2" xfId="408" xr:uid="{00000000-0005-0000-0000-0000F2160000}"/>
    <cellStyle name="Normal 5 2 2 10" xfId="2563" xr:uid="{00000000-0005-0000-0000-0000F3160000}"/>
    <cellStyle name="Normal 5 2 2 10 2" xfId="6846" xr:uid="{00000000-0005-0000-0000-0000F4160000}"/>
    <cellStyle name="Normal 5 2 2 10 2 2" xfId="16172" xr:uid="{DFC5913C-DDFF-4E5D-B608-ABE9EDD47712}"/>
    <cellStyle name="Normal 5 2 2 10 3" xfId="11955" xr:uid="{91C9AD78-AB27-4075-8148-1585815CB66E}"/>
    <cellStyle name="Normal 5 2 2 11" xfId="4781" xr:uid="{00000000-0005-0000-0000-0000F5160000}"/>
    <cellStyle name="Normal 5 2 2 11 2" xfId="14107" xr:uid="{C42D59CE-2B7E-469A-A27C-D8EB8BC218D2}"/>
    <cellStyle name="Normal 5 2 2 12" xfId="8753" xr:uid="{96D04E2F-D92F-448D-9FDA-8261D8BEE094}"/>
    <cellStyle name="Normal 5 2 2 12 2" xfId="18076" xr:uid="{D248F38D-9598-4DFA-AE40-8D1A768A9C4D}"/>
    <cellStyle name="Normal 5 2 2 13" xfId="9890" xr:uid="{F15403F5-E304-4C81-8BC1-83561FB7FE5F}"/>
    <cellStyle name="Normal 5 2 2 2" xfId="409" xr:uid="{00000000-0005-0000-0000-0000F6160000}"/>
    <cellStyle name="Normal 5 2 2 2 10" xfId="4782" xr:uid="{00000000-0005-0000-0000-0000F7160000}"/>
    <cellStyle name="Normal 5 2 2 2 10 2" xfId="14108" xr:uid="{4113F291-93D5-4116-BBD2-5DC581CB5A7A}"/>
    <cellStyle name="Normal 5 2 2 2 11" xfId="8771" xr:uid="{0E58ED1C-12F1-4692-801F-170CA6F7CBDB}"/>
    <cellStyle name="Normal 5 2 2 2 11 2" xfId="18094" xr:uid="{A66C687B-45FD-4761-906D-0DECCDCF9A51}"/>
    <cellStyle name="Normal 5 2 2 2 12" xfId="9891" xr:uid="{6B7EC97F-F659-469C-B32F-FC34550FBA76}"/>
    <cellStyle name="Normal 5 2 2 2 2" xfId="410" xr:uid="{00000000-0005-0000-0000-0000F8160000}"/>
    <cellStyle name="Normal 5 2 2 2 2 10" xfId="8829" xr:uid="{AC161972-21E9-4E03-8D2E-9F95632CB08D}"/>
    <cellStyle name="Normal 5 2 2 2 2 10 2" xfId="18152" xr:uid="{D1296EC0-86A1-45A6-B359-D97B21451387}"/>
    <cellStyle name="Normal 5 2 2 2 2 11" xfId="9892" xr:uid="{90966386-4675-4814-9DB9-8F793B23B60C}"/>
    <cellStyle name="Normal 5 2 2 2 2 2" xfId="411" xr:uid="{00000000-0005-0000-0000-0000F9160000}"/>
    <cellStyle name="Normal 5 2 2 2 2 2 10" xfId="9893" xr:uid="{26E9623F-9AA8-47CF-9A23-7DAD2B120F3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C17A2FA2-456F-4129-88A9-9136A7D8E161}"/>
    <cellStyle name="Normal 5 2 2 2 2 2 2 2 2 3" xfId="12452" xr:uid="{A4BC5702-AB8D-434B-B18E-E581FEC51B0A}"/>
    <cellStyle name="Normal 5 2 2 2 2 2 2 2 3" xfId="5198" xr:uid="{00000000-0005-0000-0000-0000FE160000}"/>
    <cellStyle name="Normal 5 2 2 2 2 2 2 2 3 2" xfId="14524" xr:uid="{6CAA38E9-383F-4D4B-8527-E8F870A3C6BE}"/>
    <cellStyle name="Normal 5 2 2 2 2 2 2 2 4" xfId="9564" xr:uid="{15884BE4-44C0-46E7-A184-FC102AAADEB4}"/>
    <cellStyle name="Normal 5 2 2 2 2 2 2 2 4 2" xfId="18877" xr:uid="{76C97664-F35E-404E-9110-392A6FFFFA54}"/>
    <cellStyle name="Normal 5 2 2 2 2 2 2 2 5" xfId="10307" xr:uid="{48643010-475C-4BC3-A039-F11BA85B7545}"/>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97F1C4C1-9A34-426D-BB83-E67446B800F5}"/>
    <cellStyle name="Normal 5 2 2 2 2 2 2 3 2 3" xfId="12865" xr:uid="{F281E529-850F-4BFC-A8EE-8ADDFF4D9228}"/>
    <cellStyle name="Normal 5 2 2 2 2 2 2 3 3" xfId="5611" xr:uid="{00000000-0005-0000-0000-000002170000}"/>
    <cellStyle name="Normal 5 2 2 2 2 2 2 3 3 2" xfId="14937" xr:uid="{241555B3-54CA-4E2C-BF61-8C3C3AF86B33}"/>
    <cellStyle name="Normal 5 2 2 2 2 2 2 3 4" xfId="10720" xr:uid="{89B2762C-F16D-4DAA-BAA2-C210AEF1FE3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86A35F8F-73EE-4113-9851-4FC2239D8DC6}"/>
    <cellStyle name="Normal 5 2 2 2 2 2 2 4 2 3" xfId="13278" xr:uid="{B5CC42D2-2FF5-4AAF-9184-1950DD77BA5A}"/>
    <cellStyle name="Normal 5 2 2 2 2 2 2 4 3" xfId="6024" xr:uid="{00000000-0005-0000-0000-000006170000}"/>
    <cellStyle name="Normal 5 2 2 2 2 2 2 4 3 2" xfId="15350" xr:uid="{9908E65E-CF23-4455-9589-F1B5F2B3560C}"/>
    <cellStyle name="Normal 5 2 2 2 2 2 2 4 4" xfId="11133" xr:uid="{55139BC0-0AA1-475E-ACD9-E08DCEC65237}"/>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4D95FDA8-D295-43C2-A424-5E60AE293146}"/>
    <cellStyle name="Normal 5 2 2 2 2 2 2 5 2 3" xfId="13691" xr:uid="{DC7BF00E-F354-4ECE-8758-09D5E74E92AA}"/>
    <cellStyle name="Normal 5 2 2 2 2 2 2 5 3" xfId="6437" xr:uid="{00000000-0005-0000-0000-00000A170000}"/>
    <cellStyle name="Normal 5 2 2 2 2 2 2 5 3 2" xfId="15763" xr:uid="{24CBA97D-93CA-4324-B6F6-91C2CB25FED9}"/>
    <cellStyle name="Normal 5 2 2 2 2 2 2 5 4" xfId="11546" xr:uid="{599A5CA0-2DC0-4BB9-B329-4F0E364208C3}"/>
    <cellStyle name="Normal 5 2 2 2 2 2 2 6" xfId="2567" xr:uid="{00000000-0005-0000-0000-00000B170000}"/>
    <cellStyle name="Normal 5 2 2 2 2 2 2 6 2" xfId="6850" xr:uid="{00000000-0005-0000-0000-00000C170000}"/>
    <cellStyle name="Normal 5 2 2 2 2 2 2 6 2 2" xfId="16176" xr:uid="{2975DF8E-85D1-4E04-8654-3595ECBED25E}"/>
    <cellStyle name="Normal 5 2 2 2 2 2 2 6 3" xfId="11959" xr:uid="{B657A870-0D85-4EAD-8F52-7C01D27C7164}"/>
    <cellStyle name="Normal 5 2 2 2 2 2 2 7" xfId="4785" xr:uid="{00000000-0005-0000-0000-00000D170000}"/>
    <cellStyle name="Normal 5 2 2 2 2 2 2 7 2" xfId="14111" xr:uid="{177F6039-83D9-42F8-BDD9-C2BD4ABB039A}"/>
    <cellStyle name="Normal 5 2 2 2 2 2 2 8" xfId="9139" xr:uid="{CFCC7179-F81D-4929-81F2-C6E64655A093}"/>
    <cellStyle name="Normal 5 2 2 2 2 2 2 8 2" xfId="18462" xr:uid="{FFBF1F20-E087-4868-AFDD-503AEB919F59}"/>
    <cellStyle name="Normal 5 2 2 2 2 2 2 9" xfId="9894" xr:uid="{FBC3EE8A-E116-4CA8-BFE8-94971D216E9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4FB5C183-4184-4B3E-BBF4-CFAF94B3D0BD}"/>
    <cellStyle name="Normal 5 2 2 2 2 2 3 2 3" xfId="12451" xr:uid="{B1EE87AF-1CAB-4AE8-940E-B974D743AFFC}"/>
    <cellStyle name="Normal 5 2 2 2 2 2 3 3" xfId="5197" xr:uid="{00000000-0005-0000-0000-000011170000}"/>
    <cellStyle name="Normal 5 2 2 2 2 2 3 3 2" xfId="14523" xr:uid="{2617F619-8ABF-40F1-B20A-82E21276DBA6}"/>
    <cellStyle name="Normal 5 2 2 2 2 2 3 4" xfId="9357" xr:uid="{1809EB60-9E69-4954-99A5-643CD830C5FB}"/>
    <cellStyle name="Normal 5 2 2 2 2 2 3 4 2" xfId="18670" xr:uid="{7E0DD756-47F2-4CA5-8A51-6B92698C3AB8}"/>
    <cellStyle name="Normal 5 2 2 2 2 2 3 5" xfId="10306" xr:uid="{ECD9044F-DDF5-4869-867B-CFECC42CA45C}"/>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764B8222-8D55-4F60-A23B-263D02950560}"/>
    <cellStyle name="Normal 5 2 2 2 2 2 4 2 3" xfId="12864" xr:uid="{FD75FF74-CC03-4176-92FC-C00C66C77201}"/>
    <cellStyle name="Normal 5 2 2 2 2 2 4 3" xfId="5610" xr:uid="{00000000-0005-0000-0000-000015170000}"/>
    <cellStyle name="Normal 5 2 2 2 2 2 4 3 2" xfId="14936" xr:uid="{09D85202-4A98-4735-9A41-46E9767316C8}"/>
    <cellStyle name="Normal 5 2 2 2 2 2 4 4" xfId="10719" xr:uid="{2E77A33B-F717-4C65-A1B5-67F59B7C3ABE}"/>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7707CF77-0D81-4F49-B250-0F5BC1CAF1F2}"/>
    <cellStyle name="Normal 5 2 2 2 2 2 5 2 3" xfId="13277" xr:uid="{E7AA49B1-4D44-4036-BDE1-CE0341550000}"/>
    <cellStyle name="Normal 5 2 2 2 2 2 5 3" xfId="6023" xr:uid="{00000000-0005-0000-0000-000019170000}"/>
    <cellStyle name="Normal 5 2 2 2 2 2 5 3 2" xfId="15349" xr:uid="{CAB5E724-1650-456D-9ABE-E8186143B482}"/>
    <cellStyle name="Normal 5 2 2 2 2 2 5 4" xfId="11132" xr:uid="{96B2A628-E49D-417E-8C33-8D3EB48D9F56}"/>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94D139F4-D345-4E62-B4C8-53F1487199A8}"/>
    <cellStyle name="Normal 5 2 2 2 2 2 6 2 3" xfId="13690" xr:uid="{5875552E-28A4-4328-96BF-5D3358FC797B}"/>
    <cellStyle name="Normal 5 2 2 2 2 2 6 3" xfId="6436" xr:uid="{00000000-0005-0000-0000-00001D170000}"/>
    <cellStyle name="Normal 5 2 2 2 2 2 6 3 2" xfId="15762" xr:uid="{4E53256A-D99B-4A8A-B238-DFCD1B363284}"/>
    <cellStyle name="Normal 5 2 2 2 2 2 6 4" xfId="11545" xr:uid="{8D927222-59A6-4D8C-96E2-6901A53A4425}"/>
    <cellStyle name="Normal 5 2 2 2 2 2 7" xfId="2566" xr:uid="{00000000-0005-0000-0000-00001E170000}"/>
    <cellStyle name="Normal 5 2 2 2 2 2 7 2" xfId="6849" xr:uid="{00000000-0005-0000-0000-00001F170000}"/>
    <cellStyle name="Normal 5 2 2 2 2 2 7 2 2" xfId="16175" xr:uid="{D63CB643-4101-40E4-A428-077D5C76DAC3}"/>
    <cellStyle name="Normal 5 2 2 2 2 2 7 3" xfId="11958" xr:uid="{4CFAC41E-1974-4835-9664-A6C5413FA4B7}"/>
    <cellStyle name="Normal 5 2 2 2 2 2 8" xfId="4784" xr:uid="{00000000-0005-0000-0000-000020170000}"/>
    <cellStyle name="Normal 5 2 2 2 2 2 8 2" xfId="14110" xr:uid="{35BA134F-C60F-4262-B644-A22C5F4A1506}"/>
    <cellStyle name="Normal 5 2 2 2 2 2 9" xfId="8932" xr:uid="{8A89D9DD-5FCE-4028-8D52-F4758EFA866E}"/>
    <cellStyle name="Normal 5 2 2 2 2 2 9 2" xfId="18255" xr:uid="{C1A64599-CD5F-4478-85A5-CEBD457885C6}"/>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676D3BB9-C1A7-4DFF-BBF2-E23E691358C5}"/>
    <cellStyle name="Normal 5 2 2 2 2 3 2 2 3" xfId="12453" xr:uid="{F7E226E3-FF85-468F-9014-FF5FEB2F7DAB}"/>
    <cellStyle name="Normal 5 2 2 2 2 3 2 3" xfId="5199" xr:uid="{00000000-0005-0000-0000-000025170000}"/>
    <cellStyle name="Normal 5 2 2 2 2 3 2 3 2" xfId="14525" xr:uid="{AB27CFC7-8A88-46DF-ADBD-6CFB92B40C11}"/>
    <cellStyle name="Normal 5 2 2 2 2 3 2 4" xfId="9461" xr:uid="{815E4D9A-ED64-4B6C-A17A-F6D83CC40A47}"/>
    <cellStyle name="Normal 5 2 2 2 2 3 2 4 2" xfId="18774" xr:uid="{E288B00D-B03F-4C2D-8728-ACC0FB92FF92}"/>
    <cellStyle name="Normal 5 2 2 2 2 3 2 5" xfId="10308" xr:uid="{BD2C76E5-DC61-44C3-998E-594D50A467A5}"/>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A79CBFFA-0DBC-4DE8-80BC-E321B4C2721C}"/>
    <cellStyle name="Normal 5 2 2 2 2 3 3 2 3" xfId="12866" xr:uid="{C690CE20-ED22-45D4-8CA2-E8D7D8C210C6}"/>
    <cellStyle name="Normal 5 2 2 2 2 3 3 3" xfId="5612" xr:uid="{00000000-0005-0000-0000-000029170000}"/>
    <cellStyle name="Normal 5 2 2 2 2 3 3 3 2" xfId="14938" xr:uid="{9E4B22AF-66A8-4FF7-BCAA-B178F525A6A2}"/>
    <cellStyle name="Normal 5 2 2 2 2 3 3 4" xfId="10721" xr:uid="{659CBFF4-4CEB-4C7E-8D74-2EE6FB801A27}"/>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ED1D62A5-20B3-49EC-A727-63347DF61BEA}"/>
    <cellStyle name="Normal 5 2 2 2 2 3 4 2 3" xfId="13279" xr:uid="{F3734FB6-67C0-49DD-AE0C-2C444370693A}"/>
    <cellStyle name="Normal 5 2 2 2 2 3 4 3" xfId="6025" xr:uid="{00000000-0005-0000-0000-00002D170000}"/>
    <cellStyle name="Normal 5 2 2 2 2 3 4 3 2" xfId="15351" xr:uid="{C70FECD7-9053-4BB5-8215-14AF81D32A5C}"/>
    <cellStyle name="Normal 5 2 2 2 2 3 4 4" xfId="11134" xr:uid="{77BB41A4-CFC5-4F9F-A4E5-99A17AF7FF4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7FC462FD-88F5-448B-B7C2-5D1FF7A48C04}"/>
    <cellStyle name="Normal 5 2 2 2 2 3 5 2 3" xfId="13692" xr:uid="{F7AD66ED-E6F7-4DC4-8D07-65A1EB86300A}"/>
    <cellStyle name="Normal 5 2 2 2 2 3 5 3" xfId="6438" xr:uid="{00000000-0005-0000-0000-000031170000}"/>
    <cellStyle name="Normal 5 2 2 2 2 3 5 3 2" xfId="15764" xr:uid="{2BBED558-8F52-4FCC-8BA4-8FE6CA1704E4}"/>
    <cellStyle name="Normal 5 2 2 2 2 3 5 4" xfId="11547" xr:uid="{0949082E-CE06-404A-80A4-5ECCCBE8E727}"/>
    <cellStyle name="Normal 5 2 2 2 2 3 6" xfId="2568" xr:uid="{00000000-0005-0000-0000-000032170000}"/>
    <cellStyle name="Normal 5 2 2 2 2 3 6 2" xfId="6851" xr:uid="{00000000-0005-0000-0000-000033170000}"/>
    <cellStyle name="Normal 5 2 2 2 2 3 6 2 2" xfId="16177" xr:uid="{27DD5CC0-5650-4A54-8F39-A177F2D1888D}"/>
    <cellStyle name="Normal 5 2 2 2 2 3 6 3" xfId="11960" xr:uid="{2964A07D-4465-495E-8420-77967CD24A89}"/>
    <cellStyle name="Normal 5 2 2 2 2 3 7" xfId="4786" xr:uid="{00000000-0005-0000-0000-000034170000}"/>
    <cellStyle name="Normal 5 2 2 2 2 3 7 2" xfId="14112" xr:uid="{8D45780A-2F54-48D9-BB8F-44776326B5BF}"/>
    <cellStyle name="Normal 5 2 2 2 2 3 8" xfId="9036" xr:uid="{2B9BC3AC-900A-42EE-A23F-E5574B6E75BC}"/>
    <cellStyle name="Normal 5 2 2 2 2 3 8 2" xfId="18359" xr:uid="{F6A36022-525A-4B45-B646-876568C5E71F}"/>
    <cellStyle name="Normal 5 2 2 2 2 3 9" xfId="9895" xr:uid="{C7F3F9F9-9787-44BD-A770-A2E836A9B72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AAFC3F73-37BD-4B48-A99F-A8E5F967FB9E}"/>
    <cellStyle name="Normal 5 2 2 2 2 4 2 3" xfId="12450" xr:uid="{058A3041-7BF7-4EE9-86F0-C611814FD2CA}"/>
    <cellStyle name="Normal 5 2 2 2 2 4 3" xfId="5196" xr:uid="{00000000-0005-0000-0000-000038170000}"/>
    <cellStyle name="Normal 5 2 2 2 2 4 3 2" xfId="14522" xr:uid="{D883A7BE-D6D5-45D1-9C9C-D272AE462D7D}"/>
    <cellStyle name="Normal 5 2 2 2 2 4 4" xfId="9254" xr:uid="{B0B4DA0D-4C0F-4712-8BF0-280C2A85D575}"/>
    <cellStyle name="Normal 5 2 2 2 2 4 4 2" xfId="18567" xr:uid="{B86A63B5-3CFA-4171-B882-817D319F60E3}"/>
    <cellStyle name="Normal 5 2 2 2 2 4 5" xfId="10305" xr:uid="{91B51A5B-150B-439E-815E-563B2590681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CFEE49D2-FD2F-4ACF-99A1-E7ED3B640227}"/>
    <cellStyle name="Normal 5 2 2 2 2 5 2 3" xfId="12863" xr:uid="{2CA9DC66-E8FB-4138-9B19-19F7AA53F403}"/>
    <cellStyle name="Normal 5 2 2 2 2 5 3" xfId="5609" xr:uid="{00000000-0005-0000-0000-00003C170000}"/>
    <cellStyle name="Normal 5 2 2 2 2 5 3 2" xfId="14935" xr:uid="{F3D451BE-AEE7-48EB-917A-5D8A5A33AACA}"/>
    <cellStyle name="Normal 5 2 2 2 2 5 4" xfId="10718" xr:uid="{EC2B92E8-1D13-4981-B349-8E33BCAC6FB2}"/>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F63A6F5F-84F7-4B2A-8756-EAFFDC4F6DAE}"/>
    <cellStyle name="Normal 5 2 2 2 2 6 2 3" xfId="13276" xr:uid="{F67FD1A2-4569-4CA0-8C09-70EAD78C2A98}"/>
    <cellStyle name="Normal 5 2 2 2 2 6 3" xfId="6022" xr:uid="{00000000-0005-0000-0000-000040170000}"/>
    <cellStyle name="Normal 5 2 2 2 2 6 3 2" xfId="15348" xr:uid="{AC78C237-4920-4CC6-8666-28C8D990563A}"/>
    <cellStyle name="Normal 5 2 2 2 2 6 4" xfId="11131" xr:uid="{E384B661-E321-434B-B218-ADC293544BA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8DA01FE4-4820-4AF5-AD95-F2227E0BFD80}"/>
    <cellStyle name="Normal 5 2 2 2 2 7 2 3" xfId="13689" xr:uid="{462D4668-FF23-45E5-BD87-37E0868A1E13}"/>
    <cellStyle name="Normal 5 2 2 2 2 7 3" xfId="6435" xr:uid="{00000000-0005-0000-0000-000044170000}"/>
    <cellStyle name="Normal 5 2 2 2 2 7 3 2" xfId="15761" xr:uid="{83034CD2-882C-4299-BF14-EB7F768B90F4}"/>
    <cellStyle name="Normal 5 2 2 2 2 7 4" xfId="11544" xr:uid="{DAA387CB-434C-4B44-991D-5643D1ECEDBF}"/>
    <cellStyle name="Normal 5 2 2 2 2 8" xfId="2565" xr:uid="{00000000-0005-0000-0000-000045170000}"/>
    <cellStyle name="Normal 5 2 2 2 2 8 2" xfId="6848" xr:uid="{00000000-0005-0000-0000-000046170000}"/>
    <cellStyle name="Normal 5 2 2 2 2 8 2 2" xfId="16174" xr:uid="{B4C6B336-4ECC-45C1-A333-ED74605600EC}"/>
    <cellStyle name="Normal 5 2 2 2 2 8 3" xfId="11957" xr:uid="{8CEF942F-D2D9-46DE-84D7-BA8518A1EDDA}"/>
    <cellStyle name="Normal 5 2 2 2 2 9" xfId="4783" xr:uid="{00000000-0005-0000-0000-000047170000}"/>
    <cellStyle name="Normal 5 2 2 2 2 9 2" xfId="14109" xr:uid="{03B5EDC9-22A1-4C5F-BD6E-0D160B1F93AC}"/>
    <cellStyle name="Normal 5 2 2 2 3" xfId="414" xr:uid="{00000000-0005-0000-0000-000048170000}"/>
    <cellStyle name="Normal 5 2 2 2 3 10" xfId="9896" xr:uid="{0EBF36BE-BCAC-469D-B9AB-40B70630278A}"/>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ED603260-7DA4-43F4-AA26-8970A2AE36F1}"/>
    <cellStyle name="Normal 5 2 2 2 3 2 2 2 3" xfId="12455" xr:uid="{B80921A4-0C99-4775-8C1A-1743E1768FCD}"/>
    <cellStyle name="Normal 5 2 2 2 3 2 2 3" xfId="5201" xr:uid="{00000000-0005-0000-0000-00004D170000}"/>
    <cellStyle name="Normal 5 2 2 2 3 2 2 3 2" xfId="14527" xr:uid="{0D0B1D6C-198C-4CE5-B079-127809449393}"/>
    <cellStyle name="Normal 5 2 2 2 3 2 2 4" xfId="9506" xr:uid="{65E8E1F9-5B62-47C9-8131-412DF42F5268}"/>
    <cellStyle name="Normal 5 2 2 2 3 2 2 4 2" xfId="18819" xr:uid="{435693EE-D0FA-4DD2-8E7F-108E46872438}"/>
    <cellStyle name="Normal 5 2 2 2 3 2 2 5" xfId="10310" xr:uid="{1834548A-EDBE-43C2-A757-891C14F244E1}"/>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0575E40D-247C-4250-A94B-141F9C38F81B}"/>
    <cellStyle name="Normal 5 2 2 2 3 2 3 2 3" xfId="12868" xr:uid="{B81FC921-CC7F-419D-8728-9ED7A47819C9}"/>
    <cellStyle name="Normal 5 2 2 2 3 2 3 3" xfId="5614" xr:uid="{00000000-0005-0000-0000-000051170000}"/>
    <cellStyle name="Normal 5 2 2 2 3 2 3 3 2" xfId="14940" xr:uid="{60D2D2C5-31B7-4C6E-8DA1-71CE1F1395DF}"/>
    <cellStyle name="Normal 5 2 2 2 3 2 3 4" xfId="10723" xr:uid="{F005150F-C131-46C9-B83D-35FCD218F847}"/>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9608457A-8060-4B0E-B5FE-9363B652B2D7}"/>
    <cellStyle name="Normal 5 2 2 2 3 2 4 2 3" xfId="13281" xr:uid="{CB62578A-F795-49FD-A219-7CB598FB2D01}"/>
    <cellStyle name="Normal 5 2 2 2 3 2 4 3" xfId="6027" xr:uid="{00000000-0005-0000-0000-000055170000}"/>
    <cellStyle name="Normal 5 2 2 2 3 2 4 3 2" xfId="15353" xr:uid="{F20B0EBA-2B93-457F-A96C-25DF964F5208}"/>
    <cellStyle name="Normal 5 2 2 2 3 2 4 4" xfId="11136" xr:uid="{9B424B17-D7C6-4DE5-8198-49DC23D00A23}"/>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60455D26-52EC-41BF-A051-70D0DAFB1B5C}"/>
    <cellStyle name="Normal 5 2 2 2 3 2 5 2 3" xfId="13694" xr:uid="{9B0CF577-83CC-4CC4-AA70-5336BF31C052}"/>
    <cellStyle name="Normal 5 2 2 2 3 2 5 3" xfId="6440" xr:uid="{00000000-0005-0000-0000-000059170000}"/>
    <cellStyle name="Normal 5 2 2 2 3 2 5 3 2" xfId="15766" xr:uid="{4074AE0D-ECB0-4CBA-8838-B2C8A4CCCD3D}"/>
    <cellStyle name="Normal 5 2 2 2 3 2 5 4" xfId="11549" xr:uid="{D6DF3382-7FF1-4A4B-8402-A4140CC126D1}"/>
    <cellStyle name="Normal 5 2 2 2 3 2 6" xfId="2570" xr:uid="{00000000-0005-0000-0000-00005A170000}"/>
    <cellStyle name="Normal 5 2 2 2 3 2 6 2" xfId="6853" xr:uid="{00000000-0005-0000-0000-00005B170000}"/>
    <cellStyle name="Normal 5 2 2 2 3 2 6 2 2" xfId="16179" xr:uid="{64B680A6-6894-4A52-BA80-ADEE37DA2CB1}"/>
    <cellStyle name="Normal 5 2 2 2 3 2 6 3" xfId="11962" xr:uid="{8115C4DB-C123-4B79-BFF0-6297A3BC811C}"/>
    <cellStyle name="Normal 5 2 2 2 3 2 7" xfId="4788" xr:uid="{00000000-0005-0000-0000-00005C170000}"/>
    <cellStyle name="Normal 5 2 2 2 3 2 7 2" xfId="14114" xr:uid="{9C9BD435-7D24-4DD1-AEB6-EC71FBA9A35B}"/>
    <cellStyle name="Normal 5 2 2 2 3 2 8" xfId="9081" xr:uid="{B0400C6D-4400-4F06-9092-2DCAD3324CF1}"/>
    <cellStyle name="Normal 5 2 2 2 3 2 8 2" xfId="18404" xr:uid="{7D9CFA71-8267-4761-9C29-6FCE5D58BB58}"/>
    <cellStyle name="Normal 5 2 2 2 3 2 9" xfId="9897" xr:uid="{A8D24888-B70E-4D86-99F2-071BE09C058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43899B5B-36C5-468A-92A6-CF978AAA7382}"/>
    <cellStyle name="Normal 5 2 2 2 3 3 2 3" xfId="12454" xr:uid="{42E766F9-1AA1-47A7-A7DC-7D988D797441}"/>
    <cellStyle name="Normal 5 2 2 2 3 3 3" xfId="5200" xr:uid="{00000000-0005-0000-0000-000060170000}"/>
    <cellStyle name="Normal 5 2 2 2 3 3 3 2" xfId="14526" xr:uid="{CE7E623D-04E3-4AA0-A4F0-352CE2CF6192}"/>
    <cellStyle name="Normal 5 2 2 2 3 3 4" xfId="9299" xr:uid="{85780536-A38F-4D86-8846-D9FA6BB2D61D}"/>
    <cellStyle name="Normal 5 2 2 2 3 3 4 2" xfId="18612" xr:uid="{AD7972B7-B96C-421E-9723-482696F8D6E2}"/>
    <cellStyle name="Normal 5 2 2 2 3 3 5" xfId="10309" xr:uid="{B99C41B8-FEE4-432F-8C7B-71E4662A8836}"/>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6FEF5436-1B65-401F-BA8E-DD67032EF378}"/>
    <cellStyle name="Normal 5 2 2 2 3 4 2 3" xfId="12867" xr:uid="{D2C75C6D-D092-4E11-B8AD-35673AEADD4E}"/>
    <cellStyle name="Normal 5 2 2 2 3 4 3" xfId="5613" xr:uid="{00000000-0005-0000-0000-000064170000}"/>
    <cellStyle name="Normal 5 2 2 2 3 4 3 2" xfId="14939" xr:uid="{9F6BFEE2-53E7-4E44-B1B6-AA90D6B2B977}"/>
    <cellStyle name="Normal 5 2 2 2 3 4 4" xfId="10722" xr:uid="{EF4C7F5F-C9DF-42C2-A0AD-7BCFC6F01EA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3D1CD6C1-A4AC-4064-8CFE-229455975FC3}"/>
    <cellStyle name="Normal 5 2 2 2 3 5 2 3" xfId="13280" xr:uid="{38626370-18D1-471B-9053-2569F8E9A1EF}"/>
    <cellStyle name="Normal 5 2 2 2 3 5 3" xfId="6026" xr:uid="{00000000-0005-0000-0000-000068170000}"/>
    <cellStyle name="Normal 5 2 2 2 3 5 3 2" xfId="15352" xr:uid="{4BB4BEF9-ED98-4CD8-A4F9-4D38A8DEF17C}"/>
    <cellStyle name="Normal 5 2 2 2 3 5 4" xfId="11135" xr:uid="{A356FDF8-A968-4A81-BD6B-483B027131F7}"/>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B5381F10-3CF7-471F-BDDC-E5D87365F108}"/>
    <cellStyle name="Normal 5 2 2 2 3 6 2 3" xfId="13693" xr:uid="{CC2312A6-9907-4F78-9D80-B765969E6BA3}"/>
    <cellStyle name="Normal 5 2 2 2 3 6 3" xfId="6439" xr:uid="{00000000-0005-0000-0000-00006C170000}"/>
    <cellStyle name="Normal 5 2 2 2 3 6 3 2" xfId="15765" xr:uid="{40F9DE2F-63CE-4801-8914-C350491DFFA7}"/>
    <cellStyle name="Normal 5 2 2 2 3 6 4" xfId="11548" xr:uid="{0BF3C17C-7FBE-4BF3-BB1F-03AE9720A11E}"/>
    <cellStyle name="Normal 5 2 2 2 3 7" xfId="2569" xr:uid="{00000000-0005-0000-0000-00006D170000}"/>
    <cellStyle name="Normal 5 2 2 2 3 7 2" xfId="6852" xr:uid="{00000000-0005-0000-0000-00006E170000}"/>
    <cellStyle name="Normal 5 2 2 2 3 7 2 2" xfId="16178" xr:uid="{A25A7BCE-6434-42A3-ABB9-2E9346B3D25C}"/>
    <cellStyle name="Normal 5 2 2 2 3 7 3" xfId="11961" xr:uid="{271E94A2-6DC4-4DBE-AA7F-5982E9F3CFB0}"/>
    <cellStyle name="Normal 5 2 2 2 3 8" xfId="4787" xr:uid="{00000000-0005-0000-0000-00006F170000}"/>
    <cellStyle name="Normal 5 2 2 2 3 8 2" xfId="14113" xr:uid="{07EFCACE-B36D-43EB-9298-80F5EE389AB4}"/>
    <cellStyle name="Normal 5 2 2 2 3 9" xfId="8874" xr:uid="{D7CEB9F3-DFA5-483F-B08A-C4A582DD7FE8}"/>
    <cellStyle name="Normal 5 2 2 2 3 9 2" xfId="18197" xr:uid="{8F1288A1-1456-4786-9E29-2B12B85D402A}"/>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A6A7A7B1-58EE-4BD7-8759-FDF4CA59921A}"/>
    <cellStyle name="Normal 5 2 2 2 4 2 2 3" xfId="12456" xr:uid="{E6178B2F-3F29-473F-BC05-FEB8CE178AED}"/>
    <cellStyle name="Normal 5 2 2 2 4 2 3" xfId="5202" xr:uid="{00000000-0005-0000-0000-000074170000}"/>
    <cellStyle name="Normal 5 2 2 2 4 2 3 2" xfId="14528" xr:uid="{2E8D213F-618F-4960-B76E-B7C825138B36}"/>
    <cellStyle name="Normal 5 2 2 2 4 2 4" xfId="9403" xr:uid="{DDA7C497-662A-4A76-A324-A27E6A0A2B3D}"/>
    <cellStyle name="Normal 5 2 2 2 4 2 4 2" xfId="18716" xr:uid="{B820CB1B-C62D-4C1E-B6E6-416DBFBCAB16}"/>
    <cellStyle name="Normal 5 2 2 2 4 2 5" xfId="10311" xr:uid="{82441364-6E7D-4F5B-A3F4-92D31824A44E}"/>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EDB3677E-7623-4105-8EB5-A4534CF26635}"/>
    <cellStyle name="Normal 5 2 2 2 4 3 2 3" xfId="12869" xr:uid="{ADD8A16A-8FFE-4161-8AE5-7160724A48F4}"/>
    <cellStyle name="Normal 5 2 2 2 4 3 3" xfId="5615" xr:uid="{00000000-0005-0000-0000-000078170000}"/>
    <cellStyle name="Normal 5 2 2 2 4 3 3 2" xfId="14941" xr:uid="{C77C099B-DFC2-4799-8DBB-DCA6D3961B37}"/>
    <cellStyle name="Normal 5 2 2 2 4 3 4" xfId="10724" xr:uid="{24037FA6-AA9C-4A93-9E41-45D0A094A5F6}"/>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1290B75B-9F99-4A7F-8084-B5C13A0573D0}"/>
    <cellStyle name="Normal 5 2 2 2 4 4 2 3" xfId="13282" xr:uid="{4542ABBF-17CA-4029-B548-62324A5C2D9F}"/>
    <cellStyle name="Normal 5 2 2 2 4 4 3" xfId="6028" xr:uid="{00000000-0005-0000-0000-00007C170000}"/>
    <cellStyle name="Normal 5 2 2 2 4 4 3 2" xfId="15354" xr:uid="{1DA1B0A8-66B5-4355-B68B-853D08CDECF9}"/>
    <cellStyle name="Normal 5 2 2 2 4 4 4" xfId="11137" xr:uid="{64310576-7EFF-466F-9036-43199512A2BD}"/>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B07ABAB8-EFF1-4FF0-A0B5-3DAC63F51C14}"/>
    <cellStyle name="Normal 5 2 2 2 4 5 2 3" xfId="13695" xr:uid="{10E28AE4-F342-481E-815E-7E67D26BC355}"/>
    <cellStyle name="Normal 5 2 2 2 4 5 3" xfId="6441" xr:uid="{00000000-0005-0000-0000-000080170000}"/>
    <cellStyle name="Normal 5 2 2 2 4 5 3 2" xfId="15767" xr:uid="{790D5D4C-08EC-4206-A57C-67461A7F8BD0}"/>
    <cellStyle name="Normal 5 2 2 2 4 5 4" xfId="11550" xr:uid="{37A08961-F109-415D-BC77-B38AA9EC5396}"/>
    <cellStyle name="Normal 5 2 2 2 4 6" xfId="2571" xr:uid="{00000000-0005-0000-0000-000081170000}"/>
    <cellStyle name="Normal 5 2 2 2 4 6 2" xfId="6854" xr:uid="{00000000-0005-0000-0000-000082170000}"/>
    <cellStyle name="Normal 5 2 2 2 4 6 2 2" xfId="16180" xr:uid="{98131873-8BB4-4271-A0CD-049494C4E9EC}"/>
    <cellStyle name="Normal 5 2 2 2 4 6 3" xfId="11963" xr:uid="{8FB84D99-F454-47BA-A054-EA28E6C9EEA5}"/>
    <cellStyle name="Normal 5 2 2 2 4 7" xfId="4789" xr:uid="{00000000-0005-0000-0000-000083170000}"/>
    <cellStyle name="Normal 5 2 2 2 4 7 2" xfId="14115" xr:uid="{2B450D2D-0C0A-475C-87DC-0CF49149FD7D}"/>
    <cellStyle name="Normal 5 2 2 2 4 8" xfId="8978" xr:uid="{5B5F86B4-BA0F-43A7-920A-E466FD014739}"/>
    <cellStyle name="Normal 5 2 2 2 4 8 2" xfId="18301" xr:uid="{89B6410C-0B7D-4673-A970-FF9579E2B0D7}"/>
    <cellStyle name="Normal 5 2 2 2 4 9" xfId="9898" xr:uid="{8F02C2D5-8A4D-4027-9DB0-0846FA4F2809}"/>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BFEF9574-B899-4802-AF7E-950467EA1DD0}"/>
    <cellStyle name="Normal 5 2 2 2 5 2 3" xfId="12449" xr:uid="{7DA69F08-1B01-43D9-9B80-DA121D4C0097}"/>
    <cellStyle name="Normal 5 2 2 2 5 3" xfId="5195" xr:uid="{00000000-0005-0000-0000-000087170000}"/>
    <cellStyle name="Normal 5 2 2 2 5 3 2" xfId="14521" xr:uid="{31C1520E-2ACC-42C8-9372-764357B995E4}"/>
    <cellStyle name="Normal 5 2 2 2 5 4" xfId="9195" xr:uid="{A7E71EA0-2CA4-4918-870E-A32EEF45C61A}"/>
    <cellStyle name="Normal 5 2 2 2 5 4 2" xfId="18509" xr:uid="{4F299534-ABF7-44DE-8CF3-AD9E32375CDE}"/>
    <cellStyle name="Normal 5 2 2 2 5 5" xfId="10304" xr:uid="{6945F024-2C60-49F4-83B1-6AD0E90BCFC4}"/>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940F1E5D-5C68-4C62-8849-28A96BB41C5F}"/>
    <cellStyle name="Normal 5 2 2 2 6 2 3" xfId="12862" xr:uid="{56029B59-A0FA-4A8B-8748-244C35943237}"/>
    <cellStyle name="Normal 5 2 2 2 6 3" xfId="5608" xr:uid="{00000000-0005-0000-0000-00008B170000}"/>
    <cellStyle name="Normal 5 2 2 2 6 3 2" xfId="14934" xr:uid="{6CB58BC4-3042-497D-89E8-988261DDAC69}"/>
    <cellStyle name="Normal 5 2 2 2 6 4" xfId="10717" xr:uid="{CF27FC41-B26B-4483-A5EE-9F681316EE27}"/>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14E79BC5-0357-4720-9E4D-82D76DFD3B28}"/>
    <cellStyle name="Normal 5 2 2 2 7 2 3" xfId="13275" xr:uid="{7FD9552B-28CC-4BAC-9F7D-49F22591C5BB}"/>
    <cellStyle name="Normal 5 2 2 2 7 3" xfId="6021" xr:uid="{00000000-0005-0000-0000-00008F170000}"/>
    <cellStyle name="Normal 5 2 2 2 7 3 2" xfId="15347" xr:uid="{907CC527-D488-4D4C-9143-7F4E34B2954B}"/>
    <cellStyle name="Normal 5 2 2 2 7 4" xfId="11130" xr:uid="{A1D2BC9F-E688-415E-8206-036455F79B2B}"/>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AEEB89FB-53AA-4F6B-8C24-982A4ADCE2EE}"/>
    <cellStyle name="Normal 5 2 2 2 8 2 3" xfId="13688" xr:uid="{C349A9B4-9AB9-4E50-8BD9-4D64D61F9F77}"/>
    <cellStyle name="Normal 5 2 2 2 8 3" xfId="6434" xr:uid="{00000000-0005-0000-0000-000093170000}"/>
    <cellStyle name="Normal 5 2 2 2 8 3 2" xfId="15760" xr:uid="{5B5915E8-F28A-4018-8DC0-72A874EF6B3D}"/>
    <cellStyle name="Normal 5 2 2 2 8 4" xfId="11543" xr:uid="{277C323B-BEE8-43A3-9981-EDB4D27D5C45}"/>
    <cellStyle name="Normal 5 2 2 2 9" xfId="2564" xr:uid="{00000000-0005-0000-0000-000094170000}"/>
    <cellStyle name="Normal 5 2 2 2 9 2" xfId="6847" xr:uid="{00000000-0005-0000-0000-000095170000}"/>
    <cellStyle name="Normal 5 2 2 2 9 2 2" xfId="16173" xr:uid="{99C4F3FB-3E8C-415A-9843-3694EC5B3C86}"/>
    <cellStyle name="Normal 5 2 2 2 9 3" xfId="11956" xr:uid="{735D00B3-406E-43CB-996F-93A7FE44C289}"/>
    <cellStyle name="Normal 5 2 2 3" xfId="417" xr:uid="{00000000-0005-0000-0000-000096170000}"/>
    <cellStyle name="Normal 5 2 2 3 10" xfId="8828" xr:uid="{5CED8211-F967-469B-812B-9DF6FC250177}"/>
    <cellStyle name="Normal 5 2 2 3 10 2" xfId="18151" xr:uid="{25AB5CA2-F9D9-480B-92F8-A363BBB7080F}"/>
    <cellStyle name="Normal 5 2 2 3 11" xfId="9899" xr:uid="{0CA009F8-A8D8-4056-87A9-88E3EDE5D65B}"/>
    <cellStyle name="Normal 5 2 2 3 2" xfId="418" xr:uid="{00000000-0005-0000-0000-000097170000}"/>
    <cellStyle name="Normal 5 2 2 3 2 10" xfId="9900" xr:uid="{902BCB1E-A08F-4FF3-8DFB-203FF4431D04}"/>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70E7B2EC-54F5-49DE-BADB-53168B48F2DD}"/>
    <cellStyle name="Normal 5 2 2 3 2 2 2 2 3" xfId="12459" xr:uid="{86D0ADAE-4A06-4EBB-AF64-A1EDA3143257}"/>
    <cellStyle name="Normal 5 2 2 3 2 2 2 3" xfId="5205" xr:uid="{00000000-0005-0000-0000-00009C170000}"/>
    <cellStyle name="Normal 5 2 2 3 2 2 2 3 2" xfId="14531" xr:uid="{4535B39D-EB13-43A6-8402-9C5CED44AD58}"/>
    <cellStyle name="Normal 5 2 2 3 2 2 2 4" xfId="9563" xr:uid="{804E641C-B5FA-46A3-B805-C1D4AF390C28}"/>
    <cellStyle name="Normal 5 2 2 3 2 2 2 4 2" xfId="18876" xr:uid="{8F40DD1F-FE6F-47C9-A947-C77D8C1F8103}"/>
    <cellStyle name="Normal 5 2 2 3 2 2 2 5" xfId="10314" xr:uid="{C738E105-A4AB-4928-A4F3-12065334B343}"/>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B4C6ACBF-E678-438C-BE85-F706F11EF3E9}"/>
    <cellStyle name="Normal 5 2 2 3 2 2 3 2 3" xfId="12872" xr:uid="{5073A932-C63F-4276-B824-D070C7C4E1D2}"/>
    <cellStyle name="Normal 5 2 2 3 2 2 3 3" xfId="5618" xr:uid="{00000000-0005-0000-0000-0000A0170000}"/>
    <cellStyle name="Normal 5 2 2 3 2 2 3 3 2" xfId="14944" xr:uid="{918295CE-5B8F-4937-82E1-4CA44D1A90F9}"/>
    <cellStyle name="Normal 5 2 2 3 2 2 3 4" xfId="10727" xr:uid="{EA3308A8-0DB1-4C3B-AB32-F59E1E78A31A}"/>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8A2C3090-A669-4415-8A26-86615CA1FA61}"/>
    <cellStyle name="Normal 5 2 2 3 2 2 4 2 3" xfId="13285" xr:uid="{11543B2C-F4E1-4775-9C39-F240A1EF1689}"/>
    <cellStyle name="Normal 5 2 2 3 2 2 4 3" xfId="6031" xr:uid="{00000000-0005-0000-0000-0000A4170000}"/>
    <cellStyle name="Normal 5 2 2 3 2 2 4 3 2" xfId="15357" xr:uid="{E01661E4-3F19-4152-BDAF-56423AD46667}"/>
    <cellStyle name="Normal 5 2 2 3 2 2 4 4" xfId="11140" xr:uid="{D74734EB-3569-4BA8-A113-514DE0DE11C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08A0E4A0-1742-4291-AB38-B8DD2400E050}"/>
    <cellStyle name="Normal 5 2 2 3 2 2 5 2 3" xfId="13698" xr:uid="{02B96267-97E7-4011-8751-F0D180B3520B}"/>
    <cellStyle name="Normal 5 2 2 3 2 2 5 3" xfId="6444" xr:uid="{00000000-0005-0000-0000-0000A8170000}"/>
    <cellStyle name="Normal 5 2 2 3 2 2 5 3 2" xfId="15770" xr:uid="{75EBC734-33EB-479C-B512-D2E5AEE6903A}"/>
    <cellStyle name="Normal 5 2 2 3 2 2 5 4" xfId="11553" xr:uid="{C203E4FA-09E6-4C96-A9A2-E2780405D1BC}"/>
    <cellStyle name="Normal 5 2 2 3 2 2 6" xfId="2574" xr:uid="{00000000-0005-0000-0000-0000A9170000}"/>
    <cellStyle name="Normal 5 2 2 3 2 2 6 2" xfId="6857" xr:uid="{00000000-0005-0000-0000-0000AA170000}"/>
    <cellStyle name="Normal 5 2 2 3 2 2 6 2 2" xfId="16183" xr:uid="{5A5A3613-70F3-49C5-84C7-9FB01FA699F8}"/>
    <cellStyle name="Normal 5 2 2 3 2 2 6 3" xfId="11966" xr:uid="{573B79E8-565A-4BA9-8E83-972C90E12F28}"/>
    <cellStyle name="Normal 5 2 2 3 2 2 7" xfId="4792" xr:uid="{00000000-0005-0000-0000-0000AB170000}"/>
    <cellStyle name="Normal 5 2 2 3 2 2 7 2" xfId="14118" xr:uid="{36E7CD0E-FC86-440A-82D3-AD9412C3B7DE}"/>
    <cellStyle name="Normal 5 2 2 3 2 2 8" xfId="9138" xr:uid="{BE73D583-3CAB-48A9-8A6F-E88EE69D1D1D}"/>
    <cellStyle name="Normal 5 2 2 3 2 2 8 2" xfId="18461" xr:uid="{894833AE-6D44-413C-80E4-EE8196D1551B}"/>
    <cellStyle name="Normal 5 2 2 3 2 2 9" xfId="9901" xr:uid="{411B1B12-ACC9-442D-8A6B-BB3A3F41BBA8}"/>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921C7855-6A2F-43BB-949D-B2D27C312FCC}"/>
    <cellStyle name="Normal 5 2 2 3 2 3 2 3" xfId="12458" xr:uid="{A9175020-FF33-4705-B74C-5213BB971E0F}"/>
    <cellStyle name="Normal 5 2 2 3 2 3 3" xfId="5204" xr:uid="{00000000-0005-0000-0000-0000AF170000}"/>
    <cellStyle name="Normal 5 2 2 3 2 3 3 2" xfId="14530" xr:uid="{BA19A7DF-1055-4A6D-96FA-C5305764528D}"/>
    <cellStyle name="Normal 5 2 2 3 2 3 4" xfId="9356" xr:uid="{58BAA3B3-A7A2-4F6F-9929-D8BE9F0A557D}"/>
    <cellStyle name="Normal 5 2 2 3 2 3 4 2" xfId="18669" xr:uid="{076499C2-5D1A-419C-A03E-D9FAE3886623}"/>
    <cellStyle name="Normal 5 2 2 3 2 3 5" xfId="10313" xr:uid="{2F9BBC82-3A28-4423-B034-4232E6551183}"/>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4C2889FA-DF8F-408D-9E2F-DBBE38B3A9EF}"/>
    <cellStyle name="Normal 5 2 2 3 2 4 2 3" xfId="12871" xr:uid="{53641C7F-4F05-4F06-8B9C-A8546DD32867}"/>
    <cellStyle name="Normal 5 2 2 3 2 4 3" xfId="5617" xr:uid="{00000000-0005-0000-0000-0000B3170000}"/>
    <cellStyle name="Normal 5 2 2 3 2 4 3 2" xfId="14943" xr:uid="{34224DDE-D622-4A6B-87F2-AD5E1EDC34CA}"/>
    <cellStyle name="Normal 5 2 2 3 2 4 4" xfId="10726" xr:uid="{1E27ACF5-DF88-4D20-B78D-C0EBB34FF956}"/>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39159EDA-0393-4770-B558-E5AA5B60C93C}"/>
    <cellStyle name="Normal 5 2 2 3 2 5 2 3" xfId="13284" xr:uid="{B6A1ED9B-8680-498B-88D4-B8611130AC13}"/>
    <cellStyle name="Normal 5 2 2 3 2 5 3" xfId="6030" xr:uid="{00000000-0005-0000-0000-0000B7170000}"/>
    <cellStyle name="Normal 5 2 2 3 2 5 3 2" xfId="15356" xr:uid="{12EAEF28-7238-441B-AF71-4870229182BC}"/>
    <cellStyle name="Normal 5 2 2 3 2 5 4" xfId="11139" xr:uid="{294280B8-4F9A-4EC9-B7A1-EA1B0752F646}"/>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DCADEE67-7FDA-4380-8F0C-A482EE2BC327}"/>
    <cellStyle name="Normal 5 2 2 3 2 6 2 3" xfId="13697" xr:uid="{AF910A6D-3D63-46A0-95A1-2820EF7C74C2}"/>
    <cellStyle name="Normal 5 2 2 3 2 6 3" xfId="6443" xr:uid="{00000000-0005-0000-0000-0000BB170000}"/>
    <cellStyle name="Normal 5 2 2 3 2 6 3 2" xfId="15769" xr:uid="{EC36CC5E-FAB2-43A8-A17D-88A9EC8A1AAF}"/>
    <cellStyle name="Normal 5 2 2 3 2 6 4" xfId="11552" xr:uid="{C82C78F2-CBDE-43BA-80AC-BD1254BE1307}"/>
    <cellStyle name="Normal 5 2 2 3 2 7" xfId="2573" xr:uid="{00000000-0005-0000-0000-0000BC170000}"/>
    <cellStyle name="Normal 5 2 2 3 2 7 2" xfId="6856" xr:uid="{00000000-0005-0000-0000-0000BD170000}"/>
    <cellStyle name="Normal 5 2 2 3 2 7 2 2" xfId="16182" xr:uid="{4A61AF3F-795B-47C7-A003-0A0D5D5ABCF1}"/>
    <cellStyle name="Normal 5 2 2 3 2 7 3" xfId="11965" xr:uid="{3ABAA134-B0B5-4376-8B49-A5EDFCFE9FDA}"/>
    <cellStyle name="Normal 5 2 2 3 2 8" xfId="4791" xr:uid="{00000000-0005-0000-0000-0000BE170000}"/>
    <cellStyle name="Normal 5 2 2 3 2 8 2" xfId="14117" xr:uid="{13CBC746-1E11-477E-AF42-5CDB99A979DA}"/>
    <cellStyle name="Normal 5 2 2 3 2 9" xfId="8931" xr:uid="{E27E09D3-2564-4B82-8EA4-A27330B6B436}"/>
    <cellStyle name="Normal 5 2 2 3 2 9 2" xfId="18254" xr:uid="{0EB7FE76-1BF2-4BA9-8868-482424AE56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24A74BBF-AAE9-4043-B715-9D85E7EC6879}"/>
    <cellStyle name="Normal 5 2 2 3 3 2 2 3" xfId="12460" xr:uid="{FAB91930-76DB-42B4-A4A3-195A2BE4FF87}"/>
    <cellStyle name="Normal 5 2 2 3 3 2 3" xfId="5206" xr:uid="{00000000-0005-0000-0000-0000C3170000}"/>
    <cellStyle name="Normal 5 2 2 3 3 2 3 2" xfId="14532" xr:uid="{804C1E80-D502-4496-BF1C-DC4D3F2C11E9}"/>
    <cellStyle name="Normal 5 2 2 3 3 2 4" xfId="9460" xr:uid="{423E0BE9-24F3-4EF0-8962-2565594BF831}"/>
    <cellStyle name="Normal 5 2 2 3 3 2 4 2" xfId="18773" xr:uid="{37CC257A-51F4-472D-B05D-26DF6580CA44}"/>
    <cellStyle name="Normal 5 2 2 3 3 2 5" xfId="10315" xr:uid="{DD2C746A-1B99-4065-9F95-F17A5C8BEE9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781AF298-2B81-4CDD-AE35-176F62D5131C}"/>
    <cellStyle name="Normal 5 2 2 3 3 3 2 3" xfId="12873" xr:uid="{059509B5-0A27-4BCF-A286-79CD96B240EB}"/>
    <cellStyle name="Normal 5 2 2 3 3 3 3" xfId="5619" xr:uid="{00000000-0005-0000-0000-0000C7170000}"/>
    <cellStyle name="Normal 5 2 2 3 3 3 3 2" xfId="14945" xr:uid="{61BC7680-1BB2-46EC-9D25-6412D30D624F}"/>
    <cellStyle name="Normal 5 2 2 3 3 3 4" xfId="10728" xr:uid="{EC71BD8B-FB70-4B10-BA0F-CB37967B394B}"/>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79CAFCCF-747B-4A8B-ACAF-B832E41DC8CB}"/>
    <cellStyle name="Normal 5 2 2 3 3 4 2 3" xfId="13286" xr:uid="{DC78873C-A88B-49BE-A4B0-79BED977A67A}"/>
    <cellStyle name="Normal 5 2 2 3 3 4 3" xfId="6032" xr:uid="{00000000-0005-0000-0000-0000CB170000}"/>
    <cellStyle name="Normal 5 2 2 3 3 4 3 2" xfId="15358" xr:uid="{75BE9383-A18F-40B5-8DFD-8C54813F6881}"/>
    <cellStyle name="Normal 5 2 2 3 3 4 4" xfId="11141" xr:uid="{C0FAAE0C-CBEB-4884-8578-CD9DED469B25}"/>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8C0B9675-907A-424B-ADA8-6C39D5592AEC}"/>
    <cellStyle name="Normal 5 2 2 3 3 5 2 3" xfId="13699" xr:uid="{FBCFF7C6-E639-4D4D-A48C-5A57F8C58965}"/>
    <cellStyle name="Normal 5 2 2 3 3 5 3" xfId="6445" xr:uid="{00000000-0005-0000-0000-0000CF170000}"/>
    <cellStyle name="Normal 5 2 2 3 3 5 3 2" xfId="15771" xr:uid="{B8198AB7-CEB8-4A6F-98C2-75EBFD622F51}"/>
    <cellStyle name="Normal 5 2 2 3 3 5 4" xfId="11554" xr:uid="{4811CA07-CB71-42AF-B52E-BD936FF5F412}"/>
    <cellStyle name="Normal 5 2 2 3 3 6" xfId="2575" xr:uid="{00000000-0005-0000-0000-0000D0170000}"/>
    <cellStyle name="Normal 5 2 2 3 3 6 2" xfId="6858" xr:uid="{00000000-0005-0000-0000-0000D1170000}"/>
    <cellStyle name="Normal 5 2 2 3 3 6 2 2" xfId="16184" xr:uid="{FBAE3AFC-201A-490D-9C78-C8CB7186A6D9}"/>
    <cellStyle name="Normal 5 2 2 3 3 6 3" xfId="11967" xr:uid="{F84FFF8E-29ED-47DB-A2AA-088A2A852EAE}"/>
    <cellStyle name="Normal 5 2 2 3 3 7" xfId="4793" xr:uid="{00000000-0005-0000-0000-0000D2170000}"/>
    <cellStyle name="Normal 5 2 2 3 3 7 2" xfId="14119" xr:uid="{3C41AC8A-A8EA-4E83-A9E2-A822C11203ED}"/>
    <cellStyle name="Normal 5 2 2 3 3 8" xfId="9035" xr:uid="{6AC57173-16AF-4847-A277-E4254AACDA36}"/>
    <cellStyle name="Normal 5 2 2 3 3 8 2" xfId="18358" xr:uid="{D7D7461D-275F-4A8D-8354-50C8F892B210}"/>
    <cellStyle name="Normal 5 2 2 3 3 9" xfId="9902" xr:uid="{378B7088-63E7-453B-9CC9-72E2CC310E61}"/>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D24273DE-8091-4CAA-A648-1B2C856A8D1D}"/>
    <cellStyle name="Normal 5 2 2 3 4 2 3" xfId="12457" xr:uid="{6B528D5B-3D9C-4872-941F-8A5AA9842118}"/>
    <cellStyle name="Normal 5 2 2 3 4 3" xfId="5203" xr:uid="{00000000-0005-0000-0000-0000D6170000}"/>
    <cellStyle name="Normal 5 2 2 3 4 3 2" xfId="14529" xr:uid="{167A7FF4-8CEB-4881-93A3-117A9FC8F7FA}"/>
    <cellStyle name="Normal 5 2 2 3 4 4" xfId="9253" xr:uid="{A5C3AAF9-67DD-41B1-A0BF-05B69F588F71}"/>
    <cellStyle name="Normal 5 2 2 3 4 4 2" xfId="18566" xr:uid="{2B129DAC-F569-45DA-AD60-75D979F1041E}"/>
    <cellStyle name="Normal 5 2 2 3 4 5" xfId="10312" xr:uid="{724EAB45-227C-4BD4-983B-7E26E21CF418}"/>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D8307F54-1579-4B07-8AE8-B25E16CF2759}"/>
    <cellStyle name="Normal 5 2 2 3 5 2 3" xfId="12870" xr:uid="{44F40A6A-B375-4705-A9A0-D0ECBFDE824C}"/>
    <cellStyle name="Normal 5 2 2 3 5 3" xfId="5616" xr:uid="{00000000-0005-0000-0000-0000DA170000}"/>
    <cellStyle name="Normal 5 2 2 3 5 3 2" xfId="14942" xr:uid="{56550E77-37E8-48BB-BF44-A674C5F9982C}"/>
    <cellStyle name="Normal 5 2 2 3 5 4" xfId="10725" xr:uid="{1720089F-A947-4905-966F-1C5DC0B81362}"/>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8E62FAD3-724B-483C-BD70-0A329888E11B}"/>
    <cellStyle name="Normal 5 2 2 3 6 2 3" xfId="13283" xr:uid="{2F521176-72A9-41DA-9B1C-B643907DB755}"/>
    <cellStyle name="Normal 5 2 2 3 6 3" xfId="6029" xr:uid="{00000000-0005-0000-0000-0000DE170000}"/>
    <cellStyle name="Normal 5 2 2 3 6 3 2" xfId="15355" xr:uid="{EB121C5B-23D1-4563-8E84-1FB70EEDC6FB}"/>
    <cellStyle name="Normal 5 2 2 3 6 4" xfId="11138" xr:uid="{02AF66E2-F4EB-4588-A4E6-981025DA6066}"/>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69977566-6394-4E56-9020-44C9D6B6E264}"/>
    <cellStyle name="Normal 5 2 2 3 7 2 3" xfId="13696" xr:uid="{AE59B355-EF14-4034-9EE1-AB1B34415EA5}"/>
    <cellStyle name="Normal 5 2 2 3 7 3" xfId="6442" xr:uid="{00000000-0005-0000-0000-0000E2170000}"/>
    <cellStyle name="Normal 5 2 2 3 7 3 2" xfId="15768" xr:uid="{64181CDC-C5A6-4E59-BAC9-21C49BBBA459}"/>
    <cellStyle name="Normal 5 2 2 3 7 4" xfId="11551" xr:uid="{A224AE95-FC51-48FA-8C44-C074B3B9D88A}"/>
    <cellStyle name="Normal 5 2 2 3 8" xfId="2572" xr:uid="{00000000-0005-0000-0000-0000E3170000}"/>
    <cellStyle name="Normal 5 2 2 3 8 2" xfId="6855" xr:uid="{00000000-0005-0000-0000-0000E4170000}"/>
    <cellStyle name="Normal 5 2 2 3 8 2 2" xfId="16181" xr:uid="{61FC4CDB-1CB9-4E56-BB18-DDD3638400C6}"/>
    <cellStyle name="Normal 5 2 2 3 8 3" xfId="11964" xr:uid="{B74F57D5-787E-4967-98CE-B836EC0E7453}"/>
    <cellStyle name="Normal 5 2 2 3 9" xfId="4790" xr:uid="{00000000-0005-0000-0000-0000E5170000}"/>
    <cellStyle name="Normal 5 2 2 3 9 2" xfId="14116" xr:uid="{D575DEA4-9C0F-48E0-85DE-F1D828E0AAF7}"/>
    <cellStyle name="Normal 5 2 2 4" xfId="421" xr:uid="{00000000-0005-0000-0000-0000E6170000}"/>
    <cellStyle name="Normal 5 2 2 4 10" xfId="9903" xr:uid="{36405779-8D41-403C-A8E5-66FF5C7B6FCC}"/>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1991B95C-2007-4D44-8042-E70C930EAE37}"/>
    <cellStyle name="Normal 5 2 2 4 2 2 2 3" xfId="12462" xr:uid="{FD88267C-521D-4D2C-AAEC-28F785740E30}"/>
    <cellStyle name="Normal 5 2 2 4 2 2 3" xfId="5208" xr:uid="{00000000-0005-0000-0000-0000EB170000}"/>
    <cellStyle name="Normal 5 2 2 4 2 2 3 2" xfId="14534" xr:uid="{8E2B4748-B6FF-41BD-810F-F0971CC36F28}"/>
    <cellStyle name="Normal 5 2 2 4 2 2 4" xfId="9488" xr:uid="{2997B11D-E810-48A4-BD3C-4498479B295E}"/>
    <cellStyle name="Normal 5 2 2 4 2 2 4 2" xfId="18801" xr:uid="{AA14C5C0-139A-49E3-BAB9-98DC87D11329}"/>
    <cellStyle name="Normal 5 2 2 4 2 2 5" xfId="10317" xr:uid="{46A6769A-630A-4E39-B2B6-A9B4E3F9165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C576D173-A376-4AD5-BA25-954EC5A2A600}"/>
    <cellStyle name="Normal 5 2 2 4 2 3 2 3" xfId="12875" xr:uid="{CEBEC182-6345-4494-B7FC-A0EF1C38C1A2}"/>
    <cellStyle name="Normal 5 2 2 4 2 3 3" xfId="5621" xr:uid="{00000000-0005-0000-0000-0000EF170000}"/>
    <cellStyle name="Normal 5 2 2 4 2 3 3 2" xfId="14947" xr:uid="{35D7B181-CB9C-4865-8450-FAC73922DA06}"/>
    <cellStyle name="Normal 5 2 2 4 2 3 4" xfId="10730" xr:uid="{EFECDDDE-EF15-43AD-9B0D-4563A1BF1F47}"/>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D7E5EF16-3D74-44B2-BC93-6829B980A4DA}"/>
    <cellStyle name="Normal 5 2 2 4 2 4 2 3" xfId="13288" xr:uid="{ACCADCAD-43B2-4DBA-B3E5-453FF7EEF856}"/>
    <cellStyle name="Normal 5 2 2 4 2 4 3" xfId="6034" xr:uid="{00000000-0005-0000-0000-0000F3170000}"/>
    <cellStyle name="Normal 5 2 2 4 2 4 3 2" xfId="15360" xr:uid="{462B1A70-BF2F-495D-B183-88FCECF83769}"/>
    <cellStyle name="Normal 5 2 2 4 2 4 4" xfId="11143" xr:uid="{5185E6DB-1193-409A-ACCA-B617A14AF946}"/>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16516ED4-B697-4B20-BA8D-4D107ED11B6D}"/>
    <cellStyle name="Normal 5 2 2 4 2 5 2 3" xfId="13701" xr:uid="{455CB131-EEFF-44DD-A015-5A5B723F357D}"/>
    <cellStyle name="Normal 5 2 2 4 2 5 3" xfId="6447" xr:uid="{00000000-0005-0000-0000-0000F7170000}"/>
    <cellStyle name="Normal 5 2 2 4 2 5 3 2" xfId="15773" xr:uid="{D436266E-9738-4237-AE33-9380A67B3D79}"/>
    <cellStyle name="Normal 5 2 2 4 2 5 4" xfId="11556" xr:uid="{F3F080C7-0170-4967-9E7D-E9FAB8FFCC13}"/>
    <cellStyle name="Normal 5 2 2 4 2 6" xfId="2577" xr:uid="{00000000-0005-0000-0000-0000F8170000}"/>
    <cellStyle name="Normal 5 2 2 4 2 6 2" xfId="6860" xr:uid="{00000000-0005-0000-0000-0000F9170000}"/>
    <cellStyle name="Normal 5 2 2 4 2 6 2 2" xfId="16186" xr:uid="{2F8C9960-6DFC-498D-AEA3-0568DCE821ED}"/>
    <cellStyle name="Normal 5 2 2 4 2 6 3" xfId="11969" xr:uid="{06908F4C-E9FD-46AD-B962-B42B02687AEE}"/>
    <cellStyle name="Normal 5 2 2 4 2 7" xfId="4795" xr:uid="{00000000-0005-0000-0000-0000FA170000}"/>
    <cellStyle name="Normal 5 2 2 4 2 7 2" xfId="14121" xr:uid="{58D00DEE-D8C0-4D68-A52A-542E4946569B}"/>
    <cellStyle name="Normal 5 2 2 4 2 8" xfId="9063" xr:uid="{3B1AA107-8D7F-4938-A60C-EED41E9B9A2A}"/>
    <cellStyle name="Normal 5 2 2 4 2 8 2" xfId="18386" xr:uid="{E3DB2A23-B3B1-49DA-A580-CCF737A27C6C}"/>
    <cellStyle name="Normal 5 2 2 4 2 9" xfId="9904" xr:uid="{AE2AFCB6-1E58-46D2-8088-AABC9AABA983}"/>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75387531-5ED4-46A9-A425-AA18343588CD}"/>
    <cellStyle name="Normal 5 2 2 4 3 2 3" xfId="12461" xr:uid="{E6AD205C-BADF-40C7-8B1B-49C5947951A6}"/>
    <cellStyle name="Normal 5 2 2 4 3 3" xfId="5207" xr:uid="{00000000-0005-0000-0000-0000FE170000}"/>
    <cellStyle name="Normal 5 2 2 4 3 3 2" xfId="14533" xr:uid="{A077E593-357A-4597-AE21-5A9B49F774A1}"/>
    <cellStyle name="Normal 5 2 2 4 3 4" xfId="9281" xr:uid="{9304050F-95A7-4BE3-AD21-FEBB7D0875B2}"/>
    <cellStyle name="Normal 5 2 2 4 3 4 2" xfId="18594" xr:uid="{07604505-B1E3-420C-B99E-C62C0B4C8FC7}"/>
    <cellStyle name="Normal 5 2 2 4 3 5" xfId="10316" xr:uid="{1645C6BE-D008-4AAC-A7FF-AFBDD9BBA336}"/>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BED33D6E-D06E-44A8-8851-9D3C78C2D90C}"/>
    <cellStyle name="Normal 5 2 2 4 4 2 3" xfId="12874" xr:uid="{B3847165-3B48-4143-B736-BD36E1533821}"/>
    <cellStyle name="Normal 5 2 2 4 4 3" xfId="5620" xr:uid="{00000000-0005-0000-0000-000002180000}"/>
    <cellStyle name="Normal 5 2 2 4 4 3 2" xfId="14946" xr:uid="{D179F8BE-1DE4-46DE-91E2-9093B081039B}"/>
    <cellStyle name="Normal 5 2 2 4 4 4" xfId="10729" xr:uid="{F5725007-E98C-45A5-9D97-7776406041EB}"/>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DBCB71E5-9DB2-4E91-8C2F-AF996E7FD11E}"/>
    <cellStyle name="Normal 5 2 2 4 5 2 3" xfId="13287" xr:uid="{43C85281-214E-4FF4-8EEB-300ABAEC4461}"/>
    <cellStyle name="Normal 5 2 2 4 5 3" xfId="6033" xr:uid="{00000000-0005-0000-0000-000006180000}"/>
    <cellStyle name="Normal 5 2 2 4 5 3 2" xfId="15359" xr:uid="{830B1F5C-B9A8-44F2-BD56-A0884FE76B87}"/>
    <cellStyle name="Normal 5 2 2 4 5 4" xfId="11142" xr:uid="{1D4BC9E3-10D7-4903-BA64-048676B0173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456E67B8-EC7E-40C4-9805-5B048D437A93}"/>
    <cellStyle name="Normal 5 2 2 4 6 2 3" xfId="13700" xr:uid="{E6D3143A-0D37-4A24-AE8F-30B131DFEA46}"/>
    <cellStyle name="Normal 5 2 2 4 6 3" xfId="6446" xr:uid="{00000000-0005-0000-0000-00000A180000}"/>
    <cellStyle name="Normal 5 2 2 4 6 3 2" xfId="15772" xr:uid="{33C37550-6A9C-46C7-9798-03F3BEF96CD9}"/>
    <cellStyle name="Normal 5 2 2 4 6 4" xfId="11555" xr:uid="{D6019626-BC29-4003-B973-5F269BBE91DC}"/>
    <cellStyle name="Normal 5 2 2 4 7" xfId="2576" xr:uid="{00000000-0005-0000-0000-00000B180000}"/>
    <cellStyle name="Normal 5 2 2 4 7 2" xfId="6859" xr:uid="{00000000-0005-0000-0000-00000C180000}"/>
    <cellStyle name="Normal 5 2 2 4 7 2 2" xfId="16185" xr:uid="{0D413C2C-0B22-42FB-B939-BFBB7AD0FE50}"/>
    <cellStyle name="Normal 5 2 2 4 7 3" xfId="11968" xr:uid="{80D4AAB2-85B5-4FC0-A53B-3C4DA61CA706}"/>
    <cellStyle name="Normal 5 2 2 4 8" xfId="4794" xr:uid="{00000000-0005-0000-0000-00000D180000}"/>
    <cellStyle name="Normal 5 2 2 4 8 2" xfId="14120" xr:uid="{D0C8C1D4-A47A-4DF0-B6CB-78DA3584D9ED}"/>
    <cellStyle name="Normal 5 2 2 4 9" xfId="8856" xr:uid="{8A537EF5-BE1D-4B82-9546-B2DC1F74308F}"/>
    <cellStyle name="Normal 5 2 2 4 9 2" xfId="18179" xr:uid="{CA01E5B4-49D9-41F4-9090-EBD7DAD3B863}"/>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73133A89-DEFC-4783-A0FC-F4BCE808B88B}"/>
    <cellStyle name="Normal 5 2 2 5 2 2 3" xfId="12463" xr:uid="{89926EEB-6D5C-4A5F-9856-02FC2A961E54}"/>
    <cellStyle name="Normal 5 2 2 5 2 3" xfId="5209" xr:uid="{00000000-0005-0000-0000-000012180000}"/>
    <cellStyle name="Normal 5 2 2 5 2 3 2" xfId="14535" xr:uid="{054A5D38-8A8D-4A1D-B1C4-2C75B951E286}"/>
    <cellStyle name="Normal 5 2 2 5 2 4" xfId="9397" xr:uid="{3CB0B9A4-F907-4F52-ACFC-7970F7AF9B13}"/>
    <cellStyle name="Normal 5 2 2 5 2 4 2" xfId="18710" xr:uid="{9B2DEF8E-6B74-4CFE-94D0-A685D7B9734A}"/>
    <cellStyle name="Normal 5 2 2 5 2 5" xfId="10318" xr:uid="{6A770D47-8B63-4C39-AFCE-11640F2BB161}"/>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83D18845-1FBD-4262-898F-B795F12F0309}"/>
    <cellStyle name="Normal 5 2 2 5 3 2 3" xfId="12876" xr:uid="{CAD58CAB-8D33-418A-9F98-E084D69C13BE}"/>
    <cellStyle name="Normal 5 2 2 5 3 3" xfId="5622" xr:uid="{00000000-0005-0000-0000-000016180000}"/>
    <cellStyle name="Normal 5 2 2 5 3 3 2" xfId="14948" xr:uid="{9D6E0F08-E6FE-46D3-99FE-383147943204}"/>
    <cellStyle name="Normal 5 2 2 5 3 4" xfId="10731" xr:uid="{95FDF23E-8456-4DBC-8ABE-2DDD4116198C}"/>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760E7711-20AC-448E-B3B3-263807932E88}"/>
    <cellStyle name="Normal 5 2 2 5 4 2 3" xfId="13289" xr:uid="{C58C391A-97B8-447E-A215-BE5325DA3508}"/>
    <cellStyle name="Normal 5 2 2 5 4 3" xfId="6035" xr:uid="{00000000-0005-0000-0000-00001A180000}"/>
    <cellStyle name="Normal 5 2 2 5 4 3 2" xfId="15361" xr:uid="{39F2FA2D-2962-40F9-B8FD-80FE0B51ECB4}"/>
    <cellStyle name="Normal 5 2 2 5 4 4" xfId="11144" xr:uid="{E0759A65-94B7-458E-961E-16F9B86DB723}"/>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BA597B01-8D41-4EF7-9A4B-0ED98397533E}"/>
    <cellStyle name="Normal 5 2 2 5 5 2 3" xfId="13702" xr:uid="{6029C3D3-F510-4977-A66D-9229CE2085A9}"/>
    <cellStyle name="Normal 5 2 2 5 5 3" xfId="6448" xr:uid="{00000000-0005-0000-0000-00001E180000}"/>
    <cellStyle name="Normal 5 2 2 5 5 3 2" xfId="15774" xr:uid="{63BDB63C-FECE-43F4-AA9A-B84D153BE3A7}"/>
    <cellStyle name="Normal 5 2 2 5 5 4" xfId="11557" xr:uid="{C62BC775-AFA1-40E3-BB75-B7C8C4D0B94B}"/>
    <cellStyle name="Normal 5 2 2 5 6" xfId="2578" xr:uid="{00000000-0005-0000-0000-00001F180000}"/>
    <cellStyle name="Normal 5 2 2 5 6 2" xfId="6861" xr:uid="{00000000-0005-0000-0000-000020180000}"/>
    <cellStyle name="Normal 5 2 2 5 6 2 2" xfId="16187" xr:uid="{B1AC2B34-5B0C-41E4-82AF-CC857B42398F}"/>
    <cellStyle name="Normal 5 2 2 5 6 3" xfId="11970" xr:uid="{30421555-2BD0-472E-9592-4686F9B67C2E}"/>
    <cellStyle name="Normal 5 2 2 5 7" xfId="4796" xr:uid="{00000000-0005-0000-0000-000021180000}"/>
    <cellStyle name="Normal 5 2 2 5 7 2" xfId="14122" xr:uid="{A0B8397D-B313-4F0D-A3F1-A7C7662DBA68}"/>
    <cellStyle name="Normal 5 2 2 5 8" xfId="8972" xr:uid="{3CCC8856-6464-4309-A4F9-43F74A48C503}"/>
    <cellStyle name="Normal 5 2 2 5 8 2" xfId="18295" xr:uid="{2C95D620-25C3-47B3-909C-7E61DCCF4EBD}"/>
    <cellStyle name="Normal 5 2 2 5 9" xfId="9905" xr:uid="{4F00A9B4-5D94-42A3-931F-5C7C6A215CD2}"/>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C1920091-1C1B-4433-BE12-5FFDB8680BF5}"/>
    <cellStyle name="Normal 5 2 2 6 2 3" xfId="12448" xr:uid="{2408D089-65C7-432E-8A6C-93844F72D959}"/>
    <cellStyle name="Normal 5 2 2 6 3" xfId="5194" xr:uid="{00000000-0005-0000-0000-000025180000}"/>
    <cellStyle name="Normal 5 2 2 6 3 2" xfId="14520" xr:uid="{E04EB236-2BE1-4B81-B0B4-4D32E0CB8AA8}"/>
    <cellStyle name="Normal 5 2 2 6 4" xfId="9175" xr:uid="{A0BC076A-DB75-4963-A17E-57836FA6391D}"/>
    <cellStyle name="Normal 5 2 2 6 4 2" xfId="18491" xr:uid="{2B2CD285-360C-4BE2-A850-E1F26AD33E0D}"/>
    <cellStyle name="Normal 5 2 2 6 5" xfId="10303" xr:uid="{6D264922-F7C3-4199-9367-19E98571FD2E}"/>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7D642DC5-7C72-4FBA-9C73-57146725708F}"/>
    <cellStyle name="Normal 5 2 2 7 2 3" xfId="12861" xr:uid="{F3AFF51E-433E-40CC-9123-D71022A72B32}"/>
    <cellStyle name="Normal 5 2 2 7 3" xfId="5607" xr:uid="{00000000-0005-0000-0000-000029180000}"/>
    <cellStyle name="Normal 5 2 2 7 3 2" xfId="14933" xr:uid="{711DDEE8-914E-4959-AE7F-B9D2F3D60ED1}"/>
    <cellStyle name="Normal 5 2 2 7 4" xfId="10716" xr:uid="{43557A2B-7497-4A19-A8AB-1D50E901A02C}"/>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204C9466-9CC0-4C75-8258-67AFD2A34EDE}"/>
    <cellStyle name="Normal 5 2 2 8 2 3" xfId="13274" xr:uid="{802F2134-3247-4016-A4F1-FA3E55C56DC6}"/>
    <cellStyle name="Normal 5 2 2 8 3" xfId="6020" xr:uid="{00000000-0005-0000-0000-00002D180000}"/>
    <cellStyle name="Normal 5 2 2 8 3 2" xfId="15346" xr:uid="{88157365-6F1E-467E-8303-0EFAE973736E}"/>
    <cellStyle name="Normal 5 2 2 8 4" xfId="11129" xr:uid="{95D13BC4-2514-481C-B184-7C27C0E5DDFE}"/>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2DB96B72-6D6A-4CA0-AAE4-B941DF20B2CE}"/>
    <cellStyle name="Normal 5 2 2 9 2 3" xfId="13687" xr:uid="{3193D3A3-C588-45F1-A339-1364854101C1}"/>
    <cellStyle name="Normal 5 2 2 9 3" xfId="6433" xr:uid="{00000000-0005-0000-0000-000031180000}"/>
    <cellStyle name="Normal 5 2 2 9 3 2" xfId="15759" xr:uid="{7DE789EF-01AA-4214-9F1C-B0D9FE9E0F68}"/>
    <cellStyle name="Normal 5 2 2 9 4" xfId="11542" xr:uid="{B785AC55-E4AF-4935-8D81-2ED108ED718E}"/>
    <cellStyle name="Normal 5 2 3" xfId="424" xr:uid="{00000000-0005-0000-0000-000032180000}"/>
    <cellStyle name="Normal 5 2 3 10" xfId="4797" xr:uid="{00000000-0005-0000-0000-000033180000}"/>
    <cellStyle name="Normal 5 2 3 10 2" xfId="14123" xr:uid="{D39886B3-5585-412C-9C07-6EDC6AC619C0}"/>
    <cellStyle name="Normal 5 2 3 11" xfId="8776" xr:uid="{883173D2-CE3E-48F3-8E13-32EAEF7B08C3}"/>
    <cellStyle name="Normal 5 2 3 11 2" xfId="18099" xr:uid="{DBCB8257-D817-4E3F-80A7-31F92D27A5FB}"/>
    <cellStyle name="Normal 5 2 3 12" xfId="9906" xr:uid="{E8B20AFE-AEE5-44A2-B93E-437BB87493F2}"/>
    <cellStyle name="Normal 5 2 3 2" xfId="425" xr:uid="{00000000-0005-0000-0000-000034180000}"/>
    <cellStyle name="Normal 5 2 3 2 10" xfId="8830" xr:uid="{287E15F2-6F23-4B3E-B8AA-9DE92D950FBA}"/>
    <cellStyle name="Normal 5 2 3 2 10 2" xfId="18153" xr:uid="{0C8B18F2-5E04-41C1-8BDE-ECC0BF5FA902}"/>
    <cellStyle name="Normal 5 2 3 2 11" xfId="9907" xr:uid="{7AA4D14B-9686-4670-AF74-5F84C575D544}"/>
    <cellStyle name="Normal 5 2 3 2 2" xfId="426" xr:uid="{00000000-0005-0000-0000-000035180000}"/>
    <cellStyle name="Normal 5 2 3 2 2 10" xfId="9908" xr:uid="{E818FF60-0EBE-4390-96A2-99954DBCFEC5}"/>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10FF047E-E7AB-4122-9C2E-DD6C6CB5F4AF}"/>
    <cellStyle name="Normal 5 2 3 2 2 2 2 2 3" xfId="12467" xr:uid="{3042144F-66BB-4F31-AD10-2B60764C416F}"/>
    <cellStyle name="Normal 5 2 3 2 2 2 2 3" xfId="5213" xr:uid="{00000000-0005-0000-0000-00003A180000}"/>
    <cellStyle name="Normal 5 2 3 2 2 2 2 3 2" xfId="14539" xr:uid="{020484DC-1861-4DFB-999C-66FAF30F17AF}"/>
    <cellStyle name="Normal 5 2 3 2 2 2 2 4" xfId="9565" xr:uid="{B33C5ECB-02D9-4BAF-B467-F38E8EEB7F6E}"/>
    <cellStyle name="Normal 5 2 3 2 2 2 2 4 2" xfId="18878" xr:uid="{554199CA-6D8B-4556-88FC-C64C91ECEF3A}"/>
    <cellStyle name="Normal 5 2 3 2 2 2 2 5" xfId="10322" xr:uid="{CFB60945-B694-4877-A5FE-FD0959D848C5}"/>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4147E9D5-B104-4FD3-AFCC-49B6FEDF6528}"/>
    <cellStyle name="Normal 5 2 3 2 2 2 3 2 3" xfId="12880" xr:uid="{51367728-5426-408D-88CD-F0DCB89387A3}"/>
    <cellStyle name="Normal 5 2 3 2 2 2 3 3" xfId="5626" xr:uid="{00000000-0005-0000-0000-00003E180000}"/>
    <cellStyle name="Normal 5 2 3 2 2 2 3 3 2" xfId="14952" xr:uid="{536E3290-77FA-49BA-9739-12CCE5C954B7}"/>
    <cellStyle name="Normal 5 2 3 2 2 2 3 4" xfId="10735" xr:uid="{90E564B9-68F4-4DAE-AD98-A52C75DFD84F}"/>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FD78796A-17F0-4D5F-B1A1-B835C6807B9E}"/>
    <cellStyle name="Normal 5 2 3 2 2 2 4 2 3" xfId="13293" xr:uid="{0661D393-C1C2-4D06-AE82-7FF6B9D7B74A}"/>
    <cellStyle name="Normal 5 2 3 2 2 2 4 3" xfId="6039" xr:uid="{00000000-0005-0000-0000-000042180000}"/>
    <cellStyle name="Normal 5 2 3 2 2 2 4 3 2" xfId="15365" xr:uid="{1255181D-0860-4909-9C1A-B24481771BCD}"/>
    <cellStyle name="Normal 5 2 3 2 2 2 4 4" xfId="11148" xr:uid="{5D56CFB5-47C2-4955-8090-FA878623C00D}"/>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9097AD37-A8AC-4E83-B845-5569C689E628}"/>
    <cellStyle name="Normal 5 2 3 2 2 2 5 2 3" xfId="13706" xr:uid="{7423FEA5-E552-4F51-8950-6410ADADBAD6}"/>
    <cellStyle name="Normal 5 2 3 2 2 2 5 3" xfId="6452" xr:uid="{00000000-0005-0000-0000-000046180000}"/>
    <cellStyle name="Normal 5 2 3 2 2 2 5 3 2" xfId="15778" xr:uid="{51614CC6-FE04-4A62-886E-963535D2E21E}"/>
    <cellStyle name="Normal 5 2 3 2 2 2 5 4" xfId="11561" xr:uid="{5F2624CA-1753-4305-879C-A49113B47CDD}"/>
    <cellStyle name="Normal 5 2 3 2 2 2 6" xfId="2582" xr:uid="{00000000-0005-0000-0000-000047180000}"/>
    <cellStyle name="Normal 5 2 3 2 2 2 6 2" xfId="6865" xr:uid="{00000000-0005-0000-0000-000048180000}"/>
    <cellStyle name="Normal 5 2 3 2 2 2 6 2 2" xfId="16191" xr:uid="{5AD311B6-0486-4B24-A16F-96903235BE38}"/>
    <cellStyle name="Normal 5 2 3 2 2 2 6 3" xfId="11974" xr:uid="{A6F74425-2C89-4218-A213-560E07F5A31E}"/>
    <cellStyle name="Normal 5 2 3 2 2 2 7" xfId="4800" xr:uid="{00000000-0005-0000-0000-000049180000}"/>
    <cellStyle name="Normal 5 2 3 2 2 2 7 2" xfId="14126" xr:uid="{FE7F2FA0-588F-43D4-AB99-EC0351F682B7}"/>
    <cellStyle name="Normal 5 2 3 2 2 2 8" xfId="9140" xr:uid="{175A16DB-BA54-4083-AB68-1FA46DB27A86}"/>
    <cellStyle name="Normal 5 2 3 2 2 2 8 2" xfId="18463" xr:uid="{8834D6B1-3DFF-4341-9978-216FE63B0772}"/>
    <cellStyle name="Normal 5 2 3 2 2 2 9" xfId="9909" xr:uid="{A25F51A1-B26F-42C8-97E6-1A7B9D88706A}"/>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0E5896D2-BCC7-4956-AD3D-80E19D76E2F7}"/>
    <cellStyle name="Normal 5 2 3 2 2 3 2 3" xfId="12466" xr:uid="{1692CA93-30F4-42B3-A0A9-65C20E2B969B}"/>
    <cellStyle name="Normal 5 2 3 2 2 3 3" xfId="5212" xr:uid="{00000000-0005-0000-0000-00004D180000}"/>
    <cellStyle name="Normal 5 2 3 2 2 3 3 2" xfId="14538" xr:uid="{B7E0A113-245F-432A-AF6B-5B7456640920}"/>
    <cellStyle name="Normal 5 2 3 2 2 3 4" xfId="9358" xr:uid="{5B196E7D-8DD9-4C59-A83C-7626B0E60040}"/>
    <cellStyle name="Normal 5 2 3 2 2 3 4 2" xfId="18671" xr:uid="{E92B60DC-6F30-4918-80D2-4BE8D0346767}"/>
    <cellStyle name="Normal 5 2 3 2 2 3 5" xfId="10321" xr:uid="{0D25AEBD-0A0D-4154-A0D4-48F1DAC5102A}"/>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F6ED5FED-5C5E-4AF9-AC91-6EF43E9D5BF6}"/>
    <cellStyle name="Normal 5 2 3 2 2 4 2 3" xfId="12879" xr:uid="{2E94F84F-23CD-4ED7-8C9F-0B54C1F993F9}"/>
    <cellStyle name="Normal 5 2 3 2 2 4 3" xfId="5625" xr:uid="{00000000-0005-0000-0000-000051180000}"/>
    <cellStyle name="Normal 5 2 3 2 2 4 3 2" xfId="14951" xr:uid="{8CEE9D20-DA3D-4878-86B0-8931FF993A0B}"/>
    <cellStyle name="Normal 5 2 3 2 2 4 4" xfId="10734" xr:uid="{3172D722-87CE-4C9E-B28A-2A7D2CD544D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1E6AFD0C-FD89-4EDB-B80C-4FA6934C3D6F}"/>
    <cellStyle name="Normal 5 2 3 2 2 5 2 3" xfId="13292" xr:uid="{AA0D050C-0259-4E0A-90D5-BAE69334A9C7}"/>
    <cellStyle name="Normal 5 2 3 2 2 5 3" xfId="6038" xr:uid="{00000000-0005-0000-0000-000055180000}"/>
    <cellStyle name="Normal 5 2 3 2 2 5 3 2" xfId="15364" xr:uid="{90338308-22A6-414E-8E1D-2144AECBDE03}"/>
    <cellStyle name="Normal 5 2 3 2 2 5 4" xfId="11147" xr:uid="{281B30CD-E425-4DE0-8C77-FEF8EB862043}"/>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43C792E5-2BED-42FA-955B-9B8081FB47B3}"/>
    <cellStyle name="Normal 5 2 3 2 2 6 2 3" xfId="13705" xr:uid="{53B6E547-E322-4FA7-88EC-D9654F3FA827}"/>
    <cellStyle name="Normal 5 2 3 2 2 6 3" xfId="6451" xr:uid="{00000000-0005-0000-0000-000059180000}"/>
    <cellStyle name="Normal 5 2 3 2 2 6 3 2" xfId="15777" xr:uid="{DDCEF569-FB9D-46BC-AE4E-47D3E4F70CFF}"/>
    <cellStyle name="Normal 5 2 3 2 2 6 4" xfId="11560" xr:uid="{7D98B635-17C3-4C00-9C07-52B36C073AB7}"/>
    <cellStyle name="Normal 5 2 3 2 2 7" xfId="2581" xr:uid="{00000000-0005-0000-0000-00005A180000}"/>
    <cellStyle name="Normal 5 2 3 2 2 7 2" xfId="6864" xr:uid="{00000000-0005-0000-0000-00005B180000}"/>
    <cellStyle name="Normal 5 2 3 2 2 7 2 2" xfId="16190" xr:uid="{BB8FEC7C-8710-4036-9830-E3989EB4699A}"/>
    <cellStyle name="Normal 5 2 3 2 2 7 3" xfId="11973" xr:uid="{22B78DB7-6309-429D-A1F6-49AD548D6C82}"/>
    <cellStyle name="Normal 5 2 3 2 2 8" xfId="4799" xr:uid="{00000000-0005-0000-0000-00005C180000}"/>
    <cellStyle name="Normal 5 2 3 2 2 8 2" xfId="14125" xr:uid="{F3533F1D-C70F-4FDB-9D21-296B62D0A93D}"/>
    <cellStyle name="Normal 5 2 3 2 2 9" xfId="8933" xr:uid="{2228AC18-CB51-4AF4-A227-403A8409C6C2}"/>
    <cellStyle name="Normal 5 2 3 2 2 9 2" xfId="18256" xr:uid="{238AF3B2-287D-4C0D-9F64-4AEE87CCA16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5738B34C-A6CC-4E24-BF0B-C045742CA11D}"/>
    <cellStyle name="Normal 5 2 3 2 3 2 2 3" xfId="12468" xr:uid="{77B9130B-3443-4B46-9E49-9BD2912F28F9}"/>
    <cellStyle name="Normal 5 2 3 2 3 2 3" xfId="5214" xr:uid="{00000000-0005-0000-0000-000061180000}"/>
    <cellStyle name="Normal 5 2 3 2 3 2 3 2" xfId="14540" xr:uid="{E86D2C1B-BF98-4275-A0F2-F68A083BAAA2}"/>
    <cellStyle name="Normal 5 2 3 2 3 2 4" xfId="9462" xr:uid="{B4C14F1A-A88A-428F-A7F8-BAFD7E5CD045}"/>
    <cellStyle name="Normal 5 2 3 2 3 2 4 2" xfId="18775" xr:uid="{2E827CA8-EF0A-4356-9A34-B6D828D6B9B3}"/>
    <cellStyle name="Normal 5 2 3 2 3 2 5" xfId="10323" xr:uid="{A5972BF0-CBE9-4247-8102-782A09019EDC}"/>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1C6828C4-4AE4-4A27-AC13-A868ACC99E86}"/>
    <cellStyle name="Normal 5 2 3 2 3 3 2 3" xfId="12881" xr:uid="{225A66D0-4649-4361-9D37-E0818B549182}"/>
    <cellStyle name="Normal 5 2 3 2 3 3 3" xfId="5627" xr:uid="{00000000-0005-0000-0000-000065180000}"/>
    <cellStyle name="Normal 5 2 3 2 3 3 3 2" xfId="14953" xr:uid="{3AD59DD0-993E-4E56-968A-C8D46AB43F40}"/>
    <cellStyle name="Normal 5 2 3 2 3 3 4" xfId="10736" xr:uid="{EAFD039E-BAFD-4E62-9141-69A28D3BF57F}"/>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232504BA-398D-4C03-AE15-F6A993D8A1CF}"/>
    <cellStyle name="Normal 5 2 3 2 3 4 2 3" xfId="13294" xr:uid="{115CBCBE-C537-44CB-A7CB-B6EAFD454817}"/>
    <cellStyle name="Normal 5 2 3 2 3 4 3" xfId="6040" xr:uid="{00000000-0005-0000-0000-000069180000}"/>
    <cellStyle name="Normal 5 2 3 2 3 4 3 2" xfId="15366" xr:uid="{7B1424C8-2A99-41C3-B0FA-184CC92CF827}"/>
    <cellStyle name="Normal 5 2 3 2 3 4 4" xfId="11149" xr:uid="{E21CC406-4B0D-49CD-B25E-A4918C7A5C38}"/>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C9D5D53C-8781-46CA-8754-57B56BBD45E6}"/>
    <cellStyle name="Normal 5 2 3 2 3 5 2 3" xfId="13707" xr:uid="{BF77ADE2-BA66-4786-AC89-0A7B87188716}"/>
    <cellStyle name="Normal 5 2 3 2 3 5 3" xfId="6453" xr:uid="{00000000-0005-0000-0000-00006D180000}"/>
    <cellStyle name="Normal 5 2 3 2 3 5 3 2" xfId="15779" xr:uid="{20D46E92-41E6-4694-9209-BF45937953C8}"/>
    <cellStyle name="Normal 5 2 3 2 3 5 4" xfId="11562" xr:uid="{9776209A-3017-4396-95C9-8B073D7FDD30}"/>
    <cellStyle name="Normal 5 2 3 2 3 6" xfId="2583" xr:uid="{00000000-0005-0000-0000-00006E180000}"/>
    <cellStyle name="Normal 5 2 3 2 3 6 2" xfId="6866" xr:uid="{00000000-0005-0000-0000-00006F180000}"/>
    <cellStyle name="Normal 5 2 3 2 3 6 2 2" xfId="16192" xr:uid="{65ADC8C4-E43B-447D-A166-F50D398FCE92}"/>
    <cellStyle name="Normal 5 2 3 2 3 6 3" xfId="11975" xr:uid="{46FEF7C2-A62E-4DA3-9A5C-C5377E50DCA8}"/>
    <cellStyle name="Normal 5 2 3 2 3 7" xfId="4801" xr:uid="{00000000-0005-0000-0000-000070180000}"/>
    <cellStyle name="Normal 5 2 3 2 3 7 2" xfId="14127" xr:uid="{33BDB8BB-FFB6-452C-9369-59A14C7EA36F}"/>
    <cellStyle name="Normal 5 2 3 2 3 8" xfId="9037" xr:uid="{EED46D7F-EFCD-4AC1-931D-AB06B694E7BE}"/>
    <cellStyle name="Normal 5 2 3 2 3 8 2" xfId="18360" xr:uid="{4821CB73-52A2-4754-A2CB-91E96CA27F97}"/>
    <cellStyle name="Normal 5 2 3 2 3 9" xfId="9910" xr:uid="{FF890BB9-DF1B-4821-B479-0753956C91BC}"/>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71DBA781-8915-494B-96BB-9DC81D495295}"/>
    <cellStyle name="Normal 5 2 3 2 4 2 3" xfId="12465" xr:uid="{7768B387-070B-4EA9-8B41-789AABFD2065}"/>
    <cellStyle name="Normal 5 2 3 2 4 3" xfId="5211" xr:uid="{00000000-0005-0000-0000-000074180000}"/>
    <cellStyle name="Normal 5 2 3 2 4 3 2" xfId="14537" xr:uid="{72F0990A-1223-4D30-A0B0-3F1832215FE9}"/>
    <cellStyle name="Normal 5 2 3 2 4 4" xfId="9255" xr:uid="{C5A161BB-6C4F-4A9D-BBA7-7500B0B26A70}"/>
    <cellStyle name="Normal 5 2 3 2 4 4 2" xfId="18568" xr:uid="{2C643BA0-6B59-4E8C-A25C-986F979672D4}"/>
    <cellStyle name="Normal 5 2 3 2 4 5" xfId="10320" xr:uid="{72DBD097-C797-4D64-A398-C504F2917B92}"/>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817D6EEF-92AB-4E8E-B1A0-ADCC1180A663}"/>
    <cellStyle name="Normal 5 2 3 2 5 2 3" xfId="12878" xr:uid="{85228BCA-284D-44B1-9339-AF9475D8C185}"/>
    <cellStyle name="Normal 5 2 3 2 5 3" xfId="5624" xr:uid="{00000000-0005-0000-0000-000078180000}"/>
    <cellStyle name="Normal 5 2 3 2 5 3 2" xfId="14950" xr:uid="{BC841E6A-50BA-4B92-B3E7-032E45F1A3D1}"/>
    <cellStyle name="Normal 5 2 3 2 5 4" xfId="10733" xr:uid="{6ABE4CD0-39FA-433E-9CAC-12FCE89C71A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CEE771F4-CB80-45EE-9E7E-34417EA0D51C}"/>
    <cellStyle name="Normal 5 2 3 2 6 2 3" xfId="13291" xr:uid="{6BE2386B-3387-4968-93DA-C78E72940DA1}"/>
    <cellStyle name="Normal 5 2 3 2 6 3" xfId="6037" xr:uid="{00000000-0005-0000-0000-00007C180000}"/>
    <cellStyle name="Normal 5 2 3 2 6 3 2" xfId="15363" xr:uid="{A49608DF-9D51-4908-96AF-94918023B751}"/>
    <cellStyle name="Normal 5 2 3 2 6 4" xfId="11146" xr:uid="{7CA1DDC7-84CD-4586-A3E6-B9EF64F02267}"/>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8564043E-72AB-4BC2-A15A-13C1B11ED50E}"/>
    <cellStyle name="Normal 5 2 3 2 7 2 3" xfId="13704" xr:uid="{991AA6DC-1C97-4E9A-B1B0-B97A3BAD7DA7}"/>
    <cellStyle name="Normal 5 2 3 2 7 3" xfId="6450" xr:uid="{00000000-0005-0000-0000-000080180000}"/>
    <cellStyle name="Normal 5 2 3 2 7 3 2" xfId="15776" xr:uid="{A0233643-F02C-481A-8832-3BEE6BFD8BCC}"/>
    <cellStyle name="Normal 5 2 3 2 7 4" xfId="11559" xr:uid="{233CCD39-984D-4712-8BD3-3349C3D0B9E9}"/>
    <cellStyle name="Normal 5 2 3 2 8" xfId="2580" xr:uid="{00000000-0005-0000-0000-000081180000}"/>
    <cellStyle name="Normal 5 2 3 2 8 2" xfId="6863" xr:uid="{00000000-0005-0000-0000-000082180000}"/>
    <cellStyle name="Normal 5 2 3 2 8 2 2" xfId="16189" xr:uid="{5F55B087-6EE8-483B-AF5C-BD176219E4B4}"/>
    <cellStyle name="Normal 5 2 3 2 8 3" xfId="11972" xr:uid="{8D126744-5F42-47D6-9453-E436D7178306}"/>
    <cellStyle name="Normal 5 2 3 2 9" xfId="4798" xr:uid="{00000000-0005-0000-0000-000083180000}"/>
    <cellStyle name="Normal 5 2 3 2 9 2" xfId="14124" xr:uid="{8BB8D753-2A3F-41E4-AF24-461951BEFAC1}"/>
    <cellStyle name="Normal 5 2 3 3" xfId="429" xr:uid="{00000000-0005-0000-0000-000084180000}"/>
    <cellStyle name="Normal 5 2 3 3 10" xfId="9911" xr:uid="{82024B05-50ED-496B-965D-EE6FBFA33FAE}"/>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1D3B5033-6172-459A-8992-8360D5BF88BC}"/>
    <cellStyle name="Normal 5 2 3 3 2 2 2 3" xfId="12470" xr:uid="{7D5D43E3-BED2-45A4-A669-98034A3BAA67}"/>
    <cellStyle name="Normal 5 2 3 3 2 2 3" xfId="5216" xr:uid="{00000000-0005-0000-0000-000089180000}"/>
    <cellStyle name="Normal 5 2 3 3 2 2 3 2" xfId="14542" xr:uid="{B84E84D1-F541-470F-B71A-456D42794E5D}"/>
    <cellStyle name="Normal 5 2 3 3 2 2 4" xfId="9511" xr:uid="{75EF02F8-0397-4B30-A858-343ADCA7C08D}"/>
    <cellStyle name="Normal 5 2 3 3 2 2 4 2" xfId="18824" xr:uid="{16EDE230-4D51-48C1-BE64-E62359FBEA29}"/>
    <cellStyle name="Normal 5 2 3 3 2 2 5" xfId="10325" xr:uid="{2740BAEC-F1F8-4A0E-9858-BB082AF88AB4}"/>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EEA776DC-447C-498C-9328-0082C92389FB}"/>
    <cellStyle name="Normal 5 2 3 3 2 3 2 3" xfId="12883" xr:uid="{640B0D52-3638-419A-98CC-7F52482AEB83}"/>
    <cellStyle name="Normal 5 2 3 3 2 3 3" xfId="5629" xr:uid="{00000000-0005-0000-0000-00008D180000}"/>
    <cellStyle name="Normal 5 2 3 3 2 3 3 2" xfId="14955" xr:uid="{4B5E01D6-A8FA-4691-A0DE-50CB215A759A}"/>
    <cellStyle name="Normal 5 2 3 3 2 3 4" xfId="10738" xr:uid="{77A84C92-96EB-4155-B66C-EF976BB3BB7E}"/>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17C45CAF-322E-4E22-A011-8DAFB6EA7912}"/>
    <cellStyle name="Normal 5 2 3 3 2 4 2 3" xfId="13296" xr:uid="{CD27BC1D-FF45-4623-B42A-3F82DA0F310E}"/>
    <cellStyle name="Normal 5 2 3 3 2 4 3" xfId="6042" xr:uid="{00000000-0005-0000-0000-000091180000}"/>
    <cellStyle name="Normal 5 2 3 3 2 4 3 2" xfId="15368" xr:uid="{0BBD8211-E76D-47A0-934B-5F0E19154D83}"/>
    <cellStyle name="Normal 5 2 3 3 2 4 4" xfId="11151" xr:uid="{7AEF8430-1E31-42F1-8122-F6EF20E9A9C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71BFF9B1-30AA-4E3C-9198-CF5BB50CB980}"/>
    <cellStyle name="Normal 5 2 3 3 2 5 2 3" xfId="13709" xr:uid="{57EF7DDB-FF7C-4695-BC86-00E9FBD15C4B}"/>
    <cellStyle name="Normal 5 2 3 3 2 5 3" xfId="6455" xr:uid="{00000000-0005-0000-0000-000095180000}"/>
    <cellStyle name="Normal 5 2 3 3 2 5 3 2" xfId="15781" xr:uid="{9233C5C8-EA3F-499B-BE9D-D9738075AC6E}"/>
    <cellStyle name="Normal 5 2 3 3 2 5 4" xfId="11564" xr:uid="{A3A27BE3-5F8C-4F68-B988-12C79DF4B1B7}"/>
    <cellStyle name="Normal 5 2 3 3 2 6" xfId="2585" xr:uid="{00000000-0005-0000-0000-000096180000}"/>
    <cellStyle name="Normal 5 2 3 3 2 6 2" xfId="6868" xr:uid="{00000000-0005-0000-0000-000097180000}"/>
    <cellStyle name="Normal 5 2 3 3 2 6 2 2" xfId="16194" xr:uid="{565B3BCC-0307-4D84-AB13-8F5C0AA0DF07}"/>
    <cellStyle name="Normal 5 2 3 3 2 6 3" xfId="11977" xr:uid="{9EF2685F-E04F-4187-8F0F-184C8B23469A}"/>
    <cellStyle name="Normal 5 2 3 3 2 7" xfId="4803" xr:uid="{00000000-0005-0000-0000-000098180000}"/>
    <cellStyle name="Normal 5 2 3 3 2 7 2" xfId="14129" xr:uid="{75C19982-801E-483D-89D4-EC4CB8856C1A}"/>
    <cellStyle name="Normal 5 2 3 3 2 8" xfId="9086" xr:uid="{442E5F61-F00C-4774-822F-4985AB3E1CB7}"/>
    <cellStyle name="Normal 5 2 3 3 2 8 2" xfId="18409" xr:uid="{2EA57118-2666-48F0-A7B0-9B5CF7EA24FB}"/>
    <cellStyle name="Normal 5 2 3 3 2 9" xfId="9912" xr:uid="{3C27CC2E-4821-456F-923B-8A6D820E61B1}"/>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BDD406B1-20C2-4DE5-9A94-D89AEC12069A}"/>
    <cellStyle name="Normal 5 2 3 3 3 2 3" xfId="12469" xr:uid="{370854A7-AFFE-438E-B84F-335852896D58}"/>
    <cellStyle name="Normal 5 2 3 3 3 3" xfId="5215" xr:uid="{00000000-0005-0000-0000-00009C180000}"/>
    <cellStyle name="Normal 5 2 3 3 3 3 2" xfId="14541" xr:uid="{1DD5FE7D-A5C0-4712-BB17-8E10A1977063}"/>
    <cellStyle name="Normal 5 2 3 3 3 4" xfId="9304" xr:uid="{2C783A77-F32A-4E64-807E-062B95DB0310}"/>
    <cellStyle name="Normal 5 2 3 3 3 4 2" xfId="18617" xr:uid="{6F115B14-C54E-45AA-BBD7-7C6684F9898D}"/>
    <cellStyle name="Normal 5 2 3 3 3 5" xfId="10324" xr:uid="{73C13662-7DEB-4180-8403-40AD236DF936}"/>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7B0E043B-6D7F-45DC-8D5C-0CCB0F80FD62}"/>
    <cellStyle name="Normal 5 2 3 3 4 2 3" xfId="12882" xr:uid="{17917DAA-4785-4090-A6FA-BD8A47EAD8BC}"/>
    <cellStyle name="Normal 5 2 3 3 4 3" xfId="5628" xr:uid="{00000000-0005-0000-0000-0000A0180000}"/>
    <cellStyle name="Normal 5 2 3 3 4 3 2" xfId="14954" xr:uid="{0E748D14-20A8-43A1-9101-618996C3DE42}"/>
    <cellStyle name="Normal 5 2 3 3 4 4" xfId="10737" xr:uid="{DED38022-37BA-4F94-B0F5-74989BB049B2}"/>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3040BCA5-E12D-405D-8098-01E5CF9CC763}"/>
    <cellStyle name="Normal 5 2 3 3 5 2 3" xfId="13295" xr:uid="{500A9DC4-6C5B-40F9-9D2E-98F42BE6A455}"/>
    <cellStyle name="Normal 5 2 3 3 5 3" xfId="6041" xr:uid="{00000000-0005-0000-0000-0000A4180000}"/>
    <cellStyle name="Normal 5 2 3 3 5 3 2" xfId="15367" xr:uid="{A7A9559D-533C-4A5B-84DE-437B9E918219}"/>
    <cellStyle name="Normal 5 2 3 3 5 4" xfId="11150" xr:uid="{0588B9EE-FD91-4E5A-8971-466B423D95EC}"/>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BE2C98C9-BA95-457E-B93A-488FDF7D940F}"/>
    <cellStyle name="Normal 5 2 3 3 6 2 3" xfId="13708" xr:uid="{23039648-284C-42ED-B962-5430337B933C}"/>
    <cellStyle name="Normal 5 2 3 3 6 3" xfId="6454" xr:uid="{00000000-0005-0000-0000-0000A8180000}"/>
    <cellStyle name="Normal 5 2 3 3 6 3 2" xfId="15780" xr:uid="{8724B13C-2D2C-43B4-A26C-591C219E1223}"/>
    <cellStyle name="Normal 5 2 3 3 6 4" xfId="11563" xr:uid="{3F2BF33E-D3A3-4629-ABF4-F7CA6857157F}"/>
    <cellStyle name="Normal 5 2 3 3 7" xfId="2584" xr:uid="{00000000-0005-0000-0000-0000A9180000}"/>
    <cellStyle name="Normal 5 2 3 3 7 2" xfId="6867" xr:uid="{00000000-0005-0000-0000-0000AA180000}"/>
    <cellStyle name="Normal 5 2 3 3 7 2 2" xfId="16193" xr:uid="{A7E634BC-D76B-44A0-959F-BB36325DAC4E}"/>
    <cellStyle name="Normal 5 2 3 3 7 3" xfId="11976" xr:uid="{2A1D6908-6C97-4E24-BA62-07A977C96A41}"/>
    <cellStyle name="Normal 5 2 3 3 8" xfId="4802" xr:uid="{00000000-0005-0000-0000-0000AB180000}"/>
    <cellStyle name="Normal 5 2 3 3 8 2" xfId="14128" xr:uid="{B9736FAA-53DD-4DDE-BF6F-7630591ECA81}"/>
    <cellStyle name="Normal 5 2 3 3 9" xfId="8879" xr:uid="{F521005C-E3E0-4B64-9C0A-0C510FB9AAB2}"/>
    <cellStyle name="Normal 5 2 3 3 9 2" xfId="18202" xr:uid="{F1348C9B-6082-4C78-A256-65D9C78C634E}"/>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63037CF2-E95D-4778-8410-9FF4799ED8B3}"/>
    <cellStyle name="Normal 5 2 3 4 2 2 3" xfId="12471" xr:uid="{C4F7AC05-FF46-4F93-9D8C-B5AC55D562B9}"/>
    <cellStyle name="Normal 5 2 3 4 2 3" xfId="5217" xr:uid="{00000000-0005-0000-0000-0000B0180000}"/>
    <cellStyle name="Normal 5 2 3 4 2 3 2" xfId="14543" xr:uid="{AF2A644D-4D4F-4914-951B-DA158E89A44E}"/>
    <cellStyle name="Normal 5 2 3 4 2 4" xfId="9408" xr:uid="{3B6F9C6F-3D7C-45F8-99FE-451C0F8CED36}"/>
    <cellStyle name="Normal 5 2 3 4 2 4 2" xfId="18721" xr:uid="{2A4C5D32-B94B-4C5D-8C57-AD865D29BDA8}"/>
    <cellStyle name="Normal 5 2 3 4 2 5" xfId="10326" xr:uid="{36597546-79FC-4022-8DBD-FE1514E43A4F}"/>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4F369455-FFB0-4591-9301-39B0A939CEE7}"/>
    <cellStyle name="Normal 5 2 3 4 3 2 3" xfId="12884" xr:uid="{2B2612FB-C04E-44F5-825D-8600E22B59BA}"/>
    <cellStyle name="Normal 5 2 3 4 3 3" xfId="5630" xr:uid="{00000000-0005-0000-0000-0000B4180000}"/>
    <cellStyle name="Normal 5 2 3 4 3 3 2" xfId="14956" xr:uid="{2AE31EB7-E144-4BB2-89E9-2B6E8332141A}"/>
    <cellStyle name="Normal 5 2 3 4 3 4" xfId="10739" xr:uid="{95432A76-44E5-4B40-895C-E04252E0D0DC}"/>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0C821BCC-D662-4D9A-8420-6DC9EC386207}"/>
    <cellStyle name="Normal 5 2 3 4 4 2 3" xfId="13297" xr:uid="{749DFEEB-BEE2-40B3-A0F8-8DDDA22901AF}"/>
    <cellStyle name="Normal 5 2 3 4 4 3" xfId="6043" xr:uid="{00000000-0005-0000-0000-0000B8180000}"/>
    <cellStyle name="Normal 5 2 3 4 4 3 2" xfId="15369" xr:uid="{2C82095D-3B7C-419F-A515-320B6326674E}"/>
    <cellStyle name="Normal 5 2 3 4 4 4" xfId="11152" xr:uid="{74E6AF80-2F65-4DCC-8B2A-F2A672136B46}"/>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02BF4579-2517-41A4-A1D2-F5F10ACC2047}"/>
    <cellStyle name="Normal 5 2 3 4 5 2 3" xfId="13710" xr:uid="{2A014D23-A614-456F-AEE9-C664F3FCD6D9}"/>
    <cellStyle name="Normal 5 2 3 4 5 3" xfId="6456" xr:uid="{00000000-0005-0000-0000-0000BC180000}"/>
    <cellStyle name="Normal 5 2 3 4 5 3 2" xfId="15782" xr:uid="{9212F0AA-EEA1-4B9A-B544-6EF2B6EEADA7}"/>
    <cellStyle name="Normal 5 2 3 4 5 4" xfId="11565" xr:uid="{583E5541-AEA3-48AC-8D95-345B2E59B602}"/>
    <cellStyle name="Normal 5 2 3 4 6" xfId="2586" xr:uid="{00000000-0005-0000-0000-0000BD180000}"/>
    <cellStyle name="Normal 5 2 3 4 6 2" xfId="6869" xr:uid="{00000000-0005-0000-0000-0000BE180000}"/>
    <cellStyle name="Normal 5 2 3 4 6 2 2" xfId="16195" xr:uid="{E7A18E9C-AF62-4EDD-AA87-AB7C5864EB1C}"/>
    <cellStyle name="Normal 5 2 3 4 6 3" xfId="11978" xr:uid="{1977F959-7385-43F9-9FD4-CC5F95538948}"/>
    <cellStyle name="Normal 5 2 3 4 7" xfId="4804" xr:uid="{00000000-0005-0000-0000-0000BF180000}"/>
    <cellStyle name="Normal 5 2 3 4 7 2" xfId="14130" xr:uid="{F11183ED-2CCF-414A-AE3E-2F84BC676B5D}"/>
    <cellStyle name="Normal 5 2 3 4 8" xfId="8983" xr:uid="{07388FCC-03DE-4CE8-89CB-9C92F8174E24}"/>
    <cellStyle name="Normal 5 2 3 4 8 2" xfId="18306" xr:uid="{B44FB812-1DC1-4295-AA19-4F38ED710349}"/>
    <cellStyle name="Normal 5 2 3 4 9" xfId="9913" xr:uid="{3924CE97-2FC0-4AEB-A2F5-0F42A7F4A6D3}"/>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8AB70E22-4942-4B95-A0DA-03CE5DA202E9}"/>
    <cellStyle name="Normal 5 2 3 5 2 3" xfId="12464" xr:uid="{667506C1-1C9D-4E96-838B-128E3426AE3D}"/>
    <cellStyle name="Normal 5 2 3 5 3" xfId="5210" xr:uid="{00000000-0005-0000-0000-0000C3180000}"/>
    <cellStyle name="Normal 5 2 3 5 3 2" xfId="14536" xr:uid="{52197C29-FE3A-445F-952E-348A98466AB7}"/>
    <cellStyle name="Normal 5 2 3 5 4" xfId="9200" xr:uid="{13DE827A-4007-427A-9869-ADBBE6B70993}"/>
    <cellStyle name="Normal 5 2 3 5 4 2" xfId="18514" xr:uid="{3CE86449-3EAA-4CA6-AA55-5D058EA6321F}"/>
    <cellStyle name="Normal 5 2 3 5 5" xfId="10319" xr:uid="{F92791A9-7080-4E46-9C20-9AB0C2156C89}"/>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90DBD5E3-AA18-4C91-8918-85C9BEC880DD}"/>
    <cellStyle name="Normal 5 2 3 6 2 3" xfId="12877" xr:uid="{88AFFE44-D256-471C-88FF-FE499AB3AE89}"/>
    <cellStyle name="Normal 5 2 3 6 3" xfId="5623" xr:uid="{00000000-0005-0000-0000-0000C7180000}"/>
    <cellStyle name="Normal 5 2 3 6 3 2" xfId="14949" xr:uid="{60529847-D524-4217-A913-C83A2E185E01}"/>
    <cellStyle name="Normal 5 2 3 6 4" xfId="10732" xr:uid="{216159B1-03BE-4ABF-98F0-62E7FE834932}"/>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55C93B7F-10EC-45A8-A080-341B72812569}"/>
    <cellStyle name="Normal 5 2 3 7 2 3" xfId="13290" xr:uid="{F30D77B8-79F4-478D-A0D7-BCE604E3451E}"/>
    <cellStyle name="Normal 5 2 3 7 3" xfId="6036" xr:uid="{00000000-0005-0000-0000-0000CB180000}"/>
    <cellStyle name="Normal 5 2 3 7 3 2" xfId="15362" xr:uid="{57843CC1-0ACD-4288-9E86-DEB20CFB4762}"/>
    <cellStyle name="Normal 5 2 3 7 4" xfId="11145" xr:uid="{3FCCCBED-18E1-4D51-8198-ED9945CF4784}"/>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7E7116BB-AD0D-447E-8CDE-7E627E75AE49}"/>
    <cellStyle name="Normal 5 2 3 8 2 3" xfId="13703" xr:uid="{3EAAB6D1-D979-4A7B-9CBE-F3363A260642}"/>
    <cellStyle name="Normal 5 2 3 8 3" xfId="6449" xr:uid="{00000000-0005-0000-0000-0000CF180000}"/>
    <cellStyle name="Normal 5 2 3 8 3 2" xfId="15775" xr:uid="{FF8D6CC0-31C1-486B-871C-D375DF07B384}"/>
    <cellStyle name="Normal 5 2 3 8 4" xfId="11558" xr:uid="{04F076C7-81C7-4E30-9EFD-7E38646F997A}"/>
    <cellStyle name="Normal 5 2 3 9" xfId="2579" xr:uid="{00000000-0005-0000-0000-0000D0180000}"/>
    <cellStyle name="Normal 5 2 3 9 2" xfId="6862" xr:uid="{00000000-0005-0000-0000-0000D1180000}"/>
    <cellStyle name="Normal 5 2 3 9 2 2" xfId="16188" xr:uid="{853B448B-F7E6-4D47-A2ED-AFAD751034F7}"/>
    <cellStyle name="Normal 5 2 3 9 3" xfId="11971" xr:uid="{AEE00ED1-12E6-4C35-8652-3F13723B0E50}"/>
    <cellStyle name="Normal 5 2 4" xfId="432" xr:uid="{00000000-0005-0000-0000-0000D2180000}"/>
    <cellStyle name="Normal 5 2 4 10" xfId="8827" xr:uid="{1EC4F605-F0BA-487E-A3C0-2CBAE7C22D8A}"/>
    <cellStyle name="Normal 5 2 4 10 2" xfId="18150" xr:uid="{0541F9B3-4942-4382-875B-24226839AC88}"/>
    <cellStyle name="Normal 5 2 4 11" xfId="9914" xr:uid="{C984090C-F957-4F34-9D06-3F989AE59DF5}"/>
    <cellStyle name="Normal 5 2 4 2" xfId="433" xr:uid="{00000000-0005-0000-0000-0000D3180000}"/>
    <cellStyle name="Normal 5 2 4 2 10" xfId="9915" xr:uid="{8F8C00A2-5E53-4271-9294-62BEC48F1AB3}"/>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45F4BB7E-605A-431A-8004-5183F44BFBAB}"/>
    <cellStyle name="Normal 5 2 4 2 2 2 2 3" xfId="12474" xr:uid="{C7DAEAD5-794A-4480-9351-10DB77BDB226}"/>
    <cellStyle name="Normal 5 2 4 2 2 2 3" xfId="5220" xr:uid="{00000000-0005-0000-0000-0000D8180000}"/>
    <cellStyle name="Normal 5 2 4 2 2 2 3 2" xfId="14546" xr:uid="{F4A64919-CA80-4DA6-A64B-E27138E5BB5D}"/>
    <cellStyle name="Normal 5 2 4 2 2 2 4" xfId="9562" xr:uid="{5E243FB4-F3B1-4B34-B377-1444454AD19E}"/>
    <cellStyle name="Normal 5 2 4 2 2 2 4 2" xfId="18875" xr:uid="{4D570E7B-74CD-40E4-9FEF-31905B82FCFA}"/>
    <cellStyle name="Normal 5 2 4 2 2 2 5" xfId="10329" xr:uid="{0C886057-6B79-4F17-97CF-B8CDFBC8EF39}"/>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E08F215D-CF5C-4ACF-9BD8-1B5853696921}"/>
    <cellStyle name="Normal 5 2 4 2 2 3 2 3" xfId="12887" xr:uid="{52C16AD2-8C84-4AC3-8C38-26C6B6AB51D9}"/>
    <cellStyle name="Normal 5 2 4 2 2 3 3" xfId="5633" xr:uid="{00000000-0005-0000-0000-0000DC180000}"/>
    <cellStyle name="Normal 5 2 4 2 2 3 3 2" xfId="14959" xr:uid="{4880E441-B700-4975-9C4E-E2F55C7E81BF}"/>
    <cellStyle name="Normal 5 2 4 2 2 3 4" xfId="10742" xr:uid="{3BF0D596-F523-4754-8523-A859BF886772}"/>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7E1A23D1-1BF8-4359-9ECA-5F9CE35C303A}"/>
    <cellStyle name="Normal 5 2 4 2 2 4 2 3" xfId="13300" xr:uid="{19743D45-8DD0-403C-BAE4-41DFCDF75655}"/>
    <cellStyle name="Normal 5 2 4 2 2 4 3" xfId="6046" xr:uid="{00000000-0005-0000-0000-0000E0180000}"/>
    <cellStyle name="Normal 5 2 4 2 2 4 3 2" xfId="15372" xr:uid="{857D9BD7-8AD3-4E82-B4CA-DFC2D9F25500}"/>
    <cellStyle name="Normal 5 2 4 2 2 4 4" xfId="11155" xr:uid="{5B1E4EB0-30B6-4056-B0B2-2797813BD9BD}"/>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202DF041-9CC1-42F9-A27B-C71854E366B0}"/>
    <cellStyle name="Normal 5 2 4 2 2 5 2 3" xfId="13713" xr:uid="{3305A252-90B8-46E4-AA12-F2CECE7D841E}"/>
    <cellStyle name="Normal 5 2 4 2 2 5 3" xfId="6459" xr:uid="{00000000-0005-0000-0000-0000E4180000}"/>
    <cellStyle name="Normal 5 2 4 2 2 5 3 2" xfId="15785" xr:uid="{988D33A4-6017-446D-BA30-B93BB440B2C9}"/>
    <cellStyle name="Normal 5 2 4 2 2 5 4" xfId="11568" xr:uid="{529D2BD6-ADFB-4975-8B50-D5D011CA11CB}"/>
    <cellStyle name="Normal 5 2 4 2 2 6" xfId="2589" xr:uid="{00000000-0005-0000-0000-0000E5180000}"/>
    <cellStyle name="Normal 5 2 4 2 2 6 2" xfId="6872" xr:uid="{00000000-0005-0000-0000-0000E6180000}"/>
    <cellStyle name="Normal 5 2 4 2 2 6 2 2" xfId="16198" xr:uid="{B72D8A8F-18D4-45FC-8F55-F301ECCD60F8}"/>
    <cellStyle name="Normal 5 2 4 2 2 6 3" xfId="11981" xr:uid="{B535C30E-2CB1-4A11-A993-343EFC9B929A}"/>
    <cellStyle name="Normal 5 2 4 2 2 7" xfId="4807" xr:uid="{00000000-0005-0000-0000-0000E7180000}"/>
    <cellStyle name="Normal 5 2 4 2 2 7 2" xfId="14133" xr:uid="{FEAC5F09-4906-4C45-B07D-64C836A66699}"/>
    <cellStyle name="Normal 5 2 4 2 2 8" xfId="9137" xr:uid="{C80E4B27-40CA-4953-ABB8-99E2C575F775}"/>
    <cellStyle name="Normal 5 2 4 2 2 8 2" xfId="18460" xr:uid="{BC443ED0-1722-4383-ABC0-77B656406940}"/>
    <cellStyle name="Normal 5 2 4 2 2 9" xfId="9916" xr:uid="{DF56960E-3BB9-4981-B210-6331BCCCDD5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A01504E3-73B0-41DA-BACA-F3354C3FE9FB}"/>
    <cellStyle name="Normal 5 2 4 2 3 2 3" xfId="12473" xr:uid="{AABC0497-9DF6-471D-B1A8-A2CFBAEC410D}"/>
    <cellStyle name="Normal 5 2 4 2 3 3" xfId="5219" xr:uid="{00000000-0005-0000-0000-0000EB180000}"/>
    <cellStyle name="Normal 5 2 4 2 3 3 2" xfId="14545" xr:uid="{2702E3D1-71CF-4249-A840-665EF93570C7}"/>
    <cellStyle name="Normal 5 2 4 2 3 4" xfId="9355" xr:uid="{9D38A6AA-2F63-4275-9FB8-F86A15F6A4D3}"/>
    <cellStyle name="Normal 5 2 4 2 3 4 2" xfId="18668" xr:uid="{85804EF5-4268-4D2E-9BA8-3EDAAC2F9B70}"/>
    <cellStyle name="Normal 5 2 4 2 3 5" xfId="10328" xr:uid="{C8E49104-6048-49EA-8A27-3257B99196E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0B687EBA-8074-44D7-8916-A01E6D6FCCAE}"/>
    <cellStyle name="Normal 5 2 4 2 4 2 3" xfId="12886" xr:uid="{336764E6-F13A-4F03-88CB-08D36638BB94}"/>
    <cellStyle name="Normal 5 2 4 2 4 3" xfId="5632" xr:uid="{00000000-0005-0000-0000-0000EF180000}"/>
    <cellStyle name="Normal 5 2 4 2 4 3 2" xfId="14958" xr:uid="{0A98CB7F-6575-4300-89B4-93EEEFD7365F}"/>
    <cellStyle name="Normal 5 2 4 2 4 4" xfId="10741" xr:uid="{4C54E7F3-F016-4E2D-B394-5D5691763922}"/>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A3DEEAAB-4A28-48D7-B184-17B0339EF17F}"/>
    <cellStyle name="Normal 5 2 4 2 5 2 3" xfId="13299" xr:uid="{C356148D-6411-4175-85F4-BEBDF25E55FE}"/>
    <cellStyle name="Normal 5 2 4 2 5 3" xfId="6045" xr:uid="{00000000-0005-0000-0000-0000F3180000}"/>
    <cellStyle name="Normal 5 2 4 2 5 3 2" xfId="15371" xr:uid="{E2664B61-9C1F-44BC-8CFC-FB39C6717A27}"/>
    <cellStyle name="Normal 5 2 4 2 5 4" xfId="11154" xr:uid="{49B23F63-995A-4E06-95C3-0FC07BAB144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AAF02722-A63E-4A04-9B12-CE2B2E942D72}"/>
    <cellStyle name="Normal 5 2 4 2 6 2 3" xfId="13712" xr:uid="{656BD491-A04A-45BF-A1D6-A65FB4BEEBED}"/>
    <cellStyle name="Normal 5 2 4 2 6 3" xfId="6458" xr:uid="{00000000-0005-0000-0000-0000F7180000}"/>
    <cellStyle name="Normal 5 2 4 2 6 3 2" xfId="15784" xr:uid="{823E4DD0-74A1-4B16-986C-C3D361851ADC}"/>
    <cellStyle name="Normal 5 2 4 2 6 4" xfId="11567" xr:uid="{5906406D-143F-4204-B7AE-BB27C5CC082B}"/>
    <cellStyle name="Normal 5 2 4 2 7" xfId="2588" xr:uid="{00000000-0005-0000-0000-0000F8180000}"/>
    <cellStyle name="Normal 5 2 4 2 7 2" xfId="6871" xr:uid="{00000000-0005-0000-0000-0000F9180000}"/>
    <cellStyle name="Normal 5 2 4 2 7 2 2" xfId="16197" xr:uid="{63A707AC-487E-4FE7-A691-A07CDED1B85D}"/>
    <cellStyle name="Normal 5 2 4 2 7 3" xfId="11980" xr:uid="{35184F89-CEF0-4CEF-8219-7BD835988624}"/>
    <cellStyle name="Normal 5 2 4 2 8" xfId="4806" xr:uid="{00000000-0005-0000-0000-0000FA180000}"/>
    <cellStyle name="Normal 5 2 4 2 8 2" xfId="14132" xr:uid="{8B0BB5A5-A7A4-474A-B599-882D9028121B}"/>
    <cellStyle name="Normal 5 2 4 2 9" xfId="8930" xr:uid="{66B84ABA-CAF3-4BBE-9026-E7A47CB6006F}"/>
    <cellStyle name="Normal 5 2 4 2 9 2" xfId="18253" xr:uid="{821A5FDD-9F7A-4512-B2B9-F358A0A8E2A3}"/>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D646156D-FFCE-4278-B02F-E98E67099CDD}"/>
    <cellStyle name="Normal 5 2 4 3 2 2 3" xfId="12475" xr:uid="{1D91DE02-5257-4157-B15D-D5316AD4770E}"/>
    <cellStyle name="Normal 5 2 4 3 2 3" xfId="5221" xr:uid="{00000000-0005-0000-0000-0000FF180000}"/>
    <cellStyle name="Normal 5 2 4 3 2 3 2" xfId="14547" xr:uid="{1A714063-CA15-4820-AA34-59417CA1A2BC}"/>
    <cellStyle name="Normal 5 2 4 3 2 4" xfId="9459" xr:uid="{ED2A936E-5624-4B26-A175-3FCE68E1BF5A}"/>
    <cellStyle name="Normal 5 2 4 3 2 4 2" xfId="18772" xr:uid="{90F25EC2-4AF8-461F-8942-557CCFE8C6D0}"/>
    <cellStyle name="Normal 5 2 4 3 2 5" xfId="10330" xr:uid="{C5FCC61A-9D3D-463D-BDA3-A06E0C199701}"/>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57B800F8-4C27-4787-A836-6EE595F1315B}"/>
    <cellStyle name="Normal 5 2 4 3 3 2 3" xfId="12888" xr:uid="{2FD58A8D-1010-46E0-8982-BA4E540824C1}"/>
    <cellStyle name="Normal 5 2 4 3 3 3" xfId="5634" xr:uid="{00000000-0005-0000-0000-000003190000}"/>
    <cellStyle name="Normal 5 2 4 3 3 3 2" xfId="14960" xr:uid="{DC155BF9-2883-4248-8599-1C22E15FCF48}"/>
    <cellStyle name="Normal 5 2 4 3 3 4" xfId="10743" xr:uid="{D9BCC475-F8BA-4274-B19D-34FBF929120A}"/>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5EAAB1BC-6188-4A08-AAF2-8B18F70428EC}"/>
    <cellStyle name="Normal 5 2 4 3 4 2 3" xfId="13301" xr:uid="{CFEF8E3E-4A78-4257-8BD9-F4F3631CE4A0}"/>
    <cellStyle name="Normal 5 2 4 3 4 3" xfId="6047" xr:uid="{00000000-0005-0000-0000-000007190000}"/>
    <cellStyle name="Normal 5 2 4 3 4 3 2" xfId="15373" xr:uid="{3C0EF422-F341-4A08-B1E5-C05D86FFC9F1}"/>
    <cellStyle name="Normal 5 2 4 3 4 4" xfId="11156" xr:uid="{95569A40-0F9B-46DB-9A27-559569DAD61D}"/>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075BD0B0-F4BA-4DBB-978B-42A2D408FDD5}"/>
    <cellStyle name="Normal 5 2 4 3 5 2 3" xfId="13714" xr:uid="{012A9CC3-5AED-4B24-BC51-96A4A38781B4}"/>
    <cellStyle name="Normal 5 2 4 3 5 3" xfId="6460" xr:uid="{00000000-0005-0000-0000-00000B190000}"/>
    <cellStyle name="Normal 5 2 4 3 5 3 2" xfId="15786" xr:uid="{F0BA613D-7BC8-4956-8F5C-BAE77F4DD637}"/>
    <cellStyle name="Normal 5 2 4 3 5 4" xfId="11569" xr:uid="{1DAF2668-FCE4-4B98-949A-0838C38C4920}"/>
    <cellStyle name="Normal 5 2 4 3 6" xfId="2590" xr:uid="{00000000-0005-0000-0000-00000C190000}"/>
    <cellStyle name="Normal 5 2 4 3 6 2" xfId="6873" xr:uid="{00000000-0005-0000-0000-00000D190000}"/>
    <cellStyle name="Normal 5 2 4 3 6 2 2" xfId="16199" xr:uid="{18059B95-F79F-46E3-BE77-678135A36FEA}"/>
    <cellStyle name="Normal 5 2 4 3 6 3" xfId="11982" xr:uid="{866A3972-46BA-4047-9823-108E1B90845D}"/>
    <cellStyle name="Normal 5 2 4 3 7" xfId="4808" xr:uid="{00000000-0005-0000-0000-00000E190000}"/>
    <cellStyle name="Normal 5 2 4 3 7 2" xfId="14134" xr:uid="{C794926B-128F-4E8D-A4CF-9382FDEC0F5C}"/>
    <cellStyle name="Normal 5 2 4 3 8" xfId="9034" xr:uid="{82D3DE5B-E868-4CF9-BA07-6E197DA4FAA5}"/>
    <cellStyle name="Normal 5 2 4 3 8 2" xfId="18357" xr:uid="{BAA39EB8-D65A-497B-BBD0-32B6BEA8C7E1}"/>
    <cellStyle name="Normal 5 2 4 3 9" xfId="9917" xr:uid="{E495586B-8B92-4325-800D-5E7BDD444057}"/>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1CEC6881-B448-48AF-92C5-805FEC449350}"/>
    <cellStyle name="Normal 5 2 4 4 2 3" xfId="12472" xr:uid="{2DE6BE86-9161-4558-AD5D-15504F1849AC}"/>
    <cellStyle name="Normal 5 2 4 4 3" xfId="5218" xr:uid="{00000000-0005-0000-0000-000012190000}"/>
    <cellStyle name="Normal 5 2 4 4 3 2" xfId="14544" xr:uid="{F26AFF81-0BAB-4287-9AFE-D56000846130}"/>
    <cellStyle name="Normal 5 2 4 4 4" xfId="9252" xr:uid="{1D1A8EC4-7286-46A1-B40C-E987F273E760}"/>
    <cellStyle name="Normal 5 2 4 4 4 2" xfId="18565" xr:uid="{82960F5C-B125-4F78-9183-0CA4E8359AE7}"/>
    <cellStyle name="Normal 5 2 4 4 5" xfId="10327" xr:uid="{99008B4E-D351-44B0-BF0C-C4807BD8C5CC}"/>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C17A7D4E-3C57-4113-9304-316A7E936A9B}"/>
    <cellStyle name="Normal 5 2 4 5 2 3" xfId="12885" xr:uid="{67B1CA7F-4894-40D5-9C96-1CC02CD6FF62}"/>
    <cellStyle name="Normal 5 2 4 5 3" xfId="5631" xr:uid="{00000000-0005-0000-0000-000016190000}"/>
    <cellStyle name="Normal 5 2 4 5 3 2" xfId="14957" xr:uid="{CC729537-8077-4FA6-BF26-54EB1A9494AB}"/>
    <cellStyle name="Normal 5 2 4 5 4" xfId="10740" xr:uid="{6D37F85C-0719-46D0-B7F9-771E90DBA150}"/>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0AC175E1-8F3D-45B7-A61C-226386693FC8}"/>
    <cellStyle name="Normal 5 2 4 6 2 3" xfId="13298" xr:uid="{8B548C12-775A-411E-8F08-793D5E6FC7DC}"/>
    <cellStyle name="Normal 5 2 4 6 3" xfId="6044" xr:uid="{00000000-0005-0000-0000-00001A190000}"/>
    <cellStyle name="Normal 5 2 4 6 3 2" xfId="15370" xr:uid="{1FBEF9EC-3F2C-4862-974E-FEE189528712}"/>
    <cellStyle name="Normal 5 2 4 6 4" xfId="11153" xr:uid="{1C44DD20-A329-41B0-9471-034C5C407BFF}"/>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D9F71984-F5B0-4BDC-8910-CAA74656E896}"/>
    <cellStyle name="Normal 5 2 4 7 2 3" xfId="13711" xr:uid="{1ABB5DC2-3C7E-48B1-B705-EE0D780E5C07}"/>
    <cellStyle name="Normal 5 2 4 7 3" xfId="6457" xr:uid="{00000000-0005-0000-0000-00001E190000}"/>
    <cellStyle name="Normal 5 2 4 7 3 2" xfId="15783" xr:uid="{F55318F1-1B48-47DE-BF7D-667DB7FC8067}"/>
    <cellStyle name="Normal 5 2 4 7 4" xfId="11566" xr:uid="{C0B12ECC-3766-425F-BE9C-E3842087320E}"/>
    <cellStyle name="Normal 5 2 4 8" xfId="2587" xr:uid="{00000000-0005-0000-0000-00001F190000}"/>
    <cellStyle name="Normal 5 2 4 8 2" xfId="6870" xr:uid="{00000000-0005-0000-0000-000020190000}"/>
    <cellStyle name="Normal 5 2 4 8 2 2" xfId="16196" xr:uid="{D1457D1B-F0A8-40EA-9488-DA01281F675E}"/>
    <cellStyle name="Normal 5 2 4 8 3" xfId="11979" xr:uid="{7F3FFB15-60C6-4F7F-88A1-9A20735A058B}"/>
    <cellStyle name="Normal 5 2 4 9" xfId="4805" xr:uid="{00000000-0005-0000-0000-000021190000}"/>
    <cellStyle name="Normal 5 2 4 9 2" xfId="14131" xr:uid="{70CB92C5-3098-47FC-AD12-33579AA9C50B}"/>
    <cellStyle name="Normal 5 2 5" xfId="436" xr:uid="{00000000-0005-0000-0000-000022190000}"/>
    <cellStyle name="Normal 5 2 5 10" xfId="9918" xr:uid="{1DD35346-F9A1-4225-9CB7-98EB10917E67}"/>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1539635B-078D-47FE-B327-BABD0E345EFE}"/>
    <cellStyle name="Normal 5 2 5 2 2 2 3" xfId="12477" xr:uid="{CD867080-83F7-4CFA-A5A0-6A606DF8663E}"/>
    <cellStyle name="Normal 5 2 5 2 2 3" xfId="5223" xr:uid="{00000000-0005-0000-0000-000027190000}"/>
    <cellStyle name="Normal 5 2 5 2 2 3 2" xfId="14549" xr:uid="{ACDEC43D-CBC6-4E10-90D5-3C2C8B2DFBF8}"/>
    <cellStyle name="Normal 5 2 5 2 2 4" xfId="9479" xr:uid="{0DDFFFD4-5D62-4038-B6D4-9E9BD7CBA380}"/>
    <cellStyle name="Normal 5 2 5 2 2 4 2" xfId="18792" xr:uid="{DE2FF0B7-E637-467F-97F2-92C09C11C82D}"/>
    <cellStyle name="Normal 5 2 5 2 2 5" xfId="10332" xr:uid="{0F4893E7-5FE5-47A8-A7D9-4760162DB71B}"/>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A759215B-2B6F-4756-A6C6-0D3DC96D8F3D}"/>
    <cellStyle name="Normal 5 2 5 2 3 2 3" xfId="12890" xr:uid="{6503CEC2-CA01-481F-BB83-D99F701D4ED1}"/>
    <cellStyle name="Normal 5 2 5 2 3 3" xfId="5636" xr:uid="{00000000-0005-0000-0000-00002B190000}"/>
    <cellStyle name="Normal 5 2 5 2 3 3 2" xfId="14962" xr:uid="{C458DEF0-D39F-43F0-94F2-B4E3723F5548}"/>
    <cellStyle name="Normal 5 2 5 2 3 4" xfId="10745" xr:uid="{8227B110-F15D-4828-922D-B538EBE00358}"/>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22B474BB-7095-4986-96EA-5CCDD31B6236}"/>
    <cellStyle name="Normal 5 2 5 2 4 2 3" xfId="13303" xr:uid="{9B0315A6-C654-4CD0-8A6C-357118668131}"/>
    <cellStyle name="Normal 5 2 5 2 4 3" xfId="6049" xr:uid="{00000000-0005-0000-0000-00002F190000}"/>
    <cellStyle name="Normal 5 2 5 2 4 3 2" xfId="15375" xr:uid="{9D5CA034-BB01-47F6-9C4D-3F8D68E4BC83}"/>
    <cellStyle name="Normal 5 2 5 2 4 4" xfId="11158" xr:uid="{C14A9D38-DCCD-41E3-8A78-791B9FB22E5C}"/>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9E5FE436-CD99-4099-8ED7-F443897BC67A}"/>
    <cellStyle name="Normal 5 2 5 2 5 2 3" xfId="13716" xr:uid="{96FCDB21-EB09-4987-9A68-DAE1080DC53C}"/>
    <cellStyle name="Normal 5 2 5 2 5 3" xfId="6462" xr:uid="{00000000-0005-0000-0000-000033190000}"/>
    <cellStyle name="Normal 5 2 5 2 5 3 2" xfId="15788" xr:uid="{84FF3856-71D3-4AB2-956F-EB1BA70C9546}"/>
    <cellStyle name="Normal 5 2 5 2 5 4" xfId="11571" xr:uid="{89A7552C-AFDC-4CC7-AC8B-8ACFFE7213D2}"/>
    <cellStyle name="Normal 5 2 5 2 6" xfId="2592" xr:uid="{00000000-0005-0000-0000-000034190000}"/>
    <cellStyle name="Normal 5 2 5 2 6 2" xfId="6875" xr:uid="{00000000-0005-0000-0000-000035190000}"/>
    <cellStyle name="Normal 5 2 5 2 6 2 2" xfId="16201" xr:uid="{B09B22DA-12C5-48A2-941E-6F72160B1237}"/>
    <cellStyle name="Normal 5 2 5 2 6 3" xfId="11984" xr:uid="{B7979E91-C2CD-49B1-A453-E1BB363B29DF}"/>
    <cellStyle name="Normal 5 2 5 2 7" xfId="4810" xr:uid="{00000000-0005-0000-0000-000036190000}"/>
    <cellStyle name="Normal 5 2 5 2 7 2" xfId="14136" xr:uid="{8A6DF2C5-3C23-42DE-8C89-2BCC3BC02BD4}"/>
    <cellStyle name="Normal 5 2 5 2 8" xfId="9054" xr:uid="{844F6476-DDB9-4C38-A2B2-83AB0DCF1773}"/>
    <cellStyle name="Normal 5 2 5 2 8 2" xfId="18377" xr:uid="{30D15D6F-2901-4C57-9BDC-947750BAD8D9}"/>
    <cellStyle name="Normal 5 2 5 2 9" xfId="9919" xr:uid="{59982AB3-EF3E-4CC4-B06C-7EBCD08224C4}"/>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9FCE89B1-87BB-4E91-96EF-6B73C72BEF59}"/>
    <cellStyle name="Normal 5 2 5 3 2 3" xfId="12476" xr:uid="{5DFFAEAD-D6DD-4FDB-B267-51DBBE9F422D}"/>
    <cellStyle name="Normal 5 2 5 3 3" xfId="5222" xr:uid="{00000000-0005-0000-0000-00003A190000}"/>
    <cellStyle name="Normal 5 2 5 3 3 2" xfId="14548" xr:uid="{4597B175-CCA5-46DB-9B46-8020DEFC86DB}"/>
    <cellStyle name="Normal 5 2 5 3 4" xfId="9272" xr:uid="{8865498C-CC61-4C5F-A1F4-57A1D301E1CE}"/>
    <cellStyle name="Normal 5 2 5 3 4 2" xfId="18585" xr:uid="{A9558319-8E6E-4370-A6B4-BE9514CF0BE1}"/>
    <cellStyle name="Normal 5 2 5 3 5" xfId="10331" xr:uid="{105C60E9-B5A6-48B8-8695-74EDA708A018}"/>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D97DE398-C10E-4672-9A66-10212AA6A82B}"/>
    <cellStyle name="Normal 5 2 5 4 2 3" xfId="12889" xr:uid="{E7F2B1CF-7CF6-4BD5-B77F-57BF8B239B6C}"/>
    <cellStyle name="Normal 5 2 5 4 3" xfId="5635" xr:uid="{00000000-0005-0000-0000-00003E190000}"/>
    <cellStyle name="Normal 5 2 5 4 3 2" xfId="14961" xr:uid="{214722A7-1D8B-411C-BF2C-2DB6AD1A3170}"/>
    <cellStyle name="Normal 5 2 5 4 4" xfId="10744" xr:uid="{CA620773-04D3-42B2-A05F-56A234A33607}"/>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855BE180-BBE2-492C-9C6E-8BEEC07F3ED3}"/>
    <cellStyle name="Normal 5 2 5 5 2 3" xfId="13302" xr:uid="{47992409-7A1A-4B9A-BD90-1CD2B9E57A9E}"/>
    <cellStyle name="Normal 5 2 5 5 3" xfId="6048" xr:uid="{00000000-0005-0000-0000-000042190000}"/>
    <cellStyle name="Normal 5 2 5 5 3 2" xfId="15374" xr:uid="{981F9AE9-7BCA-433A-A42A-498D8A0D2EC2}"/>
    <cellStyle name="Normal 5 2 5 5 4" xfId="11157" xr:uid="{F195E8CC-9A3F-4575-9840-C8E63EE6FF4F}"/>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32B23B41-A818-4D99-AEB4-AE5E2CCE4FA5}"/>
    <cellStyle name="Normal 5 2 5 6 2 3" xfId="13715" xr:uid="{7870D3AC-4CA0-4D59-8853-2538E8D28508}"/>
    <cellStyle name="Normal 5 2 5 6 3" xfId="6461" xr:uid="{00000000-0005-0000-0000-000046190000}"/>
    <cellStyle name="Normal 5 2 5 6 3 2" xfId="15787" xr:uid="{8B169FA0-1179-408F-AB8F-480A1A458840}"/>
    <cellStyle name="Normal 5 2 5 6 4" xfId="11570" xr:uid="{0EE6C8EE-01E4-4084-9454-6CF2DABB0369}"/>
    <cellStyle name="Normal 5 2 5 7" xfId="2591" xr:uid="{00000000-0005-0000-0000-000047190000}"/>
    <cellStyle name="Normal 5 2 5 7 2" xfId="6874" xr:uid="{00000000-0005-0000-0000-000048190000}"/>
    <cellStyle name="Normal 5 2 5 7 2 2" xfId="16200" xr:uid="{D6338D72-CD35-4CB7-A2CC-4A16A7DFB967}"/>
    <cellStyle name="Normal 5 2 5 7 3" xfId="11983" xr:uid="{093BB652-8EE5-47B7-ABAC-16AB642E66DB}"/>
    <cellStyle name="Normal 5 2 5 8" xfId="4809" xr:uid="{00000000-0005-0000-0000-000049190000}"/>
    <cellStyle name="Normal 5 2 5 8 2" xfId="14135" xr:uid="{C67BA91E-E21C-42E6-83B3-12E9462A84D4}"/>
    <cellStyle name="Normal 5 2 5 9" xfId="8847" xr:uid="{504334B5-BB84-4906-81A5-68746D711AC3}"/>
    <cellStyle name="Normal 5 2 5 9 2" xfId="18170" xr:uid="{264A5B2D-CC15-4B7B-8A7F-A4A5C89C4D69}"/>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18DE3E53-8230-4891-9474-D5E5AA47874B}"/>
    <cellStyle name="Normal 5 2 6 2 2 3" xfId="12478" xr:uid="{9D28B5C3-D720-43C4-8C05-26F55BFDBF23}"/>
    <cellStyle name="Normal 5 2 6 2 3" xfId="5224" xr:uid="{00000000-0005-0000-0000-00004E190000}"/>
    <cellStyle name="Normal 5 2 6 2 3 2" xfId="14550" xr:uid="{69414F4C-EF96-4C75-BF50-9E406D1DECDB}"/>
    <cellStyle name="Normal 5 2 6 2 4" xfId="9388" xr:uid="{38BE55A5-085B-499D-8766-DF826B77D03C}"/>
    <cellStyle name="Normal 5 2 6 2 4 2" xfId="18701" xr:uid="{899D4DA6-0099-49EF-8BD1-AA3C904E5DEE}"/>
    <cellStyle name="Normal 5 2 6 2 5" xfId="10333" xr:uid="{15E07763-4B74-400D-BDCD-3D445E4C362D}"/>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D06A27E6-341B-4451-A2EE-A46D7D739D2E}"/>
    <cellStyle name="Normal 5 2 6 3 2 3" xfId="12891" xr:uid="{2796DA80-F665-4A38-99A2-A0E649369370}"/>
    <cellStyle name="Normal 5 2 6 3 3" xfId="5637" xr:uid="{00000000-0005-0000-0000-000052190000}"/>
    <cellStyle name="Normal 5 2 6 3 3 2" xfId="14963" xr:uid="{541B473F-DBCF-4E37-8A43-3796E2D381DC}"/>
    <cellStyle name="Normal 5 2 6 3 4" xfId="10746" xr:uid="{1ED51B6C-930B-405B-B67D-51FD741210A5}"/>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C85C6696-D552-4360-9A2B-4AF27BB712E2}"/>
    <cellStyle name="Normal 5 2 6 4 2 3" xfId="13304" xr:uid="{9CB6FA46-2307-40D5-AD57-5F67C7946956}"/>
    <cellStyle name="Normal 5 2 6 4 3" xfId="6050" xr:uid="{00000000-0005-0000-0000-000056190000}"/>
    <cellStyle name="Normal 5 2 6 4 3 2" xfId="15376" xr:uid="{2C21D914-726A-4841-915C-3898662F527C}"/>
    <cellStyle name="Normal 5 2 6 4 4" xfId="11159" xr:uid="{8C154539-261C-4F57-A071-39C6BF9F29DF}"/>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C1025E54-5E9D-45DF-AD56-FA5FDDC46A30}"/>
    <cellStyle name="Normal 5 2 6 5 2 3" xfId="13717" xr:uid="{C98363AF-0C85-41D5-AE93-638B6C7C6756}"/>
    <cellStyle name="Normal 5 2 6 5 3" xfId="6463" xr:uid="{00000000-0005-0000-0000-00005A190000}"/>
    <cellStyle name="Normal 5 2 6 5 3 2" xfId="15789" xr:uid="{BC31C198-748E-4034-8B55-21CE2EFBF3CD}"/>
    <cellStyle name="Normal 5 2 6 5 4" xfId="11572" xr:uid="{B8085837-C7B1-46A6-850D-0D15DBFA364D}"/>
    <cellStyle name="Normal 5 2 6 6" xfId="2593" xr:uid="{00000000-0005-0000-0000-00005B190000}"/>
    <cellStyle name="Normal 5 2 6 6 2" xfId="6876" xr:uid="{00000000-0005-0000-0000-00005C190000}"/>
    <cellStyle name="Normal 5 2 6 6 2 2" xfId="16202" xr:uid="{F582BC38-9782-44E1-9F19-B00EB50ACAB3}"/>
    <cellStyle name="Normal 5 2 6 6 3" xfId="11985" xr:uid="{2CEF1E28-D469-4E3C-9682-64CD26E31173}"/>
    <cellStyle name="Normal 5 2 6 7" xfId="4811" xr:uid="{00000000-0005-0000-0000-00005D190000}"/>
    <cellStyle name="Normal 5 2 6 7 2" xfId="14137" xr:uid="{D05D3472-2BA9-47C6-9C02-93D6581DBDD6}"/>
    <cellStyle name="Normal 5 2 6 8" xfId="8963" xr:uid="{01BDB756-0B70-4C0D-AC32-9959EE0C8F11}"/>
    <cellStyle name="Normal 5 2 6 8 2" xfId="18286" xr:uid="{C818FFC0-A1CC-4EC1-84B8-9AA53656415C}"/>
    <cellStyle name="Normal 5 2 6 9" xfId="9920" xr:uid="{B8281C99-BBC3-4B19-9869-C4A672AA3054}"/>
    <cellStyle name="Normal 5 2 7" xfId="881" xr:uid="{00000000-0005-0000-0000-00005E190000}"/>
    <cellStyle name="Normal 5 2 7 2" xfId="3116" xr:uid="{00000000-0005-0000-0000-00005F190000}"/>
    <cellStyle name="Normal 5 2 7 2 2" xfId="7338" xr:uid="{00000000-0005-0000-0000-000060190000}"/>
    <cellStyle name="Normal 5 2 7 2 2 2" xfId="16664" xr:uid="{C882FD71-CDED-43A1-9BA0-F2A6A156BBB4}"/>
    <cellStyle name="Normal 5 2 7 2 3" xfId="12447" xr:uid="{7F8989AF-7847-44DA-AAC8-C94F55AFFEF8}"/>
    <cellStyle name="Normal 5 2 7 3" xfId="5193" xr:uid="{00000000-0005-0000-0000-000061190000}"/>
    <cellStyle name="Normal 5 2 7 3 2" xfId="14519" xr:uid="{968B3DE1-0781-4626-90D2-67B576B994DE}"/>
    <cellStyle name="Normal 5 2 7 4" xfId="9166" xr:uid="{903BB692-5043-4803-B109-F7C532EB2A09}"/>
    <cellStyle name="Normal 5 2 7 4 2" xfId="18482" xr:uid="{A7B47B4C-BA27-43E4-8A50-69940B576CF3}"/>
    <cellStyle name="Normal 5 2 7 5" xfId="10302" xr:uid="{27DE9B64-EF2D-4B8F-8FD9-DBE06650F079}"/>
    <cellStyle name="Normal 5 2 8" xfId="1299" xr:uid="{00000000-0005-0000-0000-000062190000}"/>
    <cellStyle name="Normal 5 2 8 2" xfId="3529" xr:uid="{00000000-0005-0000-0000-000063190000}"/>
    <cellStyle name="Normal 5 2 8 2 2" xfId="7751" xr:uid="{00000000-0005-0000-0000-000064190000}"/>
    <cellStyle name="Normal 5 2 8 2 2 2" xfId="17077" xr:uid="{A4260FA1-70DE-4128-8229-62BC2A2870F8}"/>
    <cellStyle name="Normal 5 2 8 2 3" xfId="12860" xr:uid="{AC7C6F8C-65DC-4548-876C-E44B04B785C3}"/>
    <cellStyle name="Normal 5 2 8 3" xfId="5606" xr:uid="{00000000-0005-0000-0000-000065190000}"/>
    <cellStyle name="Normal 5 2 8 3 2" xfId="14932" xr:uid="{FB589C6D-A4D2-466F-A2D4-20C300CA1054}"/>
    <cellStyle name="Normal 5 2 8 4" xfId="10715" xr:uid="{AAE35E06-3ECE-4239-9EE3-B2752B62053B}"/>
    <cellStyle name="Normal 5 2 9" xfId="1712" xr:uid="{00000000-0005-0000-0000-000066190000}"/>
    <cellStyle name="Normal 5 2 9 2" xfId="3942" xr:uid="{00000000-0005-0000-0000-000067190000}"/>
    <cellStyle name="Normal 5 2 9 2 2" xfId="8164" xr:uid="{00000000-0005-0000-0000-000068190000}"/>
    <cellStyle name="Normal 5 2 9 2 2 2" xfId="17490" xr:uid="{8C96280B-17F5-4635-8A05-964A6C665096}"/>
    <cellStyle name="Normal 5 2 9 2 3" xfId="13273" xr:uid="{DE8D1F53-B100-4014-9EE3-F843D5C3AD6E}"/>
    <cellStyle name="Normal 5 2 9 3" xfId="6019" xr:uid="{00000000-0005-0000-0000-000069190000}"/>
    <cellStyle name="Normal 5 2 9 3 2" xfId="15345" xr:uid="{E748D258-EA7D-4F4D-8402-029EF4D93CD0}"/>
    <cellStyle name="Normal 5 2 9 4" xfId="11128" xr:uid="{27307168-0AF7-4106-A116-098D562652B2}"/>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34E5D236-1648-4294-A71F-6EE81E9C701C}"/>
    <cellStyle name="Normal 5 3 10 2 3" xfId="13718" xr:uid="{2CF5A761-C787-4960-9C54-75409CE81AF2}"/>
    <cellStyle name="Normal 5 3 10 3" xfId="6464" xr:uid="{00000000-0005-0000-0000-00006E190000}"/>
    <cellStyle name="Normal 5 3 10 3 2" xfId="15790" xr:uid="{DEDB9F04-0B37-46B5-A3E6-C978C270AB20}"/>
    <cellStyle name="Normal 5 3 10 4" xfId="11573" xr:uid="{F242FB2D-025B-4C1B-B726-9B29CA57D7EF}"/>
    <cellStyle name="Normal 5 3 11" xfId="2594" xr:uid="{00000000-0005-0000-0000-00006F190000}"/>
    <cellStyle name="Normal 5 3 11 2" xfId="6877" xr:uid="{00000000-0005-0000-0000-000070190000}"/>
    <cellStyle name="Normal 5 3 11 2 2" xfId="16203" xr:uid="{928D2F7C-6F22-423E-9FEB-3C86E49CA073}"/>
    <cellStyle name="Normal 5 3 11 3" xfId="11986" xr:uid="{03B87079-13A6-4448-86B9-07A384C576B4}"/>
    <cellStyle name="Normal 5 3 12" xfId="4812" xr:uid="{00000000-0005-0000-0000-000071190000}"/>
    <cellStyle name="Normal 5 3 12 2" xfId="14138" xr:uid="{D9BEB9B9-C94E-4C9E-8E2B-2DA0363AC8AD}"/>
    <cellStyle name="Normal 5 3 13" xfId="8750" xr:uid="{36957AEF-D081-4A23-AEE3-073A5901863C}"/>
    <cellStyle name="Normal 5 3 13 2" xfId="18073" xr:uid="{34AE595B-C25E-4D98-8C44-5F077F54F5C1}"/>
    <cellStyle name="Normal 5 3 14" xfId="9921" xr:uid="{68637001-7F7A-4199-BB27-DA773B3B9A33}"/>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DB46C0AC-998A-4781-98B0-A795BBA6AD28}"/>
    <cellStyle name="Normal 5 3 3 11" xfId="8782" xr:uid="{4219AD28-469A-4693-BD0B-B0536AC433E5}"/>
    <cellStyle name="Normal 5 3 3 11 2" xfId="18105" xr:uid="{9CE84BC9-289C-4B22-828F-393239EBAE1C}"/>
    <cellStyle name="Normal 5 3 3 12" xfId="9922" xr:uid="{CC723299-964D-4A57-8DDF-F1E78FA64073}"/>
    <cellStyle name="Normal 5 3 3 2" xfId="442" xr:uid="{00000000-0005-0000-0000-000076190000}"/>
    <cellStyle name="Normal 5 3 3 2 10" xfId="8832" xr:uid="{03323DDB-E4E1-4078-8BBE-EA3DD4471E1B}"/>
    <cellStyle name="Normal 5 3 3 2 10 2" xfId="18155" xr:uid="{DC6D52E8-BAA2-4E8B-8BFA-76574B94B804}"/>
    <cellStyle name="Normal 5 3 3 2 11" xfId="9923" xr:uid="{B9F668A9-0C1F-476B-AEF0-B462156A61F1}"/>
    <cellStyle name="Normal 5 3 3 2 2" xfId="443" xr:uid="{00000000-0005-0000-0000-000077190000}"/>
    <cellStyle name="Normal 5 3 3 2 2 10" xfId="9924" xr:uid="{3487A379-6DC3-4CD8-9809-5331D05D8232}"/>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53FF8579-9458-45AC-9823-4F2DE46C6E33}"/>
    <cellStyle name="Normal 5 3 3 2 2 2 2 2 3" xfId="12483" xr:uid="{102F8523-732D-4525-BC17-BD4D6689FE0C}"/>
    <cellStyle name="Normal 5 3 3 2 2 2 2 3" xfId="5229" xr:uid="{00000000-0005-0000-0000-00007C190000}"/>
    <cellStyle name="Normal 5 3 3 2 2 2 2 3 2" xfId="14555" xr:uid="{18D18C15-AECB-429F-82FC-052B2DDC021B}"/>
    <cellStyle name="Normal 5 3 3 2 2 2 2 4" xfId="9567" xr:uid="{C2519486-6BC5-47D1-879F-EC6040BC9E9D}"/>
    <cellStyle name="Normal 5 3 3 2 2 2 2 4 2" xfId="18880" xr:uid="{E15ABAFB-4209-4DE4-B2F9-7CA1F0FDC0B5}"/>
    <cellStyle name="Normal 5 3 3 2 2 2 2 5" xfId="10338" xr:uid="{5A73DF1D-884A-4B9B-A476-5962C5D18A35}"/>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A57375AF-FF44-44EB-B110-4A425381B8E2}"/>
    <cellStyle name="Normal 5 3 3 2 2 2 3 2 3" xfId="12896" xr:uid="{F405E514-E9F3-4CFF-AEC5-7ABE438748F3}"/>
    <cellStyle name="Normal 5 3 3 2 2 2 3 3" xfId="5642" xr:uid="{00000000-0005-0000-0000-000080190000}"/>
    <cellStyle name="Normal 5 3 3 2 2 2 3 3 2" xfId="14968" xr:uid="{C7B80695-128C-47D9-A26A-D3A1DF53D33A}"/>
    <cellStyle name="Normal 5 3 3 2 2 2 3 4" xfId="10751" xr:uid="{0E93CC40-41AB-48D2-ACCD-5E0D42A38864}"/>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EA408BCD-DC6C-41BC-B9F4-C91A05A18896}"/>
    <cellStyle name="Normal 5 3 3 2 2 2 4 2 3" xfId="13309" xr:uid="{4F1D25EC-C28E-4687-8844-FE2C6514B52F}"/>
    <cellStyle name="Normal 5 3 3 2 2 2 4 3" xfId="6055" xr:uid="{00000000-0005-0000-0000-000084190000}"/>
    <cellStyle name="Normal 5 3 3 2 2 2 4 3 2" xfId="15381" xr:uid="{9C8E5363-79C5-40A4-8F2B-4A4F02AE62A8}"/>
    <cellStyle name="Normal 5 3 3 2 2 2 4 4" xfId="11164" xr:uid="{B979F152-6A07-44BF-AD98-230224502A1C}"/>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9ADC5CE0-BE9F-4E9A-9AD1-A0065D6F49BD}"/>
    <cellStyle name="Normal 5 3 3 2 2 2 5 2 3" xfId="13722" xr:uid="{989BF779-E37A-4F8B-BF32-CD445FBA05BA}"/>
    <cellStyle name="Normal 5 3 3 2 2 2 5 3" xfId="6468" xr:uid="{00000000-0005-0000-0000-000088190000}"/>
    <cellStyle name="Normal 5 3 3 2 2 2 5 3 2" xfId="15794" xr:uid="{4DFB2ED8-9977-43A8-8F86-88B598ADB404}"/>
    <cellStyle name="Normal 5 3 3 2 2 2 5 4" xfId="11577" xr:uid="{B49F0FC1-006E-4D84-ACB6-5CC3B2185378}"/>
    <cellStyle name="Normal 5 3 3 2 2 2 6" xfId="2598" xr:uid="{00000000-0005-0000-0000-000089190000}"/>
    <cellStyle name="Normal 5 3 3 2 2 2 6 2" xfId="6881" xr:uid="{00000000-0005-0000-0000-00008A190000}"/>
    <cellStyle name="Normal 5 3 3 2 2 2 6 2 2" xfId="16207" xr:uid="{2B914C06-2DE3-4A10-8C9D-7EFCFC286F19}"/>
    <cellStyle name="Normal 5 3 3 2 2 2 6 3" xfId="11990" xr:uid="{9BDC9403-3D04-482F-A1C9-3D2AAB248BF0}"/>
    <cellStyle name="Normal 5 3 3 2 2 2 7" xfId="4816" xr:uid="{00000000-0005-0000-0000-00008B190000}"/>
    <cellStyle name="Normal 5 3 3 2 2 2 7 2" xfId="14142" xr:uid="{666B6DA6-8FD4-40AB-8B97-1A05DE2E33B4}"/>
    <cellStyle name="Normal 5 3 3 2 2 2 8" xfId="9142" xr:uid="{81CF9711-3A0B-4712-8E8F-033C974AA9E3}"/>
    <cellStyle name="Normal 5 3 3 2 2 2 8 2" xfId="18465" xr:uid="{6BCA9C60-EB94-41D1-84F5-D96E797286A9}"/>
    <cellStyle name="Normal 5 3 3 2 2 2 9" xfId="9925" xr:uid="{31310567-1740-4319-901E-3CE59586C23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9AC6D358-E189-48B2-93D4-448FE81BE0E6}"/>
    <cellStyle name="Normal 5 3 3 2 2 3 2 3" xfId="12482" xr:uid="{7874E6CF-851E-4360-A35A-A012078040D8}"/>
    <cellStyle name="Normal 5 3 3 2 2 3 3" xfId="5228" xr:uid="{00000000-0005-0000-0000-00008F190000}"/>
    <cellStyle name="Normal 5 3 3 2 2 3 3 2" xfId="14554" xr:uid="{7145EF88-D457-48F2-833C-57B295E7D7C0}"/>
    <cellStyle name="Normal 5 3 3 2 2 3 4" xfId="9360" xr:uid="{07447062-3C9B-4A41-BE9D-50DE495FF588}"/>
    <cellStyle name="Normal 5 3 3 2 2 3 4 2" xfId="18673" xr:uid="{B6FF2F61-4525-43D7-A75E-6C5E767B0F03}"/>
    <cellStyle name="Normal 5 3 3 2 2 3 5" xfId="10337" xr:uid="{60269308-DC09-484C-AFD8-269D4297CF1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A8543FB5-44BB-4218-935C-68BA2A5CBF1B}"/>
    <cellStyle name="Normal 5 3 3 2 2 4 2 3" xfId="12895" xr:uid="{4E4AEF33-AE39-4C5D-B668-C2CAB97F1B64}"/>
    <cellStyle name="Normal 5 3 3 2 2 4 3" xfId="5641" xr:uid="{00000000-0005-0000-0000-000093190000}"/>
    <cellStyle name="Normal 5 3 3 2 2 4 3 2" xfId="14967" xr:uid="{7EB0F4CE-C86A-4F4C-A876-7AEDA9CDBB94}"/>
    <cellStyle name="Normal 5 3 3 2 2 4 4" xfId="10750" xr:uid="{D03195CE-E34B-4227-95D3-54E27134871E}"/>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6DDE571F-0752-4252-825F-E0A87C542ED6}"/>
    <cellStyle name="Normal 5 3 3 2 2 5 2 3" xfId="13308" xr:uid="{1543E92B-CADD-44DB-9252-E95EE964322F}"/>
    <cellStyle name="Normal 5 3 3 2 2 5 3" xfId="6054" xr:uid="{00000000-0005-0000-0000-000097190000}"/>
    <cellStyle name="Normal 5 3 3 2 2 5 3 2" xfId="15380" xr:uid="{8C16F630-BBFC-4D5A-9452-479DF3FA0298}"/>
    <cellStyle name="Normal 5 3 3 2 2 5 4" xfId="11163" xr:uid="{DEC4F2C2-DFF2-4600-9148-CF87B7D959FA}"/>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FF71B6F1-9F38-4DC1-98A4-5AB9F08E144C}"/>
    <cellStyle name="Normal 5 3 3 2 2 6 2 3" xfId="13721" xr:uid="{1D4DC0C0-27F4-4DE0-A518-304CB91DB9D1}"/>
    <cellStyle name="Normal 5 3 3 2 2 6 3" xfId="6467" xr:uid="{00000000-0005-0000-0000-00009B190000}"/>
    <cellStyle name="Normal 5 3 3 2 2 6 3 2" xfId="15793" xr:uid="{3700C034-0AAF-4293-937E-F27106F2B431}"/>
    <cellStyle name="Normal 5 3 3 2 2 6 4" xfId="11576" xr:uid="{346406C7-9EB3-4C04-A16A-619D98929C31}"/>
    <cellStyle name="Normal 5 3 3 2 2 7" xfId="2597" xr:uid="{00000000-0005-0000-0000-00009C190000}"/>
    <cellStyle name="Normal 5 3 3 2 2 7 2" xfId="6880" xr:uid="{00000000-0005-0000-0000-00009D190000}"/>
    <cellStyle name="Normal 5 3 3 2 2 7 2 2" xfId="16206" xr:uid="{59F87BFC-9E11-4120-B895-3BFF93BCB9F2}"/>
    <cellStyle name="Normal 5 3 3 2 2 7 3" xfId="11989" xr:uid="{2496EB32-EDCF-49F0-A69B-0ABC68B2F6A5}"/>
    <cellStyle name="Normal 5 3 3 2 2 8" xfId="4815" xr:uid="{00000000-0005-0000-0000-00009E190000}"/>
    <cellStyle name="Normal 5 3 3 2 2 8 2" xfId="14141" xr:uid="{BB348468-2406-4EDA-B660-D45CCD1212C6}"/>
    <cellStyle name="Normal 5 3 3 2 2 9" xfId="8935" xr:uid="{94B8766B-0DD5-4CC7-9403-D37FC711344B}"/>
    <cellStyle name="Normal 5 3 3 2 2 9 2" xfId="18258" xr:uid="{04EE76C9-835B-4A29-9A07-36448133470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C6BEB537-4ED1-4704-897B-EAECB85B4C64}"/>
    <cellStyle name="Normal 5 3 3 2 3 2 2 3" xfId="12484" xr:uid="{37D7A0CD-AD52-46BE-BC5F-105C46E45C37}"/>
    <cellStyle name="Normal 5 3 3 2 3 2 3" xfId="5230" xr:uid="{00000000-0005-0000-0000-0000A3190000}"/>
    <cellStyle name="Normal 5 3 3 2 3 2 3 2" xfId="14556" xr:uid="{E5B9C97E-1C82-4CA5-A10C-DAA703F2E9EB}"/>
    <cellStyle name="Normal 5 3 3 2 3 2 4" xfId="9464" xr:uid="{6A182EEF-0879-47AD-839A-17D560B4AF3D}"/>
    <cellStyle name="Normal 5 3 3 2 3 2 4 2" xfId="18777" xr:uid="{3CB2A36A-2BBE-4F81-8A50-EACE48BF3E5D}"/>
    <cellStyle name="Normal 5 3 3 2 3 2 5" xfId="10339" xr:uid="{EF36DFB9-6BDD-4DA3-BEC6-4D203F4330DA}"/>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6E258359-9481-44B8-AF14-280041CDD8C6}"/>
    <cellStyle name="Normal 5 3 3 2 3 3 2 3" xfId="12897" xr:uid="{2E016CFF-62F4-424F-8F27-26D069F2F45C}"/>
    <cellStyle name="Normal 5 3 3 2 3 3 3" xfId="5643" xr:uid="{00000000-0005-0000-0000-0000A7190000}"/>
    <cellStyle name="Normal 5 3 3 2 3 3 3 2" xfId="14969" xr:uid="{D43E36E2-D761-4E25-89BB-0B766E0009E7}"/>
    <cellStyle name="Normal 5 3 3 2 3 3 4" xfId="10752" xr:uid="{CED78206-8202-40B4-8217-022D8112982B}"/>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F41CDD22-72C4-4CC9-BFF5-1D36DD6B8924}"/>
    <cellStyle name="Normal 5 3 3 2 3 4 2 3" xfId="13310" xr:uid="{232D8C57-12F3-496C-AAFE-4421D0C68E41}"/>
    <cellStyle name="Normal 5 3 3 2 3 4 3" xfId="6056" xr:uid="{00000000-0005-0000-0000-0000AB190000}"/>
    <cellStyle name="Normal 5 3 3 2 3 4 3 2" xfId="15382" xr:uid="{1EF0D726-BAFD-4651-A0F5-B568F3E7FD55}"/>
    <cellStyle name="Normal 5 3 3 2 3 4 4" xfId="11165" xr:uid="{3E436E04-B8A0-401C-A349-0A493DE16318}"/>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C2B248E7-B293-4A4D-9CBE-EFA832B80742}"/>
    <cellStyle name="Normal 5 3 3 2 3 5 2 3" xfId="13723" xr:uid="{4313EA74-6E57-42BD-8366-83358248D1DD}"/>
    <cellStyle name="Normal 5 3 3 2 3 5 3" xfId="6469" xr:uid="{00000000-0005-0000-0000-0000AF190000}"/>
    <cellStyle name="Normal 5 3 3 2 3 5 3 2" xfId="15795" xr:uid="{9CC33F58-184E-401F-8EA5-D243D8387222}"/>
    <cellStyle name="Normal 5 3 3 2 3 5 4" xfId="11578" xr:uid="{A47BB977-7087-466F-A73D-BF4A7332D943}"/>
    <cellStyle name="Normal 5 3 3 2 3 6" xfId="2599" xr:uid="{00000000-0005-0000-0000-0000B0190000}"/>
    <cellStyle name="Normal 5 3 3 2 3 6 2" xfId="6882" xr:uid="{00000000-0005-0000-0000-0000B1190000}"/>
    <cellStyle name="Normal 5 3 3 2 3 6 2 2" xfId="16208" xr:uid="{126A0016-A11A-49F0-8042-CE523B81C6C0}"/>
    <cellStyle name="Normal 5 3 3 2 3 6 3" xfId="11991" xr:uid="{B846E355-44A5-4848-8304-556FF5ACAFF9}"/>
    <cellStyle name="Normal 5 3 3 2 3 7" xfId="4817" xr:uid="{00000000-0005-0000-0000-0000B2190000}"/>
    <cellStyle name="Normal 5 3 3 2 3 7 2" xfId="14143" xr:uid="{961DC729-760E-4E43-B667-A8667AC054DD}"/>
    <cellStyle name="Normal 5 3 3 2 3 8" xfId="9039" xr:uid="{84D80CE6-A0CA-4841-8673-26EA7EC6806D}"/>
    <cellStyle name="Normal 5 3 3 2 3 8 2" xfId="18362" xr:uid="{B1DF6011-2456-4145-93F9-89FC87661B33}"/>
    <cellStyle name="Normal 5 3 3 2 3 9" xfId="9926" xr:uid="{F3ACC0E7-8F8D-4791-9C0C-A3723672D272}"/>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759E7801-9834-4BD5-9F7C-8A288E47E1E6}"/>
    <cellStyle name="Normal 5 3 3 2 4 2 3" xfId="12481" xr:uid="{4F77F633-9AD9-4707-8888-F51172DB2C9E}"/>
    <cellStyle name="Normal 5 3 3 2 4 3" xfId="5227" xr:uid="{00000000-0005-0000-0000-0000B6190000}"/>
    <cellStyle name="Normal 5 3 3 2 4 3 2" xfId="14553" xr:uid="{19F63F96-BE1B-4BC5-A486-E48A10BCE17E}"/>
    <cellStyle name="Normal 5 3 3 2 4 4" xfId="9257" xr:uid="{E6656214-6E5B-491F-B1E3-227CB6568726}"/>
    <cellStyle name="Normal 5 3 3 2 4 4 2" xfId="18570" xr:uid="{FDB08DB5-A344-41E7-8EFD-620112D12F29}"/>
    <cellStyle name="Normal 5 3 3 2 4 5" xfId="10336" xr:uid="{35CEE938-26A3-4D82-B171-930A18550337}"/>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BDD4B4AE-9F5B-410E-BE58-CEAFDCF6FD55}"/>
    <cellStyle name="Normal 5 3 3 2 5 2 3" xfId="12894" xr:uid="{1F7C7483-66E2-483D-B1EE-DE49FF355486}"/>
    <cellStyle name="Normal 5 3 3 2 5 3" xfId="5640" xr:uid="{00000000-0005-0000-0000-0000BA190000}"/>
    <cellStyle name="Normal 5 3 3 2 5 3 2" xfId="14966" xr:uid="{BE86D8B9-FC73-4535-9BBD-A3F42E72DAD9}"/>
    <cellStyle name="Normal 5 3 3 2 5 4" xfId="10749" xr:uid="{BB025351-F8FF-4A58-9831-7BA45619442E}"/>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54A6BCA1-A68C-48A2-AFF3-C641D020495A}"/>
    <cellStyle name="Normal 5 3 3 2 6 2 3" xfId="13307" xr:uid="{8619C653-3F28-4024-8BEB-4ABB237CED46}"/>
    <cellStyle name="Normal 5 3 3 2 6 3" xfId="6053" xr:uid="{00000000-0005-0000-0000-0000BE190000}"/>
    <cellStyle name="Normal 5 3 3 2 6 3 2" xfId="15379" xr:uid="{AC604144-349F-4601-ADF8-855260B2972E}"/>
    <cellStyle name="Normal 5 3 3 2 6 4" xfId="11162" xr:uid="{F1A7E705-59C4-4FBD-94F6-B1DBB968BCB6}"/>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946AC55A-4D0D-4020-8537-89626052F49F}"/>
    <cellStyle name="Normal 5 3 3 2 7 2 3" xfId="13720" xr:uid="{6E0F1401-4495-4D6F-A2A8-D7D241B2413F}"/>
    <cellStyle name="Normal 5 3 3 2 7 3" xfId="6466" xr:uid="{00000000-0005-0000-0000-0000C2190000}"/>
    <cellStyle name="Normal 5 3 3 2 7 3 2" xfId="15792" xr:uid="{EEF325AA-1CD6-49AD-B591-52B295770352}"/>
    <cellStyle name="Normal 5 3 3 2 7 4" xfId="11575" xr:uid="{319FD549-F25C-4802-8A67-0589BC84C9BC}"/>
    <cellStyle name="Normal 5 3 3 2 8" xfId="2596" xr:uid="{00000000-0005-0000-0000-0000C3190000}"/>
    <cellStyle name="Normal 5 3 3 2 8 2" xfId="6879" xr:uid="{00000000-0005-0000-0000-0000C4190000}"/>
    <cellStyle name="Normal 5 3 3 2 8 2 2" xfId="16205" xr:uid="{3700025B-E654-43FD-BACF-64E9857834B3}"/>
    <cellStyle name="Normal 5 3 3 2 8 3" xfId="11988" xr:uid="{DC92E195-52F0-4E47-877F-FF0D7F334C6B}"/>
    <cellStyle name="Normal 5 3 3 2 9" xfId="4814" xr:uid="{00000000-0005-0000-0000-0000C5190000}"/>
    <cellStyle name="Normal 5 3 3 2 9 2" xfId="14140" xr:uid="{8B669FC6-498C-4ECF-A7B9-01608778C4B6}"/>
    <cellStyle name="Normal 5 3 3 3" xfId="446" xr:uid="{00000000-0005-0000-0000-0000C6190000}"/>
    <cellStyle name="Normal 5 3 3 3 10" xfId="9927" xr:uid="{4ED08833-FA16-4EB3-9292-DEE80F057D73}"/>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18C0B101-2C5C-41E6-BDF4-7BB673F1E233}"/>
    <cellStyle name="Normal 5 3 3 3 2 2 2 3" xfId="12486" xr:uid="{6278259D-D1B9-41C9-9B94-6E5A22786748}"/>
    <cellStyle name="Normal 5 3 3 3 2 2 3" xfId="5232" xr:uid="{00000000-0005-0000-0000-0000CB190000}"/>
    <cellStyle name="Normal 5 3 3 3 2 2 3 2" xfId="14558" xr:uid="{A4BB0D4D-15CC-44A1-B440-E2689126D853}"/>
    <cellStyle name="Normal 5 3 3 3 2 2 4" xfId="9517" xr:uid="{EA62A3B1-8ED5-4A6F-ACE0-B924BC16AA9E}"/>
    <cellStyle name="Normal 5 3 3 3 2 2 4 2" xfId="18830" xr:uid="{AA271E08-FD32-4D64-9D54-0274FC2F8078}"/>
    <cellStyle name="Normal 5 3 3 3 2 2 5" xfId="10341" xr:uid="{2E9E6F88-30B4-4944-A4B1-CC90CF81E51B}"/>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9F0E5120-5308-4A3A-933C-BA37305B3281}"/>
    <cellStyle name="Normal 5 3 3 3 2 3 2 3" xfId="12899" xr:uid="{F69BA6F0-8B25-409B-9B7C-B2934A1FDE9A}"/>
    <cellStyle name="Normal 5 3 3 3 2 3 3" xfId="5645" xr:uid="{00000000-0005-0000-0000-0000CF190000}"/>
    <cellStyle name="Normal 5 3 3 3 2 3 3 2" xfId="14971" xr:uid="{3DF5BB73-584B-4468-B24D-618E5DC00CE9}"/>
    <cellStyle name="Normal 5 3 3 3 2 3 4" xfId="10754" xr:uid="{C8E192E9-9BA9-4B54-897A-B61C3AB82068}"/>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7CD2B4C0-A571-47FE-9786-A115E909A25D}"/>
    <cellStyle name="Normal 5 3 3 3 2 4 2 3" xfId="13312" xr:uid="{3D4628D3-8347-49C5-85F0-4B33BC4B172B}"/>
    <cellStyle name="Normal 5 3 3 3 2 4 3" xfId="6058" xr:uid="{00000000-0005-0000-0000-0000D3190000}"/>
    <cellStyle name="Normal 5 3 3 3 2 4 3 2" xfId="15384" xr:uid="{7E71B7C3-EB29-470D-B7AA-6EF5E3FF8E07}"/>
    <cellStyle name="Normal 5 3 3 3 2 4 4" xfId="11167" xr:uid="{A31BDCD6-5ED9-4EDC-B68C-870F5DE02EC4}"/>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88105CF2-74C8-4F38-AAB4-D32E5096CA45}"/>
    <cellStyle name="Normal 5 3 3 3 2 5 2 3" xfId="13725" xr:uid="{3B7141E5-A962-4EA8-9C11-6EF4C080C92A}"/>
    <cellStyle name="Normal 5 3 3 3 2 5 3" xfId="6471" xr:uid="{00000000-0005-0000-0000-0000D7190000}"/>
    <cellStyle name="Normal 5 3 3 3 2 5 3 2" xfId="15797" xr:uid="{5A6998DD-2956-4C1A-AF09-7896DEBAB597}"/>
    <cellStyle name="Normal 5 3 3 3 2 5 4" xfId="11580" xr:uid="{B603EC1F-66BE-40BB-A5C6-4064A5BFB96F}"/>
    <cellStyle name="Normal 5 3 3 3 2 6" xfId="2601" xr:uid="{00000000-0005-0000-0000-0000D8190000}"/>
    <cellStyle name="Normal 5 3 3 3 2 6 2" xfId="6884" xr:uid="{00000000-0005-0000-0000-0000D9190000}"/>
    <cellStyle name="Normal 5 3 3 3 2 6 2 2" xfId="16210" xr:uid="{44981523-0080-4C46-9347-58A35D02525F}"/>
    <cellStyle name="Normal 5 3 3 3 2 6 3" xfId="11993" xr:uid="{A72A83F2-F93A-450A-BE3C-CCA79523F83D}"/>
    <cellStyle name="Normal 5 3 3 3 2 7" xfId="4819" xr:uid="{00000000-0005-0000-0000-0000DA190000}"/>
    <cellStyle name="Normal 5 3 3 3 2 7 2" xfId="14145" xr:uid="{988927E2-BD8D-4301-880A-A6B553B26BFE}"/>
    <cellStyle name="Normal 5 3 3 3 2 8" xfId="9092" xr:uid="{A018BC5E-3880-4BA4-8CFB-322C89A13B5F}"/>
    <cellStyle name="Normal 5 3 3 3 2 8 2" xfId="18415" xr:uid="{3AC13C42-54A7-4696-8B17-FF0FDAB2040C}"/>
    <cellStyle name="Normal 5 3 3 3 2 9" xfId="9928" xr:uid="{76276059-1D5F-4FFF-964F-9F8E9C4354C6}"/>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A9A0ECF3-73C7-4C28-A3F9-E1E16B56DA67}"/>
    <cellStyle name="Normal 5 3 3 3 3 2 3" xfId="12485" xr:uid="{885A09D8-0959-484E-90C5-19577FA41584}"/>
    <cellStyle name="Normal 5 3 3 3 3 3" xfId="5231" xr:uid="{00000000-0005-0000-0000-0000DE190000}"/>
    <cellStyle name="Normal 5 3 3 3 3 3 2" xfId="14557" xr:uid="{62AA3B37-1A67-442B-A8ED-2EB4BC8FF5C4}"/>
    <cellStyle name="Normal 5 3 3 3 3 4" xfId="9310" xr:uid="{D169C31A-17C5-4934-97DF-D90479FD2654}"/>
    <cellStyle name="Normal 5 3 3 3 3 4 2" xfId="18623" xr:uid="{2F94A2A1-7A9E-4834-8822-85CA940CACF3}"/>
    <cellStyle name="Normal 5 3 3 3 3 5" xfId="10340" xr:uid="{2DF2EA4F-BCAE-4895-BF2E-E3F2F90B05BA}"/>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B15F83B4-D889-477E-AC9E-C4D10DDFF6C5}"/>
    <cellStyle name="Normal 5 3 3 3 4 2 3" xfId="12898" xr:uid="{3967860B-ED21-4F1C-9CAB-E3F03143320E}"/>
    <cellStyle name="Normal 5 3 3 3 4 3" xfId="5644" xr:uid="{00000000-0005-0000-0000-0000E2190000}"/>
    <cellStyle name="Normal 5 3 3 3 4 3 2" xfId="14970" xr:uid="{CABD1762-3C9F-448F-A108-2145D844B70A}"/>
    <cellStyle name="Normal 5 3 3 3 4 4" xfId="10753" xr:uid="{409AF697-78F0-4E8C-9A7E-9F67A207FCB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796598F4-DA3F-4BBD-8DF8-5D41902B3997}"/>
    <cellStyle name="Normal 5 3 3 3 5 2 3" xfId="13311" xr:uid="{9A5992DF-1310-47A6-91C7-03DBE3EC4835}"/>
    <cellStyle name="Normal 5 3 3 3 5 3" xfId="6057" xr:uid="{00000000-0005-0000-0000-0000E6190000}"/>
    <cellStyle name="Normal 5 3 3 3 5 3 2" xfId="15383" xr:uid="{962AC45D-71B5-401B-927F-0F7BD4ECCEC8}"/>
    <cellStyle name="Normal 5 3 3 3 5 4" xfId="11166" xr:uid="{F02F4CF3-F375-42E1-A976-E2BD7A193588}"/>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2148BFB4-8B56-4990-A021-2D49F35A0B03}"/>
    <cellStyle name="Normal 5 3 3 3 6 2 3" xfId="13724" xr:uid="{CE8E09E6-3880-439B-9918-A6F9C0A708B9}"/>
    <cellStyle name="Normal 5 3 3 3 6 3" xfId="6470" xr:uid="{00000000-0005-0000-0000-0000EA190000}"/>
    <cellStyle name="Normal 5 3 3 3 6 3 2" xfId="15796" xr:uid="{0B546FDF-84CD-43AC-B848-4D87376B0DDC}"/>
    <cellStyle name="Normal 5 3 3 3 6 4" xfId="11579" xr:uid="{65B09F4A-A225-42A8-8F44-92F64DADA0A9}"/>
    <cellStyle name="Normal 5 3 3 3 7" xfId="2600" xr:uid="{00000000-0005-0000-0000-0000EB190000}"/>
    <cellStyle name="Normal 5 3 3 3 7 2" xfId="6883" xr:uid="{00000000-0005-0000-0000-0000EC190000}"/>
    <cellStyle name="Normal 5 3 3 3 7 2 2" xfId="16209" xr:uid="{9B2C05C0-E82F-48E6-91F2-DBC04BBD12D3}"/>
    <cellStyle name="Normal 5 3 3 3 7 3" xfId="11992" xr:uid="{8BB1D91F-61E7-4222-85A2-7A93425435F0}"/>
    <cellStyle name="Normal 5 3 3 3 8" xfId="4818" xr:uid="{00000000-0005-0000-0000-0000ED190000}"/>
    <cellStyle name="Normal 5 3 3 3 8 2" xfId="14144" xr:uid="{AC19BDF2-7464-4606-97F6-B55BB1A88AFB}"/>
    <cellStyle name="Normal 5 3 3 3 9" xfId="8885" xr:uid="{BFA59703-C126-4DE9-A819-9190501D5C5B}"/>
    <cellStyle name="Normal 5 3 3 3 9 2" xfId="18208" xr:uid="{EA341C33-09E7-4456-99B4-D3944B477AC9}"/>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3B627CD1-58CD-41F4-966E-F65C58348781}"/>
    <cellStyle name="Normal 5 3 3 4 2 2 3" xfId="12487" xr:uid="{C6996BBD-A57D-4FCD-8132-DF1292CC88F1}"/>
    <cellStyle name="Normal 5 3 3 4 2 3" xfId="5233" xr:uid="{00000000-0005-0000-0000-0000F2190000}"/>
    <cellStyle name="Normal 5 3 3 4 2 3 2" xfId="14559" xr:uid="{6BA57D1F-E8A8-4477-BB5A-39256C20EAEB}"/>
    <cellStyle name="Normal 5 3 3 4 2 4" xfId="9414" xr:uid="{BD781A4C-FDA7-4D11-87F3-3D38EC19B37A}"/>
    <cellStyle name="Normal 5 3 3 4 2 4 2" xfId="18727" xr:uid="{D585CB91-A459-4069-9324-18AC10989D77}"/>
    <cellStyle name="Normal 5 3 3 4 2 5" xfId="10342" xr:uid="{97EECDD4-1CE1-43BA-B4DB-25A520427854}"/>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53675E6A-BCB9-4120-8814-A08EE8C1118C}"/>
    <cellStyle name="Normal 5 3 3 4 3 2 3" xfId="12900" xr:uid="{4F0CA42B-CB5D-4E1F-9E38-D54B651BA54C}"/>
    <cellStyle name="Normal 5 3 3 4 3 3" xfId="5646" xr:uid="{00000000-0005-0000-0000-0000F6190000}"/>
    <cellStyle name="Normal 5 3 3 4 3 3 2" xfId="14972" xr:uid="{3EDA9388-D8AD-4BE7-9722-44E1994D76AD}"/>
    <cellStyle name="Normal 5 3 3 4 3 4" xfId="10755" xr:uid="{570C2CCD-285B-41C9-9F15-CB7BC73663B6}"/>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C99C54C6-DCAB-4AB4-A23D-20058A1B8997}"/>
    <cellStyle name="Normal 5 3 3 4 4 2 3" xfId="13313" xr:uid="{0DBE96ED-7A47-4774-A93C-18B17B34702B}"/>
    <cellStyle name="Normal 5 3 3 4 4 3" xfId="6059" xr:uid="{00000000-0005-0000-0000-0000FA190000}"/>
    <cellStyle name="Normal 5 3 3 4 4 3 2" xfId="15385" xr:uid="{8806D4F0-3306-4FFD-8EB9-5C32EA39D2EC}"/>
    <cellStyle name="Normal 5 3 3 4 4 4" xfId="11168" xr:uid="{FEC2542D-10DB-4106-9B3F-7180CA8EE69E}"/>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C0641D5B-7E20-4C49-98F0-2DAA44FB51F1}"/>
    <cellStyle name="Normal 5 3 3 4 5 2 3" xfId="13726" xr:uid="{CF113BEE-CD4F-4B56-8D0D-92477B5BF66D}"/>
    <cellStyle name="Normal 5 3 3 4 5 3" xfId="6472" xr:uid="{00000000-0005-0000-0000-0000FE190000}"/>
    <cellStyle name="Normal 5 3 3 4 5 3 2" xfId="15798" xr:uid="{24EB9CAC-ACE3-4BBB-8655-547DB767B397}"/>
    <cellStyle name="Normal 5 3 3 4 5 4" xfId="11581" xr:uid="{ABB53908-5583-4D26-BF25-1BA93B3821C0}"/>
    <cellStyle name="Normal 5 3 3 4 6" xfId="2602" xr:uid="{00000000-0005-0000-0000-0000FF190000}"/>
    <cellStyle name="Normal 5 3 3 4 6 2" xfId="6885" xr:uid="{00000000-0005-0000-0000-0000001A0000}"/>
    <cellStyle name="Normal 5 3 3 4 6 2 2" xfId="16211" xr:uid="{A6D4A5B6-31F1-43CA-931B-03994C2E78F7}"/>
    <cellStyle name="Normal 5 3 3 4 6 3" xfId="11994" xr:uid="{8F622A96-A0E2-4A57-89C3-89CEFD6D2CCD}"/>
    <cellStyle name="Normal 5 3 3 4 7" xfId="4820" xr:uid="{00000000-0005-0000-0000-0000011A0000}"/>
    <cellStyle name="Normal 5 3 3 4 7 2" xfId="14146" xr:uid="{4E69420C-993D-4589-B2FF-D25A0B29B156}"/>
    <cellStyle name="Normal 5 3 3 4 8" xfId="8989" xr:uid="{20FA1483-98E6-46C4-B00B-4EAF7957981D}"/>
    <cellStyle name="Normal 5 3 3 4 8 2" xfId="18312" xr:uid="{DFE55D06-EDDA-4728-BB5E-30BC27C84CD0}"/>
    <cellStyle name="Normal 5 3 3 4 9" xfId="9929" xr:uid="{F43C3379-999E-4EBB-8570-986A091940F7}"/>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47F8719E-9F9B-4EBA-BBDC-4057EC05995C}"/>
    <cellStyle name="Normal 5 3 3 5 2 3" xfId="12480" xr:uid="{45C91A77-5948-49F5-B94A-F73B76B83369}"/>
    <cellStyle name="Normal 5 3 3 5 3" xfId="5226" xr:uid="{00000000-0005-0000-0000-0000051A0000}"/>
    <cellStyle name="Normal 5 3 3 5 3 2" xfId="14552" xr:uid="{6AEB1F2D-6699-43A2-AD21-1ACB0ED7329B}"/>
    <cellStyle name="Normal 5 3 3 5 4" xfId="9206" xr:uid="{CA749CBB-EAB5-483B-862D-D7B95A23D45C}"/>
    <cellStyle name="Normal 5 3 3 5 4 2" xfId="18520" xr:uid="{50EEC9D9-83DB-45BB-968D-9D5071DD88D4}"/>
    <cellStyle name="Normal 5 3 3 5 5" xfId="10335" xr:uid="{B8DC4886-2391-47D7-BCF9-D7AE3F12BE61}"/>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EDA45F0B-DFA6-4FE8-8FF4-B5D5491E0C63}"/>
    <cellStyle name="Normal 5 3 3 6 2 3" xfId="12893" xr:uid="{22CA0F02-8038-44ED-9EEF-CBFCFEEA4287}"/>
    <cellStyle name="Normal 5 3 3 6 3" xfId="5639" xr:uid="{00000000-0005-0000-0000-0000091A0000}"/>
    <cellStyle name="Normal 5 3 3 6 3 2" xfId="14965" xr:uid="{89D5B9CF-EFDE-4091-AF7D-F65E6F829908}"/>
    <cellStyle name="Normal 5 3 3 6 4" xfId="10748" xr:uid="{415158EC-FFCF-4066-9AB3-C065B429C15B}"/>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BC193C04-4B2F-4B4E-BD81-7D08602FDE4F}"/>
    <cellStyle name="Normal 5 3 3 7 2 3" xfId="13306" xr:uid="{76539122-EE4C-48A4-B886-BCD63916A1B7}"/>
    <cellStyle name="Normal 5 3 3 7 3" xfId="6052" xr:uid="{00000000-0005-0000-0000-00000D1A0000}"/>
    <cellStyle name="Normal 5 3 3 7 3 2" xfId="15378" xr:uid="{981BF781-74F2-429C-9C57-D82030E33EF3}"/>
    <cellStyle name="Normal 5 3 3 7 4" xfId="11161" xr:uid="{FFE1A9BF-CF13-4B0D-A895-D0063C258926}"/>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E4B9DFA7-4004-4743-A08C-7BE8D7A23919}"/>
    <cellStyle name="Normal 5 3 3 8 2 3" xfId="13719" xr:uid="{7861BB48-0284-4221-A21F-0E41A4589F4C}"/>
    <cellStyle name="Normal 5 3 3 8 3" xfId="6465" xr:uid="{00000000-0005-0000-0000-0000111A0000}"/>
    <cellStyle name="Normal 5 3 3 8 3 2" xfId="15791" xr:uid="{C9FDB9EA-04ED-4CB5-8CBE-542501C44390}"/>
    <cellStyle name="Normal 5 3 3 8 4" xfId="11574" xr:uid="{46C0153E-D046-475A-AF9C-B7ACA78F49A0}"/>
    <cellStyle name="Normal 5 3 3 9" xfId="2595" xr:uid="{00000000-0005-0000-0000-0000121A0000}"/>
    <cellStyle name="Normal 5 3 3 9 2" xfId="6878" xr:uid="{00000000-0005-0000-0000-0000131A0000}"/>
    <cellStyle name="Normal 5 3 3 9 2 2" xfId="16204" xr:uid="{4DB730EC-EE9B-4DC1-91BC-C3D7DC82AB08}"/>
    <cellStyle name="Normal 5 3 3 9 3" xfId="11987" xr:uid="{62EF4A17-0093-44DB-83E8-9796DA11A6AC}"/>
    <cellStyle name="Normal 5 3 4" xfId="449" xr:uid="{00000000-0005-0000-0000-0000141A0000}"/>
    <cellStyle name="Normal 5 3 4 10" xfId="8831" xr:uid="{39AD872D-FBC2-4C4A-B537-79F8014E4247}"/>
    <cellStyle name="Normal 5 3 4 10 2" xfId="18154" xr:uid="{C0C9A23F-FA23-4AE8-B4F0-75C56391B769}"/>
    <cellStyle name="Normal 5 3 4 11" xfId="9930" xr:uid="{3A59E4DB-DDB9-462C-BF9D-DE7B531CCF42}"/>
    <cellStyle name="Normal 5 3 4 2" xfId="450" xr:uid="{00000000-0005-0000-0000-0000151A0000}"/>
    <cellStyle name="Normal 5 3 4 2 10" xfId="9931" xr:uid="{DE37BD97-9691-4F9F-A5A2-F58061419C8E}"/>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46B503F1-EFD6-45E3-8B1C-CD225BDBDF19}"/>
    <cellStyle name="Normal 5 3 4 2 2 2 2 3" xfId="12490" xr:uid="{679A8FD9-393C-4A4F-9A32-431E216D10B2}"/>
    <cellStyle name="Normal 5 3 4 2 2 2 3" xfId="5236" xr:uid="{00000000-0005-0000-0000-00001A1A0000}"/>
    <cellStyle name="Normal 5 3 4 2 2 2 3 2" xfId="14562" xr:uid="{63F596F8-4D7F-409B-8C13-DD7BD066E89B}"/>
    <cellStyle name="Normal 5 3 4 2 2 2 4" xfId="9566" xr:uid="{D483C248-9680-462F-989C-42C712CD6EB7}"/>
    <cellStyle name="Normal 5 3 4 2 2 2 4 2" xfId="18879" xr:uid="{B21AF09A-7163-4AD9-82FB-5BFA06DD39F7}"/>
    <cellStyle name="Normal 5 3 4 2 2 2 5" xfId="10345" xr:uid="{C35F0877-228B-4F52-B912-BF7FE8F33CF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D71D7BC3-1DDA-4F99-95F7-978EF925751A}"/>
    <cellStyle name="Normal 5 3 4 2 2 3 2 3" xfId="12903" xr:uid="{466CE9F6-234C-4C6A-B0C7-9AD9B14DCE47}"/>
    <cellStyle name="Normal 5 3 4 2 2 3 3" xfId="5649" xr:uid="{00000000-0005-0000-0000-00001E1A0000}"/>
    <cellStyle name="Normal 5 3 4 2 2 3 3 2" xfId="14975" xr:uid="{D234E3A6-24C5-443B-9143-109B21DC08B0}"/>
    <cellStyle name="Normal 5 3 4 2 2 3 4" xfId="10758" xr:uid="{609D90D0-407A-4C45-9867-E4BABBD20B67}"/>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550B7A60-D182-4153-B897-265C7E6F7B40}"/>
    <cellStyle name="Normal 5 3 4 2 2 4 2 3" xfId="13316" xr:uid="{D1E22F3A-04DC-4485-9592-C37B2EC3449F}"/>
    <cellStyle name="Normal 5 3 4 2 2 4 3" xfId="6062" xr:uid="{00000000-0005-0000-0000-0000221A0000}"/>
    <cellStyle name="Normal 5 3 4 2 2 4 3 2" xfId="15388" xr:uid="{747CDC50-E1C6-45E4-B9E5-C4EE9A8A8CB5}"/>
    <cellStyle name="Normal 5 3 4 2 2 4 4" xfId="11171" xr:uid="{E1FAE2E0-567C-4D31-9646-8797F070182F}"/>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9E299A4F-3972-4455-8B0F-35392C8826FB}"/>
    <cellStyle name="Normal 5 3 4 2 2 5 2 3" xfId="13729" xr:uid="{24D69A68-7757-4418-8DF4-28236427B939}"/>
    <cellStyle name="Normal 5 3 4 2 2 5 3" xfId="6475" xr:uid="{00000000-0005-0000-0000-0000261A0000}"/>
    <cellStyle name="Normal 5 3 4 2 2 5 3 2" xfId="15801" xr:uid="{52133B87-278C-45FE-81FD-9B9C520E48F9}"/>
    <cellStyle name="Normal 5 3 4 2 2 5 4" xfId="11584" xr:uid="{623B4C5D-28A5-47CA-BF25-9928283CCED6}"/>
    <cellStyle name="Normal 5 3 4 2 2 6" xfId="2605" xr:uid="{00000000-0005-0000-0000-0000271A0000}"/>
    <cellStyle name="Normal 5 3 4 2 2 6 2" xfId="6888" xr:uid="{00000000-0005-0000-0000-0000281A0000}"/>
    <cellStyle name="Normal 5 3 4 2 2 6 2 2" xfId="16214" xr:uid="{CF8C3AA5-1B06-43EC-BACB-719FF1391250}"/>
    <cellStyle name="Normal 5 3 4 2 2 6 3" xfId="11997" xr:uid="{9EC57580-B255-4526-8FEC-2AFBE8903E0D}"/>
    <cellStyle name="Normal 5 3 4 2 2 7" xfId="4823" xr:uid="{00000000-0005-0000-0000-0000291A0000}"/>
    <cellStyle name="Normal 5 3 4 2 2 7 2" xfId="14149" xr:uid="{2999096D-D822-41B8-8565-4981AA8ECC11}"/>
    <cellStyle name="Normal 5 3 4 2 2 8" xfId="9141" xr:uid="{6B63A6D0-0E60-498B-8E53-451D5144533A}"/>
    <cellStyle name="Normal 5 3 4 2 2 8 2" xfId="18464" xr:uid="{E8CA4021-B3CC-46E8-A13A-F9BFCF9BA400}"/>
    <cellStyle name="Normal 5 3 4 2 2 9" xfId="9932" xr:uid="{A3ADCE61-6398-4320-86AB-D8EC1EA9C53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83B39872-5AC7-4754-BAD3-68DA2F963BA7}"/>
    <cellStyle name="Normal 5 3 4 2 3 2 3" xfId="12489" xr:uid="{566D0B2E-A9EF-48EA-A2E7-0B71620DE196}"/>
    <cellStyle name="Normal 5 3 4 2 3 3" xfId="5235" xr:uid="{00000000-0005-0000-0000-00002D1A0000}"/>
    <cellStyle name="Normal 5 3 4 2 3 3 2" xfId="14561" xr:uid="{C9EC1B36-59BC-4EE9-81D8-CEAABB18CA39}"/>
    <cellStyle name="Normal 5 3 4 2 3 4" xfId="9359" xr:uid="{FAC41203-2BC4-411F-9296-10781BA4F1AB}"/>
    <cellStyle name="Normal 5 3 4 2 3 4 2" xfId="18672" xr:uid="{D174EAD0-681C-41A9-B54A-8C87F3743CC5}"/>
    <cellStyle name="Normal 5 3 4 2 3 5" xfId="10344" xr:uid="{49524DC0-18EE-43D4-BAB0-AF513C3B2AD4}"/>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8DB16AFB-2BF8-4037-BE3E-F333A6E9FF1C}"/>
    <cellStyle name="Normal 5 3 4 2 4 2 3" xfId="12902" xr:uid="{EEFE4798-E4D5-4594-AD2E-D2016FEE4130}"/>
    <cellStyle name="Normal 5 3 4 2 4 3" xfId="5648" xr:uid="{00000000-0005-0000-0000-0000311A0000}"/>
    <cellStyle name="Normal 5 3 4 2 4 3 2" xfId="14974" xr:uid="{14C389D7-31C4-4796-990B-C0C470D68896}"/>
    <cellStyle name="Normal 5 3 4 2 4 4" xfId="10757" xr:uid="{1F5CDFDD-079E-4287-BCE0-09C8118B2A56}"/>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58F8AE69-1E8F-4BC9-BD9D-8E6C91B05DA3}"/>
    <cellStyle name="Normal 5 3 4 2 5 2 3" xfId="13315" xr:uid="{0A620360-D1AD-4E67-8799-0D33617F2F5C}"/>
    <cellStyle name="Normal 5 3 4 2 5 3" xfId="6061" xr:uid="{00000000-0005-0000-0000-0000351A0000}"/>
    <cellStyle name="Normal 5 3 4 2 5 3 2" xfId="15387" xr:uid="{FC26D4C3-491C-471B-87D8-FE844409C5C4}"/>
    <cellStyle name="Normal 5 3 4 2 5 4" xfId="11170" xr:uid="{2F8317C6-0B8C-4C09-812B-07DF7C737C0A}"/>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41BED94B-5E21-4801-B2A8-62914071CED6}"/>
    <cellStyle name="Normal 5 3 4 2 6 2 3" xfId="13728" xr:uid="{3EF43029-EF14-4D3D-9AAB-420EC59A72BD}"/>
    <cellStyle name="Normal 5 3 4 2 6 3" xfId="6474" xr:uid="{00000000-0005-0000-0000-0000391A0000}"/>
    <cellStyle name="Normal 5 3 4 2 6 3 2" xfId="15800" xr:uid="{DA895C2F-7C21-44BF-B72B-CF330CAA4E91}"/>
    <cellStyle name="Normal 5 3 4 2 6 4" xfId="11583" xr:uid="{87685FE0-B321-4A9D-AE7E-59E6A56B6691}"/>
    <cellStyle name="Normal 5 3 4 2 7" xfId="2604" xr:uid="{00000000-0005-0000-0000-00003A1A0000}"/>
    <cellStyle name="Normal 5 3 4 2 7 2" xfId="6887" xr:uid="{00000000-0005-0000-0000-00003B1A0000}"/>
    <cellStyle name="Normal 5 3 4 2 7 2 2" xfId="16213" xr:uid="{A4B1C075-1BA2-4ABE-B8F3-3D11D2E00CA8}"/>
    <cellStyle name="Normal 5 3 4 2 7 3" xfId="11996" xr:uid="{11D4EE75-71BE-44E8-86FF-50A736EDF283}"/>
    <cellStyle name="Normal 5 3 4 2 8" xfId="4822" xr:uid="{00000000-0005-0000-0000-00003C1A0000}"/>
    <cellStyle name="Normal 5 3 4 2 8 2" xfId="14148" xr:uid="{E59D30CA-C8BC-4FC8-B7D8-C45F541ED218}"/>
    <cellStyle name="Normal 5 3 4 2 9" xfId="8934" xr:uid="{D16D0DF9-4576-4200-8972-8AAD50545E0D}"/>
    <cellStyle name="Normal 5 3 4 2 9 2" xfId="18257" xr:uid="{99020ECD-ACDB-4E39-BBED-DD067393CD9A}"/>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B5198999-D79E-463E-B148-BCA7AD426C84}"/>
    <cellStyle name="Normal 5 3 4 3 2 2 3" xfId="12491" xr:uid="{043C80B7-195C-4E6A-A67D-D155A5830AD2}"/>
    <cellStyle name="Normal 5 3 4 3 2 3" xfId="5237" xr:uid="{00000000-0005-0000-0000-0000411A0000}"/>
    <cellStyle name="Normal 5 3 4 3 2 3 2" xfId="14563" xr:uid="{023C4E8B-DEF8-4747-B71C-D66652F3BBD4}"/>
    <cellStyle name="Normal 5 3 4 3 2 4" xfId="9463" xr:uid="{1CC38E89-013B-404F-9F3E-11BABC37F656}"/>
    <cellStyle name="Normal 5 3 4 3 2 4 2" xfId="18776" xr:uid="{FD1A64C0-AF33-4565-9CBF-5605F2F97C84}"/>
    <cellStyle name="Normal 5 3 4 3 2 5" xfId="10346" xr:uid="{7E9F00BB-2D6B-4F8C-9087-318303DEC86A}"/>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5A2115C0-3664-4777-BB96-61E09AF23447}"/>
    <cellStyle name="Normal 5 3 4 3 3 2 3" xfId="12904" xr:uid="{E5FF877B-8EC9-468C-8F65-016B9028E024}"/>
    <cellStyle name="Normal 5 3 4 3 3 3" xfId="5650" xr:uid="{00000000-0005-0000-0000-0000451A0000}"/>
    <cellStyle name="Normal 5 3 4 3 3 3 2" xfId="14976" xr:uid="{E1735656-0F49-4DC1-8043-7FA8A21B02C4}"/>
    <cellStyle name="Normal 5 3 4 3 3 4" xfId="10759" xr:uid="{DEB18881-C7C8-491D-A9EC-A6D28B0583DC}"/>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B0D73493-0924-4F03-B102-150ADB8FB0F0}"/>
    <cellStyle name="Normal 5 3 4 3 4 2 3" xfId="13317" xr:uid="{A56FDE26-E7AE-4468-A243-E57F7B2EADD1}"/>
    <cellStyle name="Normal 5 3 4 3 4 3" xfId="6063" xr:uid="{00000000-0005-0000-0000-0000491A0000}"/>
    <cellStyle name="Normal 5 3 4 3 4 3 2" xfId="15389" xr:uid="{9FE9FC9D-2E5A-42D6-9322-2CB8ADAD108B}"/>
    <cellStyle name="Normal 5 3 4 3 4 4" xfId="11172" xr:uid="{998AD59C-AA39-40F6-B605-1319ADA6FF6C}"/>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D9CB9092-6D90-4959-9ADB-D077D3494921}"/>
    <cellStyle name="Normal 5 3 4 3 5 2 3" xfId="13730" xr:uid="{662C2801-4C2D-4B96-8FF2-70D96FA2913C}"/>
    <cellStyle name="Normal 5 3 4 3 5 3" xfId="6476" xr:uid="{00000000-0005-0000-0000-00004D1A0000}"/>
    <cellStyle name="Normal 5 3 4 3 5 3 2" xfId="15802" xr:uid="{04D5313D-C622-4F2B-8BA3-0E46963FD6A0}"/>
    <cellStyle name="Normal 5 3 4 3 5 4" xfId="11585" xr:uid="{34744E37-5675-4059-BA20-056B57F03F70}"/>
    <cellStyle name="Normal 5 3 4 3 6" xfId="2606" xr:uid="{00000000-0005-0000-0000-00004E1A0000}"/>
    <cellStyle name="Normal 5 3 4 3 6 2" xfId="6889" xr:uid="{00000000-0005-0000-0000-00004F1A0000}"/>
    <cellStyle name="Normal 5 3 4 3 6 2 2" xfId="16215" xr:uid="{D683F459-7A67-42ED-ABD7-1A6846A61282}"/>
    <cellStyle name="Normal 5 3 4 3 6 3" xfId="11998" xr:uid="{BEB54262-7713-4D19-8EB8-DAE12B91B0F2}"/>
    <cellStyle name="Normal 5 3 4 3 7" xfId="4824" xr:uid="{00000000-0005-0000-0000-0000501A0000}"/>
    <cellStyle name="Normal 5 3 4 3 7 2" xfId="14150" xr:uid="{EB4C1D9D-DD71-4119-8756-0CF43171D0C0}"/>
    <cellStyle name="Normal 5 3 4 3 8" xfId="9038" xr:uid="{15024032-E3C2-4FDD-B674-481D39A836C5}"/>
    <cellStyle name="Normal 5 3 4 3 8 2" xfId="18361" xr:uid="{8FD322EF-3B57-474A-8A81-ECC372D3E471}"/>
    <cellStyle name="Normal 5 3 4 3 9" xfId="9933" xr:uid="{F5EA95DD-1F05-4420-8456-13E100B32007}"/>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666EA2F2-87AD-4DBF-B201-B062B95DF4C9}"/>
    <cellStyle name="Normal 5 3 4 4 2 3" xfId="12488" xr:uid="{4B81E65D-286A-4696-8BDF-8B57B88313E4}"/>
    <cellStyle name="Normal 5 3 4 4 3" xfId="5234" xr:uid="{00000000-0005-0000-0000-0000541A0000}"/>
    <cellStyle name="Normal 5 3 4 4 3 2" xfId="14560" xr:uid="{0E166038-78BE-4A4A-8635-24F0E9B07CC6}"/>
    <cellStyle name="Normal 5 3 4 4 4" xfId="9256" xr:uid="{69A14F57-2B46-4294-8CA5-E21858516C25}"/>
    <cellStyle name="Normal 5 3 4 4 4 2" xfId="18569" xr:uid="{7A9637FE-EB20-4699-9D83-8B0DA6D09216}"/>
    <cellStyle name="Normal 5 3 4 4 5" xfId="10343" xr:uid="{B9A5F1ED-CAD0-4472-A9EA-7883DEFF5122}"/>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1045D5C4-BCE8-4E34-BBA2-4C00D180FF2D}"/>
    <cellStyle name="Normal 5 3 4 5 2 3" xfId="12901" xr:uid="{6A2C9BAE-D709-4F52-9DA4-63105AC6552D}"/>
    <cellStyle name="Normal 5 3 4 5 3" xfId="5647" xr:uid="{00000000-0005-0000-0000-0000581A0000}"/>
    <cellStyle name="Normal 5 3 4 5 3 2" xfId="14973" xr:uid="{0EEE2691-C093-47C7-9A98-D93713F494A4}"/>
    <cellStyle name="Normal 5 3 4 5 4" xfId="10756" xr:uid="{FC6F0B11-28B2-432A-ADC7-C185380D9310}"/>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3B7B04C9-9741-435D-8CFF-0CDE16E5D574}"/>
    <cellStyle name="Normal 5 3 4 6 2 3" xfId="13314" xr:uid="{68145297-8E5F-4806-9E00-BD315070312B}"/>
    <cellStyle name="Normal 5 3 4 6 3" xfId="6060" xr:uid="{00000000-0005-0000-0000-00005C1A0000}"/>
    <cellStyle name="Normal 5 3 4 6 3 2" xfId="15386" xr:uid="{0A676CA5-EAF0-4451-AA9D-68496A868A2A}"/>
    <cellStyle name="Normal 5 3 4 6 4" xfId="11169" xr:uid="{547099F8-CD28-4825-B5AD-01CB3E31FAA6}"/>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5D251B17-0D46-440F-8227-A2C494F7F60E}"/>
    <cellStyle name="Normal 5 3 4 7 2 3" xfId="13727" xr:uid="{4006216F-866C-486A-8204-FE8B5F4139ED}"/>
    <cellStyle name="Normal 5 3 4 7 3" xfId="6473" xr:uid="{00000000-0005-0000-0000-0000601A0000}"/>
    <cellStyle name="Normal 5 3 4 7 3 2" xfId="15799" xr:uid="{8541CBF4-FA80-4C22-BEDB-6C0C5083A04A}"/>
    <cellStyle name="Normal 5 3 4 7 4" xfId="11582" xr:uid="{4D7D8F9B-F825-4CB6-8023-32DEE8611330}"/>
    <cellStyle name="Normal 5 3 4 8" xfId="2603" xr:uid="{00000000-0005-0000-0000-0000611A0000}"/>
    <cellStyle name="Normal 5 3 4 8 2" xfId="6886" xr:uid="{00000000-0005-0000-0000-0000621A0000}"/>
    <cellStyle name="Normal 5 3 4 8 2 2" xfId="16212" xr:uid="{2552DC45-1DF8-4D24-86A3-4664290EBBE2}"/>
    <cellStyle name="Normal 5 3 4 8 3" xfId="11995" xr:uid="{4CF82B03-60B2-449A-B76F-7F44AF94AE6D}"/>
    <cellStyle name="Normal 5 3 4 9" xfId="4821" xr:uid="{00000000-0005-0000-0000-0000631A0000}"/>
    <cellStyle name="Normal 5 3 4 9 2" xfId="14147" xr:uid="{125AF9D9-6776-48D1-BF56-41165006FF06}"/>
    <cellStyle name="Normal 5 3 5" xfId="453" xr:uid="{00000000-0005-0000-0000-0000641A0000}"/>
    <cellStyle name="Normal 5 3 5 10" xfId="9934" xr:uid="{EEDEA190-D816-45C5-8399-6506F95DED31}"/>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7A71ABFA-5A21-4295-9234-3E9A6DC1A02B}"/>
    <cellStyle name="Normal 5 3 5 2 2 2 3" xfId="12493" xr:uid="{F8F236B1-E959-47C0-8EE5-C52BD417FF4A}"/>
    <cellStyle name="Normal 5 3 5 2 2 3" xfId="5239" xr:uid="{00000000-0005-0000-0000-0000691A0000}"/>
    <cellStyle name="Normal 5 3 5 2 2 3 2" xfId="14565" xr:uid="{710B2D5A-6922-4D72-A6EE-9D5CEF6844B1}"/>
    <cellStyle name="Normal 5 3 5 2 2 4" xfId="9485" xr:uid="{E88A0512-4544-44F7-B02F-696DEB177F8E}"/>
    <cellStyle name="Normal 5 3 5 2 2 4 2" xfId="18798" xr:uid="{D30744C9-7D73-4D51-95DE-36FE8D36713C}"/>
    <cellStyle name="Normal 5 3 5 2 2 5" xfId="10348" xr:uid="{6A98ECF7-2CA0-41EB-BBAA-4F60999E4D42}"/>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CC27811A-5DFB-46BB-A77D-8075499D648D}"/>
    <cellStyle name="Normal 5 3 5 2 3 2 3" xfId="12906" xr:uid="{2DC15901-793C-4E6A-96CB-E392B115ADDF}"/>
    <cellStyle name="Normal 5 3 5 2 3 3" xfId="5652" xr:uid="{00000000-0005-0000-0000-00006D1A0000}"/>
    <cellStyle name="Normal 5 3 5 2 3 3 2" xfId="14978" xr:uid="{6F420E1F-9E96-4B2F-94A3-68D30378EDC5}"/>
    <cellStyle name="Normal 5 3 5 2 3 4" xfId="10761" xr:uid="{D7E9116D-C9B5-420E-B12B-F6982E3C5695}"/>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D0CB3FD5-7317-441D-A1B9-2722D60D307F}"/>
    <cellStyle name="Normal 5 3 5 2 4 2 3" xfId="13319" xr:uid="{704D966F-0242-406D-8CC0-6E773278F6D9}"/>
    <cellStyle name="Normal 5 3 5 2 4 3" xfId="6065" xr:uid="{00000000-0005-0000-0000-0000711A0000}"/>
    <cellStyle name="Normal 5 3 5 2 4 3 2" xfId="15391" xr:uid="{D5FE4B89-C1D6-42E5-AF12-569E23C43540}"/>
    <cellStyle name="Normal 5 3 5 2 4 4" xfId="11174" xr:uid="{B1548470-8132-422B-9202-464B35C40852}"/>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15845FA9-EEA7-477C-A5D0-0BC4ED283499}"/>
    <cellStyle name="Normal 5 3 5 2 5 2 3" xfId="13732" xr:uid="{3D984F2F-C3CC-4703-8EE5-2366B79B9F5D}"/>
    <cellStyle name="Normal 5 3 5 2 5 3" xfId="6478" xr:uid="{00000000-0005-0000-0000-0000751A0000}"/>
    <cellStyle name="Normal 5 3 5 2 5 3 2" xfId="15804" xr:uid="{0DCC7550-84EF-45CE-83BA-184781E617F4}"/>
    <cellStyle name="Normal 5 3 5 2 5 4" xfId="11587" xr:uid="{BDB23B33-B8F3-4A1A-BD30-5EBAC78C3E01}"/>
    <cellStyle name="Normal 5 3 5 2 6" xfId="2608" xr:uid="{00000000-0005-0000-0000-0000761A0000}"/>
    <cellStyle name="Normal 5 3 5 2 6 2" xfId="6891" xr:uid="{00000000-0005-0000-0000-0000771A0000}"/>
    <cellStyle name="Normal 5 3 5 2 6 2 2" xfId="16217" xr:uid="{1BE8BEBD-7B96-42F8-A65E-035C149FA0AA}"/>
    <cellStyle name="Normal 5 3 5 2 6 3" xfId="12000" xr:uid="{4266C8F4-99BC-4584-8B49-EBF2B7DADB58}"/>
    <cellStyle name="Normal 5 3 5 2 7" xfId="4826" xr:uid="{00000000-0005-0000-0000-0000781A0000}"/>
    <cellStyle name="Normal 5 3 5 2 7 2" xfId="14152" xr:uid="{6085AD42-DE5C-49AD-9D71-851314243BB8}"/>
    <cellStyle name="Normal 5 3 5 2 8" xfId="9060" xr:uid="{D76124DC-5753-46E4-97E7-1D76E6E20EEE}"/>
    <cellStyle name="Normal 5 3 5 2 8 2" xfId="18383" xr:uid="{EF97F573-7DCC-4C8F-B246-47DA86D51A60}"/>
    <cellStyle name="Normal 5 3 5 2 9" xfId="9935" xr:uid="{2F30D07C-C926-4E73-B079-FB73BB2A3143}"/>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348EFC36-B137-4DD9-9FF5-E329EF77CEFC}"/>
    <cellStyle name="Normal 5 3 5 3 2 3" xfId="12492" xr:uid="{3CC04208-8140-4C16-855F-0E3B162D3279}"/>
    <cellStyle name="Normal 5 3 5 3 3" xfId="5238" xr:uid="{00000000-0005-0000-0000-00007C1A0000}"/>
    <cellStyle name="Normal 5 3 5 3 3 2" xfId="14564" xr:uid="{907CA9C2-EA57-4636-A12E-2F813D5BCE18}"/>
    <cellStyle name="Normal 5 3 5 3 4" xfId="9278" xr:uid="{6197750A-97CA-41EF-A67C-63E25EE58E9E}"/>
    <cellStyle name="Normal 5 3 5 3 4 2" xfId="18591" xr:uid="{842209B1-A032-4A21-BF7D-CA94A608EB4E}"/>
    <cellStyle name="Normal 5 3 5 3 5" xfId="10347" xr:uid="{91F7C642-FEF9-4EBE-B621-123D725BB2B6}"/>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F39179D7-F47C-4E9B-8F3A-D3E0AB950DC4}"/>
    <cellStyle name="Normal 5 3 5 4 2 3" xfId="12905" xr:uid="{7310462A-A979-4E1B-AF28-192B09F394AD}"/>
    <cellStyle name="Normal 5 3 5 4 3" xfId="5651" xr:uid="{00000000-0005-0000-0000-0000801A0000}"/>
    <cellStyle name="Normal 5 3 5 4 3 2" xfId="14977" xr:uid="{9F20D598-22A9-4019-BD45-52C5DC341F86}"/>
    <cellStyle name="Normal 5 3 5 4 4" xfId="10760" xr:uid="{7E8A6728-EDDA-461B-A14E-6433B54A0DB0}"/>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DF608C95-C89F-48D6-89E0-6BEE4F8F2312}"/>
    <cellStyle name="Normal 5 3 5 5 2 3" xfId="13318" xr:uid="{76272617-3E70-4190-B826-8ECD6EE8ED27}"/>
    <cellStyle name="Normal 5 3 5 5 3" xfId="6064" xr:uid="{00000000-0005-0000-0000-0000841A0000}"/>
    <cellStyle name="Normal 5 3 5 5 3 2" xfId="15390" xr:uid="{A20D724D-293F-4521-9679-A6D5F3A8E214}"/>
    <cellStyle name="Normal 5 3 5 5 4" xfId="11173" xr:uid="{8D273343-3170-4CC6-AD8B-3F905F515515}"/>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28918E64-0118-4370-B8DE-60C5148A7200}"/>
    <cellStyle name="Normal 5 3 5 6 2 3" xfId="13731" xr:uid="{2277F62A-9F70-488D-96E3-E7A57A70EF41}"/>
    <cellStyle name="Normal 5 3 5 6 3" xfId="6477" xr:uid="{00000000-0005-0000-0000-0000881A0000}"/>
    <cellStyle name="Normal 5 3 5 6 3 2" xfId="15803" xr:uid="{D6C279DA-BB8F-403D-B0F1-B41F4077F594}"/>
    <cellStyle name="Normal 5 3 5 6 4" xfId="11586" xr:uid="{9D1B70D6-AD06-45D2-9E8C-933721EA4ED3}"/>
    <cellStyle name="Normal 5 3 5 7" xfId="2607" xr:uid="{00000000-0005-0000-0000-0000891A0000}"/>
    <cellStyle name="Normal 5 3 5 7 2" xfId="6890" xr:uid="{00000000-0005-0000-0000-00008A1A0000}"/>
    <cellStyle name="Normal 5 3 5 7 2 2" xfId="16216" xr:uid="{DE1A5A38-2D58-41A4-B2E9-0FAC9351EACF}"/>
    <cellStyle name="Normal 5 3 5 7 3" xfId="11999" xr:uid="{DEFE46E7-C0AC-4D87-B1CD-4441112D4CC2}"/>
    <cellStyle name="Normal 5 3 5 8" xfId="4825" xr:uid="{00000000-0005-0000-0000-00008B1A0000}"/>
    <cellStyle name="Normal 5 3 5 8 2" xfId="14151" xr:uid="{2F863AF3-7D7C-414D-A670-DB7EE9DC9E69}"/>
    <cellStyle name="Normal 5 3 5 9" xfId="8853" xr:uid="{049FA2CE-003F-47C1-A264-645323886F35}"/>
    <cellStyle name="Normal 5 3 5 9 2" xfId="18176" xr:uid="{D6468008-1D47-45F3-9DA1-4EE70214F207}"/>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C01FE390-4D7B-4595-9B9A-35A7E961FF34}"/>
    <cellStyle name="Normal 5 3 6 2 2 3" xfId="12494" xr:uid="{8C99C1B1-AF66-40C6-8E80-A45D81CB3D9B}"/>
    <cellStyle name="Normal 5 3 6 2 3" xfId="5240" xr:uid="{00000000-0005-0000-0000-0000901A0000}"/>
    <cellStyle name="Normal 5 3 6 2 3 2" xfId="14566" xr:uid="{9B93D8A2-9CB8-45B2-A829-70FF930734DE}"/>
    <cellStyle name="Normal 5 3 6 2 4" xfId="9394" xr:uid="{040FDD8C-10C9-4583-9A6E-8F76047ECA0C}"/>
    <cellStyle name="Normal 5 3 6 2 4 2" xfId="18707" xr:uid="{E66D4624-8B84-40D2-A2BB-30A5A7C240C7}"/>
    <cellStyle name="Normal 5 3 6 2 5" xfId="10349" xr:uid="{906A8E80-90D6-4D6A-B058-777E56315D04}"/>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C5255B0C-2318-4A9F-87B1-1E1A07D09078}"/>
    <cellStyle name="Normal 5 3 6 3 2 3" xfId="12907" xr:uid="{6A01ADF5-71EC-4982-8971-E7E155BB9496}"/>
    <cellStyle name="Normal 5 3 6 3 3" xfId="5653" xr:uid="{00000000-0005-0000-0000-0000941A0000}"/>
    <cellStyle name="Normal 5 3 6 3 3 2" xfId="14979" xr:uid="{3C599837-E1DC-437F-94E1-DE55A9A1536B}"/>
    <cellStyle name="Normal 5 3 6 3 4" xfId="10762" xr:uid="{3C16485E-003F-44EB-9590-E00FA4AE6C21}"/>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7586529D-2ECB-4B77-8222-C4CC517649E1}"/>
    <cellStyle name="Normal 5 3 6 4 2 3" xfId="13320" xr:uid="{56987717-F2AA-4D3B-86C5-D0BEA7D5D7F8}"/>
    <cellStyle name="Normal 5 3 6 4 3" xfId="6066" xr:uid="{00000000-0005-0000-0000-0000981A0000}"/>
    <cellStyle name="Normal 5 3 6 4 3 2" xfId="15392" xr:uid="{7296DA6D-993C-436A-9D04-678307C1D839}"/>
    <cellStyle name="Normal 5 3 6 4 4" xfId="11175" xr:uid="{8C3EDEE5-8DEB-4F86-AF34-FD318252D78F}"/>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FF334EC5-2981-430F-9098-41792ED546FE}"/>
    <cellStyle name="Normal 5 3 6 5 2 3" xfId="13733" xr:uid="{15659984-5A58-4C30-A2A1-568E26C84496}"/>
    <cellStyle name="Normal 5 3 6 5 3" xfId="6479" xr:uid="{00000000-0005-0000-0000-00009C1A0000}"/>
    <cellStyle name="Normal 5 3 6 5 3 2" xfId="15805" xr:uid="{0C6E587B-D86B-48A1-A324-C12EEC5D7CD0}"/>
    <cellStyle name="Normal 5 3 6 5 4" xfId="11588" xr:uid="{3B224AEE-DFCF-465C-9E8E-5A89A60B2411}"/>
    <cellStyle name="Normal 5 3 6 6" xfId="2609" xr:uid="{00000000-0005-0000-0000-00009D1A0000}"/>
    <cellStyle name="Normal 5 3 6 6 2" xfId="6892" xr:uid="{00000000-0005-0000-0000-00009E1A0000}"/>
    <cellStyle name="Normal 5 3 6 6 2 2" xfId="16218" xr:uid="{7209629B-A6E1-4467-A79B-9BA817B46497}"/>
    <cellStyle name="Normal 5 3 6 6 3" xfId="12001" xr:uid="{AFAEAE4F-A1E3-4FEE-8F4E-B335C56CBEDD}"/>
    <cellStyle name="Normal 5 3 6 7" xfId="4827" xr:uid="{00000000-0005-0000-0000-00009F1A0000}"/>
    <cellStyle name="Normal 5 3 6 7 2" xfId="14153" xr:uid="{5D8CCFD1-4FC2-485B-8252-1034F6ED60B0}"/>
    <cellStyle name="Normal 5 3 6 8" xfId="8969" xr:uid="{FA7ABEAF-BFEA-4D3E-A53B-E23F3117BFD8}"/>
    <cellStyle name="Normal 5 3 6 8 2" xfId="18292" xr:uid="{F9930926-F84A-468B-B829-366987F458B8}"/>
    <cellStyle name="Normal 5 3 6 9" xfId="9936" xr:uid="{C5B06454-CAA4-46EB-80FC-F4B972E4F596}"/>
    <cellStyle name="Normal 5 3 7" xfId="913" xr:uid="{00000000-0005-0000-0000-0000A01A0000}"/>
    <cellStyle name="Normal 5 3 7 2" xfId="3148" xr:uid="{00000000-0005-0000-0000-0000A11A0000}"/>
    <cellStyle name="Normal 5 3 7 2 2" xfId="7370" xr:uid="{00000000-0005-0000-0000-0000A21A0000}"/>
    <cellStyle name="Normal 5 3 7 2 2 2" xfId="16696" xr:uid="{510643C0-B095-46DA-93BF-E3E718E2FBF7}"/>
    <cellStyle name="Normal 5 3 7 2 3" xfId="12479" xr:uid="{4C1764DC-C842-40F0-A46E-BE3335BFBCB0}"/>
    <cellStyle name="Normal 5 3 7 3" xfId="5225" xr:uid="{00000000-0005-0000-0000-0000A31A0000}"/>
    <cellStyle name="Normal 5 3 7 3 2" xfId="14551" xr:uid="{B18AE471-029E-4B82-9567-3228636B9457}"/>
    <cellStyle name="Normal 5 3 7 4" xfId="9172" xr:uid="{5609ABAF-B913-41DD-9CCE-B28C6A880815}"/>
    <cellStyle name="Normal 5 3 7 4 2" xfId="18488" xr:uid="{F92B7F47-980E-4605-965F-2BA2967AA85B}"/>
    <cellStyle name="Normal 5 3 7 5" xfId="10334" xr:uid="{5AAE22D6-45C7-44EA-8BE3-9CCBFDFED947}"/>
    <cellStyle name="Normal 5 3 8" xfId="1331" xr:uid="{00000000-0005-0000-0000-0000A41A0000}"/>
    <cellStyle name="Normal 5 3 8 2" xfId="3561" xr:uid="{00000000-0005-0000-0000-0000A51A0000}"/>
    <cellStyle name="Normal 5 3 8 2 2" xfId="7783" xr:uid="{00000000-0005-0000-0000-0000A61A0000}"/>
    <cellStyle name="Normal 5 3 8 2 2 2" xfId="17109" xr:uid="{94F32FCA-3FED-4E4C-A850-E1EF8BB68B68}"/>
    <cellStyle name="Normal 5 3 8 2 3" xfId="12892" xr:uid="{FA669178-57D5-498F-ACA0-B60D829E8493}"/>
    <cellStyle name="Normal 5 3 8 3" xfId="5638" xr:uid="{00000000-0005-0000-0000-0000A71A0000}"/>
    <cellStyle name="Normal 5 3 8 3 2" xfId="14964" xr:uid="{3D25EAFD-120D-47C4-90C3-85C03E08376E}"/>
    <cellStyle name="Normal 5 3 8 4" xfId="10747" xr:uid="{E0609415-B584-4641-91BD-C1ADA2BD50A6}"/>
    <cellStyle name="Normal 5 3 9" xfId="1744" xr:uid="{00000000-0005-0000-0000-0000A81A0000}"/>
    <cellStyle name="Normal 5 3 9 2" xfId="3974" xr:uid="{00000000-0005-0000-0000-0000A91A0000}"/>
    <cellStyle name="Normal 5 3 9 2 2" xfId="8196" xr:uid="{00000000-0005-0000-0000-0000AA1A0000}"/>
    <cellStyle name="Normal 5 3 9 2 2 2" xfId="17522" xr:uid="{D3B49319-9123-4DCF-89F7-A7ECDE365596}"/>
    <cellStyle name="Normal 5 3 9 2 3" xfId="13305" xr:uid="{CCD06768-D541-47E8-98BE-06455FC678A8}"/>
    <cellStyle name="Normal 5 3 9 3" xfId="6051" xr:uid="{00000000-0005-0000-0000-0000AB1A0000}"/>
    <cellStyle name="Normal 5 3 9 3 2" xfId="15377" xr:uid="{792441BB-3E0D-4975-92DD-55941038CF8E}"/>
    <cellStyle name="Normal 5 3 9 4" xfId="11160" xr:uid="{F2A91021-DEA3-4802-A2EB-F1DD56432C61}"/>
    <cellStyle name="Normal 5 4" xfId="456" xr:uid="{00000000-0005-0000-0000-0000AC1A0000}"/>
    <cellStyle name="Normal 5 4 10" xfId="4828" xr:uid="{00000000-0005-0000-0000-0000AD1A0000}"/>
    <cellStyle name="Normal 5 4 10 2" xfId="14154" xr:uid="{F3C4869D-054E-4BDE-811B-F194F1D2F652}"/>
    <cellStyle name="Normal 5 4 11" xfId="8773" xr:uid="{50472F80-32FD-428C-B078-8DE338D6CA16}"/>
    <cellStyle name="Normal 5 4 11 2" xfId="18096" xr:uid="{D6881345-98E1-4FFB-BE35-1FE7D005EDBB}"/>
    <cellStyle name="Normal 5 4 12" xfId="9937" xr:uid="{891D21F4-5941-459A-B1EB-1D07CD10E8FB}"/>
    <cellStyle name="Normal 5 4 2" xfId="457" xr:uid="{00000000-0005-0000-0000-0000AE1A0000}"/>
    <cellStyle name="Normal 5 4 2 10" xfId="8833" xr:uid="{6EA55230-8E5B-4EF6-B83C-8DF4202F8C31}"/>
    <cellStyle name="Normal 5 4 2 10 2" xfId="18156" xr:uid="{D7D953E5-768D-41F9-BF3E-D0D42870B877}"/>
    <cellStyle name="Normal 5 4 2 11" xfId="9938" xr:uid="{954F25D4-380A-4E4C-A722-E8FD71DB468B}"/>
    <cellStyle name="Normal 5 4 2 2" xfId="458" xr:uid="{00000000-0005-0000-0000-0000AF1A0000}"/>
    <cellStyle name="Normal 5 4 2 2 10" xfId="9939" xr:uid="{D81086E0-B727-424B-ADB1-7C58F1A24136}"/>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8F5F371C-85FE-40E7-ADDF-D8B7ACB1B83E}"/>
    <cellStyle name="Normal 5 4 2 2 2 2 2 3" xfId="12498" xr:uid="{EDD50DC0-4B37-4760-AB9A-A61A97341A06}"/>
    <cellStyle name="Normal 5 4 2 2 2 2 3" xfId="5244" xr:uid="{00000000-0005-0000-0000-0000B41A0000}"/>
    <cellStyle name="Normal 5 4 2 2 2 2 3 2" xfId="14570" xr:uid="{EBB5D595-F5E7-4BD4-865C-621DDEA7134E}"/>
    <cellStyle name="Normal 5 4 2 2 2 2 4" xfId="9568" xr:uid="{C9922021-D284-4633-BD4E-F2DB1197482A}"/>
    <cellStyle name="Normal 5 4 2 2 2 2 4 2" xfId="18881" xr:uid="{3479C659-3740-4104-AC58-94417EE61144}"/>
    <cellStyle name="Normal 5 4 2 2 2 2 5" xfId="10353" xr:uid="{F830F6A9-A782-4FFA-B134-E202136767F4}"/>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F18A964A-13F9-4E25-8803-993981C6509B}"/>
    <cellStyle name="Normal 5 4 2 2 2 3 2 3" xfId="12911" xr:uid="{8EA5B34C-2ED9-46B5-B63B-D0565D0A81D2}"/>
    <cellStyle name="Normal 5 4 2 2 2 3 3" xfId="5657" xr:uid="{00000000-0005-0000-0000-0000B81A0000}"/>
    <cellStyle name="Normal 5 4 2 2 2 3 3 2" xfId="14983" xr:uid="{215AE238-A1C8-4998-8D60-1CAACA4091DF}"/>
    <cellStyle name="Normal 5 4 2 2 2 3 4" xfId="10766" xr:uid="{D9AC2949-3B30-422C-B3FB-377CEED713BB}"/>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64D267D7-5C5D-4803-AAF1-86C5B9632D5E}"/>
    <cellStyle name="Normal 5 4 2 2 2 4 2 3" xfId="13324" xr:uid="{66FAFF92-A023-49FD-8FC4-53A737A5DD9C}"/>
    <cellStyle name="Normal 5 4 2 2 2 4 3" xfId="6070" xr:uid="{00000000-0005-0000-0000-0000BC1A0000}"/>
    <cellStyle name="Normal 5 4 2 2 2 4 3 2" xfId="15396" xr:uid="{8B832F79-0251-45EB-80FB-5A93217C0C1F}"/>
    <cellStyle name="Normal 5 4 2 2 2 4 4" xfId="11179" xr:uid="{704E55FB-D124-46E4-B7F5-B18DD85A6C55}"/>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628F43C0-3F8C-4276-8B5A-151424688A00}"/>
    <cellStyle name="Normal 5 4 2 2 2 5 2 3" xfId="13737" xr:uid="{B3C493E4-006B-4A88-A4A2-94C7CAFF9636}"/>
    <cellStyle name="Normal 5 4 2 2 2 5 3" xfId="6483" xr:uid="{00000000-0005-0000-0000-0000C01A0000}"/>
    <cellStyle name="Normal 5 4 2 2 2 5 3 2" xfId="15809" xr:uid="{3E715A05-7098-402D-9AC9-C1AE1B80E58A}"/>
    <cellStyle name="Normal 5 4 2 2 2 5 4" xfId="11592" xr:uid="{F088A874-A564-4770-B3C2-50D300F86EDA}"/>
    <cellStyle name="Normal 5 4 2 2 2 6" xfId="2613" xr:uid="{00000000-0005-0000-0000-0000C11A0000}"/>
    <cellStyle name="Normal 5 4 2 2 2 6 2" xfId="6896" xr:uid="{00000000-0005-0000-0000-0000C21A0000}"/>
    <cellStyle name="Normal 5 4 2 2 2 6 2 2" xfId="16222" xr:uid="{DCE6540B-6C04-4049-B71B-5055BB0214D2}"/>
    <cellStyle name="Normal 5 4 2 2 2 6 3" xfId="12005" xr:uid="{F742B7D9-90F1-4C8B-B4F5-F18CE4B264B9}"/>
    <cellStyle name="Normal 5 4 2 2 2 7" xfId="4831" xr:uid="{00000000-0005-0000-0000-0000C31A0000}"/>
    <cellStyle name="Normal 5 4 2 2 2 7 2" xfId="14157" xr:uid="{A31D786A-A516-4B7B-A68D-4E9D75231695}"/>
    <cellStyle name="Normal 5 4 2 2 2 8" xfId="9143" xr:uid="{C8F15FA9-FDFE-4358-95A8-17B14299B14C}"/>
    <cellStyle name="Normal 5 4 2 2 2 8 2" xfId="18466" xr:uid="{D986CFFF-4AC0-4B5A-8B0F-CDD90CE8712F}"/>
    <cellStyle name="Normal 5 4 2 2 2 9" xfId="9940" xr:uid="{FE9C4F52-A47F-4831-B571-93537DD6D4C9}"/>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48863921-42A9-41AB-BB7B-B5137DBFF843}"/>
    <cellStyle name="Normal 5 4 2 2 3 2 3" xfId="12497" xr:uid="{BC704D56-BCC5-41BE-B30D-B06DC793E7C8}"/>
    <cellStyle name="Normal 5 4 2 2 3 3" xfId="5243" xr:uid="{00000000-0005-0000-0000-0000C71A0000}"/>
    <cellStyle name="Normal 5 4 2 2 3 3 2" xfId="14569" xr:uid="{407FD65F-D482-4D03-A8A0-D8742C54F070}"/>
    <cellStyle name="Normal 5 4 2 2 3 4" xfId="9361" xr:uid="{421F0FC8-8E8F-498F-BD31-B00CB58D5B43}"/>
    <cellStyle name="Normal 5 4 2 2 3 4 2" xfId="18674" xr:uid="{D30BC10B-6862-4EAA-BCF0-024169ECFE81}"/>
    <cellStyle name="Normal 5 4 2 2 3 5" xfId="10352" xr:uid="{1AA74E32-06DC-4586-A5F6-40FC31B48540}"/>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BC363A5E-29DC-4330-BD59-3F29DBDA0308}"/>
    <cellStyle name="Normal 5 4 2 2 4 2 3" xfId="12910" xr:uid="{4D669828-C3A5-4F1C-A997-E72BDE263ACD}"/>
    <cellStyle name="Normal 5 4 2 2 4 3" xfId="5656" xr:uid="{00000000-0005-0000-0000-0000CB1A0000}"/>
    <cellStyle name="Normal 5 4 2 2 4 3 2" xfId="14982" xr:uid="{30BCD24E-8F2F-4EE4-909E-3D1DA83D63FA}"/>
    <cellStyle name="Normal 5 4 2 2 4 4" xfId="10765" xr:uid="{2C85BBF6-2B0A-48B4-B4DF-9D9E67B0B342}"/>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3456A184-1DA2-4C1E-A94C-FAA30CA2ED24}"/>
    <cellStyle name="Normal 5 4 2 2 5 2 3" xfId="13323" xr:uid="{2FA4354D-7503-47EB-A4E4-B983B1DC3CE6}"/>
    <cellStyle name="Normal 5 4 2 2 5 3" xfId="6069" xr:uid="{00000000-0005-0000-0000-0000CF1A0000}"/>
    <cellStyle name="Normal 5 4 2 2 5 3 2" xfId="15395" xr:uid="{4CD938D4-EB1A-4B26-B0E6-45C6FC024F64}"/>
    <cellStyle name="Normal 5 4 2 2 5 4" xfId="11178" xr:uid="{AC422DF0-0106-40F8-9D06-F51AAD14A78F}"/>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5A86B69D-D137-4942-9743-CF8089A83617}"/>
    <cellStyle name="Normal 5 4 2 2 6 2 3" xfId="13736" xr:uid="{C25B5D55-C7F3-4E19-B82F-5F541FAC9213}"/>
    <cellStyle name="Normal 5 4 2 2 6 3" xfId="6482" xr:uid="{00000000-0005-0000-0000-0000D31A0000}"/>
    <cellStyle name="Normal 5 4 2 2 6 3 2" xfId="15808" xr:uid="{1330ACBA-5FCF-4D9A-9B22-991D006E9835}"/>
    <cellStyle name="Normal 5 4 2 2 6 4" xfId="11591" xr:uid="{C76EE62A-0850-490F-941E-AF46AD87C8A8}"/>
    <cellStyle name="Normal 5 4 2 2 7" xfId="2612" xr:uid="{00000000-0005-0000-0000-0000D41A0000}"/>
    <cellStyle name="Normal 5 4 2 2 7 2" xfId="6895" xr:uid="{00000000-0005-0000-0000-0000D51A0000}"/>
    <cellStyle name="Normal 5 4 2 2 7 2 2" xfId="16221" xr:uid="{5E78B050-0353-4DC5-B514-712A7B900371}"/>
    <cellStyle name="Normal 5 4 2 2 7 3" xfId="12004" xr:uid="{9B6C767F-621C-4A1C-9B14-286C1EC89C46}"/>
    <cellStyle name="Normal 5 4 2 2 8" xfId="4830" xr:uid="{00000000-0005-0000-0000-0000D61A0000}"/>
    <cellStyle name="Normal 5 4 2 2 8 2" xfId="14156" xr:uid="{A3AA65FA-86B4-4F9F-905A-9A1848B21E6E}"/>
    <cellStyle name="Normal 5 4 2 2 9" xfId="8936" xr:uid="{31CF7A09-919D-40D2-B5FD-098CEA44D314}"/>
    <cellStyle name="Normal 5 4 2 2 9 2" xfId="18259" xr:uid="{3F0D88E8-AF8A-4A6B-ACBD-C2CCE74B7586}"/>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5B344EAA-29D3-493E-95BC-7E7014C731E6}"/>
    <cellStyle name="Normal 5 4 2 3 2 2 3" xfId="12499" xr:uid="{85ADB875-3ED9-4EB9-9A34-F2CCA0A87D6D}"/>
    <cellStyle name="Normal 5 4 2 3 2 3" xfId="5245" xr:uid="{00000000-0005-0000-0000-0000DB1A0000}"/>
    <cellStyle name="Normal 5 4 2 3 2 3 2" xfId="14571" xr:uid="{1C5EDDAA-73F9-428E-A3CE-6FABDA8121A4}"/>
    <cellStyle name="Normal 5 4 2 3 2 4" xfId="9465" xr:uid="{B8459C73-266B-467B-A163-FFDFF015A460}"/>
    <cellStyle name="Normal 5 4 2 3 2 4 2" xfId="18778" xr:uid="{1E79205B-9011-49E2-AA13-AFE3AA03A74A}"/>
    <cellStyle name="Normal 5 4 2 3 2 5" xfId="10354" xr:uid="{6375E453-FD8E-4DD0-84C1-BCD1F9FB204C}"/>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59946E48-C7BF-4548-8620-760F5E59B071}"/>
    <cellStyle name="Normal 5 4 2 3 3 2 3" xfId="12912" xr:uid="{61B211F3-FA6B-43CA-AF80-31F5DF7F6384}"/>
    <cellStyle name="Normal 5 4 2 3 3 3" xfId="5658" xr:uid="{00000000-0005-0000-0000-0000DF1A0000}"/>
    <cellStyle name="Normal 5 4 2 3 3 3 2" xfId="14984" xr:uid="{4476A08D-7EA1-416E-92AD-821ABAD9E174}"/>
    <cellStyle name="Normal 5 4 2 3 3 4" xfId="10767" xr:uid="{4E7CFECF-9082-4CE3-95B0-E5B9049B5536}"/>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7EC23809-F4A4-4DEF-9F45-FA4B0BA24868}"/>
    <cellStyle name="Normal 5 4 2 3 4 2 3" xfId="13325" xr:uid="{2E1BEB58-B6E6-406C-B91B-A29CAD0D8F3F}"/>
    <cellStyle name="Normal 5 4 2 3 4 3" xfId="6071" xr:uid="{00000000-0005-0000-0000-0000E31A0000}"/>
    <cellStyle name="Normal 5 4 2 3 4 3 2" xfId="15397" xr:uid="{52794AA4-ECC3-4E51-A9E8-37F9393AFD18}"/>
    <cellStyle name="Normal 5 4 2 3 4 4" xfId="11180" xr:uid="{71CE09A9-0E8A-4D78-BA9C-F64A6FC4D695}"/>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CA883B31-5E50-4795-93A7-A69EFBE2B302}"/>
    <cellStyle name="Normal 5 4 2 3 5 2 3" xfId="13738" xr:uid="{DDF4E066-E553-4DCC-B4E4-E605B7FF8E87}"/>
    <cellStyle name="Normal 5 4 2 3 5 3" xfId="6484" xr:uid="{00000000-0005-0000-0000-0000E71A0000}"/>
    <cellStyle name="Normal 5 4 2 3 5 3 2" xfId="15810" xr:uid="{0416AE62-0D20-4C57-97AC-16722770D42D}"/>
    <cellStyle name="Normal 5 4 2 3 5 4" xfId="11593" xr:uid="{0C268435-AC69-4F7F-B26C-6B879C564A7C}"/>
    <cellStyle name="Normal 5 4 2 3 6" xfId="2614" xr:uid="{00000000-0005-0000-0000-0000E81A0000}"/>
    <cellStyle name="Normal 5 4 2 3 6 2" xfId="6897" xr:uid="{00000000-0005-0000-0000-0000E91A0000}"/>
    <cellStyle name="Normal 5 4 2 3 6 2 2" xfId="16223" xr:uid="{EAF2E8F7-1B0C-4921-A116-35929C3A50B0}"/>
    <cellStyle name="Normal 5 4 2 3 6 3" xfId="12006" xr:uid="{83C28281-2216-4C03-BF18-C7171E1264F4}"/>
    <cellStyle name="Normal 5 4 2 3 7" xfId="4832" xr:uid="{00000000-0005-0000-0000-0000EA1A0000}"/>
    <cellStyle name="Normal 5 4 2 3 7 2" xfId="14158" xr:uid="{F216467E-123D-4A6A-A9EC-B7EA7AF76970}"/>
    <cellStyle name="Normal 5 4 2 3 8" xfId="9040" xr:uid="{D68CAB17-BB41-4D9B-AA76-76FE511392DC}"/>
    <cellStyle name="Normal 5 4 2 3 8 2" xfId="18363" xr:uid="{FBC735A9-F5F9-4BC1-877A-05BFE4523D64}"/>
    <cellStyle name="Normal 5 4 2 3 9" xfId="9941" xr:uid="{3886C274-888C-44DC-8186-7686E2660C4A}"/>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846999D1-C166-4538-B0E4-74D1F18AF285}"/>
    <cellStyle name="Normal 5 4 2 4 2 3" xfId="12496" xr:uid="{38DE26DE-EF75-43B6-A55D-0390CF9E3E24}"/>
    <cellStyle name="Normal 5 4 2 4 3" xfId="5242" xr:uid="{00000000-0005-0000-0000-0000EE1A0000}"/>
    <cellStyle name="Normal 5 4 2 4 3 2" xfId="14568" xr:uid="{233B5579-444C-4E8F-9A39-91C8019792B9}"/>
    <cellStyle name="Normal 5 4 2 4 4" xfId="9258" xr:uid="{971C48A9-8200-405B-A9BE-B3AFD2CDDA76}"/>
    <cellStyle name="Normal 5 4 2 4 4 2" xfId="18571" xr:uid="{EDB351A8-422C-4640-A002-77104B4AC1E0}"/>
    <cellStyle name="Normal 5 4 2 4 5" xfId="10351" xr:uid="{A22B46DE-DB7F-49E6-8ADF-C1A89F50DB13}"/>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4FDCD7D4-DF4A-4F36-B50F-26ED973C771E}"/>
    <cellStyle name="Normal 5 4 2 5 2 3" xfId="12909" xr:uid="{CAA01CF7-DA0A-4076-ABD2-1B07C82FDDED}"/>
    <cellStyle name="Normal 5 4 2 5 3" xfId="5655" xr:uid="{00000000-0005-0000-0000-0000F21A0000}"/>
    <cellStyle name="Normal 5 4 2 5 3 2" xfId="14981" xr:uid="{06A4FA7E-DD70-45FD-BF00-83138374D523}"/>
    <cellStyle name="Normal 5 4 2 5 4" xfId="10764" xr:uid="{26909C76-F59B-4371-879F-FDF392B7BA63}"/>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25EC3496-830D-4D26-8F9C-C8510B3E3280}"/>
    <cellStyle name="Normal 5 4 2 6 2 3" xfId="13322" xr:uid="{7456504A-F4AC-43D0-8C9D-230DADDB79C6}"/>
    <cellStyle name="Normal 5 4 2 6 3" xfId="6068" xr:uid="{00000000-0005-0000-0000-0000F61A0000}"/>
    <cellStyle name="Normal 5 4 2 6 3 2" xfId="15394" xr:uid="{6F6ACC69-DEF4-4AB9-8844-A74C9EBEC27D}"/>
    <cellStyle name="Normal 5 4 2 6 4" xfId="11177" xr:uid="{EF57BAEE-BEB8-4525-8EB5-86A4403770BC}"/>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F262EB93-EBD9-4F40-846D-759FB9CD7FBF}"/>
    <cellStyle name="Normal 5 4 2 7 2 3" xfId="13735" xr:uid="{68643C47-AEC7-445C-A665-549F01C99FC5}"/>
    <cellStyle name="Normal 5 4 2 7 3" xfId="6481" xr:uid="{00000000-0005-0000-0000-0000FA1A0000}"/>
    <cellStyle name="Normal 5 4 2 7 3 2" xfId="15807" xr:uid="{5936944C-CC5F-4175-A5AA-D7037D9CEFB4}"/>
    <cellStyle name="Normal 5 4 2 7 4" xfId="11590" xr:uid="{5FECA41B-D1E7-4E02-86DC-701D8321F589}"/>
    <cellStyle name="Normal 5 4 2 8" xfId="2611" xr:uid="{00000000-0005-0000-0000-0000FB1A0000}"/>
    <cellStyle name="Normal 5 4 2 8 2" xfId="6894" xr:uid="{00000000-0005-0000-0000-0000FC1A0000}"/>
    <cellStyle name="Normal 5 4 2 8 2 2" xfId="16220" xr:uid="{26578D44-209D-4C9F-804D-BCD8E39EE97B}"/>
    <cellStyle name="Normal 5 4 2 8 3" xfId="12003" xr:uid="{D3CD96BF-D186-4A68-9669-F01DAF2FE1FB}"/>
    <cellStyle name="Normal 5 4 2 9" xfId="4829" xr:uid="{00000000-0005-0000-0000-0000FD1A0000}"/>
    <cellStyle name="Normal 5 4 2 9 2" xfId="14155" xr:uid="{426F0465-0DB6-4D69-8A30-6F9B27DB23AB}"/>
    <cellStyle name="Normal 5 4 3" xfId="461" xr:uid="{00000000-0005-0000-0000-0000FE1A0000}"/>
    <cellStyle name="Normal 5 4 3 10" xfId="9942" xr:uid="{5D56AC17-736E-41E2-AE21-D5C634B20FE8}"/>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28F61C30-2212-4C6A-B3DB-CFC7E6C3DC89}"/>
    <cellStyle name="Normal 5 4 3 2 2 2 3" xfId="12501" xr:uid="{70497A1A-8176-4C9C-81E0-77FC1CDB3509}"/>
    <cellStyle name="Normal 5 4 3 2 2 3" xfId="5247" xr:uid="{00000000-0005-0000-0000-0000031B0000}"/>
    <cellStyle name="Normal 5 4 3 2 2 3 2" xfId="14573" xr:uid="{AAEDADA9-2D92-44B1-9C51-CE67AAA74BF2}"/>
    <cellStyle name="Normal 5 4 3 2 2 4" xfId="9508" xr:uid="{1F9B5A8F-2A45-43C5-9422-E8BC84424A55}"/>
    <cellStyle name="Normal 5 4 3 2 2 4 2" xfId="18821" xr:uid="{AC4CB4E0-A22B-435E-9631-DF0189982F7B}"/>
    <cellStyle name="Normal 5 4 3 2 2 5" xfId="10356" xr:uid="{BE87FE78-35D2-4A09-878D-F1C46376B03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2D3E418B-D272-4ABE-92C8-7388F2112A08}"/>
    <cellStyle name="Normal 5 4 3 2 3 2 3" xfId="12914" xr:uid="{365BE1EC-6F31-420F-BD68-8BE099D5285B}"/>
    <cellStyle name="Normal 5 4 3 2 3 3" xfId="5660" xr:uid="{00000000-0005-0000-0000-0000071B0000}"/>
    <cellStyle name="Normal 5 4 3 2 3 3 2" xfId="14986" xr:uid="{21F1E691-02D9-4199-8A64-46811E265C6E}"/>
    <cellStyle name="Normal 5 4 3 2 3 4" xfId="10769" xr:uid="{843771DF-B072-4D09-B788-512FE88102AE}"/>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B28D3CF2-8D63-4E28-B2DD-A835210ED351}"/>
    <cellStyle name="Normal 5 4 3 2 4 2 3" xfId="13327" xr:uid="{68C3D718-5585-467D-9EB2-AEF6A91660BC}"/>
    <cellStyle name="Normal 5 4 3 2 4 3" xfId="6073" xr:uid="{00000000-0005-0000-0000-00000B1B0000}"/>
    <cellStyle name="Normal 5 4 3 2 4 3 2" xfId="15399" xr:uid="{9C872A4C-EE92-454D-B5B0-069BE6B44327}"/>
    <cellStyle name="Normal 5 4 3 2 4 4" xfId="11182" xr:uid="{8B964883-4201-4F3F-8AD2-7968D8D6A966}"/>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8664D2E4-528B-40E4-BC1B-7E8554182416}"/>
    <cellStyle name="Normal 5 4 3 2 5 2 3" xfId="13740" xr:uid="{651E37E7-C0F9-4647-9A6B-960DC5BE491B}"/>
    <cellStyle name="Normal 5 4 3 2 5 3" xfId="6486" xr:uid="{00000000-0005-0000-0000-00000F1B0000}"/>
    <cellStyle name="Normal 5 4 3 2 5 3 2" xfId="15812" xr:uid="{13D14838-1246-4D62-9991-1C8C34F5CF6C}"/>
    <cellStyle name="Normal 5 4 3 2 5 4" xfId="11595" xr:uid="{8ADEA6BB-363A-4EF6-9453-4154BDDE5295}"/>
    <cellStyle name="Normal 5 4 3 2 6" xfId="2616" xr:uid="{00000000-0005-0000-0000-0000101B0000}"/>
    <cellStyle name="Normal 5 4 3 2 6 2" xfId="6899" xr:uid="{00000000-0005-0000-0000-0000111B0000}"/>
    <cellStyle name="Normal 5 4 3 2 6 2 2" xfId="16225" xr:uid="{8CD2F882-E072-4CCF-90F1-5880029E6818}"/>
    <cellStyle name="Normal 5 4 3 2 6 3" xfId="12008" xr:uid="{AF03E799-F16A-4970-81C4-3B9757ACE561}"/>
    <cellStyle name="Normal 5 4 3 2 7" xfId="4834" xr:uid="{00000000-0005-0000-0000-0000121B0000}"/>
    <cellStyle name="Normal 5 4 3 2 7 2" xfId="14160" xr:uid="{9A119FE6-8CED-454D-91C4-83688FA3BBEF}"/>
    <cellStyle name="Normal 5 4 3 2 8" xfId="9083" xr:uid="{206384C8-6AD8-4D28-8F99-3033A80D68FC}"/>
    <cellStyle name="Normal 5 4 3 2 8 2" xfId="18406" xr:uid="{94319A5A-A7C5-4626-8A9D-5F5DD366AD28}"/>
    <cellStyle name="Normal 5 4 3 2 9" xfId="9943" xr:uid="{21C06A03-1AD7-47FF-A008-E863D9132451}"/>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1F9F2FD7-D7CB-460D-943A-3947F4B78C48}"/>
    <cellStyle name="Normal 5 4 3 3 2 3" xfId="12500" xr:uid="{CDF284F9-452A-4BEB-AA95-F29B705E6933}"/>
    <cellStyle name="Normal 5 4 3 3 3" xfId="5246" xr:uid="{00000000-0005-0000-0000-0000161B0000}"/>
    <cellStyle name="Normal 5 4 3 3 3 2" xfId="14572" xr:uid="{D3109F73-789A-4E76-BD8D-6DDEA8BDC3EF}"/>
    <cellStyle name="Normal 5 4 3 3 4" xfId="9301" xr:uid="{CB02BBE7-2E3D-4C67-A62E-BA84DE882039}"/>
    <cellStyle name="Normal 5 4 3 3 4 2" xfId="18614" xr:uid="{A5046DEC-6CFC-4911-87AD-21815D58716A}"/>
    <cellStyle name="Normal 5 4 3 3 5" xfId="10355" xr:uid="{07EDE4F6-2877-42D2-BC97-BF80E9A9C7E6}"/>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68629871-FCA5-4CDB-80FC-5F5C67805A15}"/>
    <cellStyle name="Normal 5 4 3 4 2 3" xfId="12913" xr:uid="{1AB04833-11C7-4DB1-9FA2-6B607E6482BF}"/>
    <cellStyle name="Normal 5 4 3 4 3" xfId="5659" xr:uid="{00000000-0005-0000-0000-00001A1B0000}"/>
    <cellStyle name="Normal 5 4 3 4 3 2" xfId="14985" xr:uid="{C118736E-2616-412F-B762-91C7ECFDFA7A}"/>
    <cellStyle name="Normal 5 4 3 4 4" xfId="10768" xr:uid="{81B58165-182D-4A7F-9EC8-308B2D14883A}"/>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DC996700-B8C1-4A77-AA89-F755B412F6E6}"/>
    <cellStyle name="Normal 5 4 3 5 2 3" xfId="13326" xr:uid="{A2B65046-9AFB-44CA-831C-640E5CEA33B5}"/>
    <cellStyle name="Normal 5 4 3 5 3" xfId="6072" xr:uid="{00000000-0005-0000-0000-00001E1B0000}"/>
    <cellStyle name="Normal 5 4 3 5 3 2" xfId="15398" xr:uid="{E0DF1F62-6044-4F7B-A63D-F0DFC4B36EAD}"/>
    <cellStyle name="Normal 5 4 3 5 4" xfId="11181" xr:uid="{D162BBBD-1831-4672-AD83-36C76CAC62EA}"/>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D46C4F9C-F854-4488-ADA2-315D788EFC22}"/>
    <cellStyle name="Normal 5 4 3 6 2 3" xfId="13739" xr:uid="{501070E3-DCD0-4F03-824E-9A23860E10AA}"/>
    <cellStyle name="Normal 5 4 3 6 3" xfId="6485" xr:uid="{00000000-0005-0000-0000-0000221B0000}"/>
    <cellStyle name="Normal 5 4 3 6 3 2" xfId="15811" xr:uid="{42B81FE7-A7CB-4936-A54B-688039744D2A}"/>
    <cellStyle name="Normal 5 4 3 6 4" xfId="11594" xr:uid="{2B2FFB68-5A9E-46B5-B7F5-FB1014494363}"/>
    <cellStyle name="Normal 5 4 3 7" xfId="2615" xr:uid="{00000000-0005-0000-0000-0000231B0000}"/>
    <cellStyle name="Normal 5 4 3 7 2" xfId="6898" xr:uid="{00000000-0005-0000-0000-0000241B0000}"/>
    <cellStyle name="Normal 5 4 3 7 2 2" xfId="16224" xr:uid="{5EBF4121-5E19-4D38-B9FD-045746707C21}"/>
    <cellStyle name="Normal 5 4 3 7 3" xfId="12007" xr:uid="{9FD72964-10E2-45CC-94E2-7451A5698BA5}"/>
    <cellStyle name="Normal 5 4 3 8" xfId="4833" xr:uid="{00000000-0005-0000-0000-0000251B0000}"/>
    <cellStyle name="Normal 5 4 3 8 2" xfId="14159" xr:uid="{08ACA481-88A9-403E-B961-A19A1FA8E97E}"/>
    <cellStyle name="Normal 5 4 3 9" xfId="8876" xr:uid="{D636A598-175F-46A4-8005-1A20EC6CCEC9}"/>
    <cellStyle name="Normal 5 4 3 9 2" xfId="18199" xr:uid="{FBFBE3E7-4E81-4A3F-A2B0-D750C52440AE}"/>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A0938C2E-BA8D-48BA-A3E1-5148582CD021}"/>
    <cellStyle name="Normal 5 4 4 2 2 3" xfId="12502" xr:uid="{C8A5DED8-E90C-4A42-A8B1-6A9CC03F2F81}"/>
    <cellStyle name="Normal 5 4 4 2 3" xfId="5248" xr:uid="{00000000-0005-0000-0000-00002A1B0000}"/>
    <cellStyle name="Normal 5 4 4 2 3 2" xfId="14574" xr:uid="{EE4EEADB-3632-4950-981A-FB64AC1FB7E2}"/>
    <cellStyle name="Normal 5 4 4 2 4" xfId="9405" xr:uid="{F05DE0DC-A0AA-4CEB-9ABC-0D70F781B819}"/>
    <cellStyle name="Normal 5 4 4 2 4 2" xfId="18718" xr:uid="{C4E833B6-56CD-4C9F-93F7-B0B3F232FF94}"/>
    <cellStyle name="Normal 5 4 4 2 5" xfId="10357" xr:uid="{1E4B5886-0342-4ADB-BAF4-79A401F8F86A}"/>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2210651E-FA45-4FB7-925C-81CB83803368}"/>
    <cellStyle name="Normal 5 4 4 3 2 3" xfId="12915" xr:uid="{B0590E53-6883-4DFE-8274-ADAA13B1C6AB}"/>
    <cellStyle name="Normal 5 4 4 3 3" xfId="5661" xr:uid="{00000000-0005-0000-0000-00002E1B0000}"/>
    <cellStyle name="Normal 5 4 4 3 3 2" xfId="14987" xr:uid="{73ECC77F-B245-4A26-81B3-BF6A818242CC}"/>
    <cellStyle name="Normal 5 4 4 3 4" xfId="10770" xr:uid="{277990E6-13AF-4E6B-BB8A-7BAD6CCF7D55}"/>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2959D3C5-8AA4-4C34-9024-984FCFC9BC17}"/>
    <cellStyle name="Normal 5 4 4 4 2 3" xfId="13328" xr:uid="{E796AA9C-12E6-4A40-ABF6-B8AD4F1FC448}"/>
    <cellStyle name="Normal 5 4 4 4 3" xfId="6074" xr:uid="{00000000-0005-0000-0000-0000321B0000}"/>
    <cellStyle name="Normal 5 4 4 4 3 2" xfId="15400" xr:uid="{2F36745D-47B4-42B3-BE93-435818F74774}"/>
    <cellStyle name="Normal 5 4 4 4 4" xfId="11183" xr:uid="{6BE53320-D8B8-496B-8A6C-02E2372B4FA2}"/>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8CFBE721-F600-48C3-8588-099A2F1D77B7}"/>
    <cellStyle name="Normal 5 4 4 5 2 3" xfId="13741" xr:uid="{C1F2191D-4533-496A-91BD-A17D6419EAF7}"/>
    <cellStyle name="Normal 5 4 4 5 3" xfId="6487" xr:uid="{00000000-0005-0000-0000-0000361B0000}"/>
    <cellStyle name="Normal 5 4 4 5 3 2" xfId="15813" xr:uid="{1D945DE6-AE0E-4125-9BDA-C732E4A83B38}"/>
    <cellStyle name="Normal 5 4 4 5 4" xfId="11596" xr:uid="{3C41052B-74B3-41F1-9B2E-E37F926DE31B}"/>
    <cellStyle name="Normal 5 4 4 6" xfId="2617" xr:uid="{00000000-0005-0000-0000-0000371B0000}"/>
    <cellStyle name="Normal 5 4 4 6 2" xfId="6900" xr:uid="{00000000-0005-0000-0000-0000381B0000}"/>
    <cellStyle name="Normal 5 4 4 6 2 2" xfId="16226" xr:uid="{F5F4C137-A6F6-48DF-B115-C3B88CA87B61}"/>
    <cellStyle name="Normal 5 4 4 6 3" xfId="12009" xr:uid="{EFC44C2D-4E0C-40B5-9FC4-43E8F86CC291}"/>
    <cellStyle name="Normal 5 4 4 7" xfId="4835" xr:uid="{00000000-0005-0000-0000-0000391B0000}"/>
    <cellStyle name="Normal 5 4 4 7 2" xfId="14161" xr:uid="{426201F2-5A3F-4F75-AFB1-692522371723}"/>
    <cellStyle name="Normal 5 4 4 8" xfId="8980" xr:uid="{B1DB48A4-94CB-4CC2-8D4B-8FD478363D48}"/>
    <cellStyle name="Normal 5 4 4 8 2" xfId="18303" xr:uid="{198B7C78-68BD-4AC2-B11F-B50CEA1B4D50}"/>
    <cellStyle name="Normal 5 4 4 9" xfId="9944" xr:uid="{49B542BE-237D-4435-96EA-2B3B08D3A105}"/>
    <cellStyle name="Normal 5 4 5" xfId="930" xr:uid="{00000000-0005-0000-0000-00003A1B0000}"/>
    <cellStyle name="Normal 5 4 5 2" xfId="3164" xr:uid="{00000000-0005-0000-0000-00003B1B0000}"/>
    <cellStyle name="Normal 5 4 5 2 2" xfId="7386" xr:uid="{00000000-0005-0000-0000-00003C1B0000}"/>
    <cellStyle name="Normal 5 4 5 2 2 2" xfId="16712" xr:uid="{014CEFDF-084D-46D2-BB4D-755BAF69E812}"/>
    <cellStyle name="Normal 5 4 5 2 3" xfId="12495" xr:uid="{171E78E5-B72D-455D-8202-C8A7D6239638}"/>
    <cellStyle name="Normal 5 4 5 3" xfId="5241" xr:uid="{00000000-0005-0000-0000-00003D1B0000}"/>
    <cellStyle name="Normal 5 4 5 3 2" xfId="14567" xr:uid="{40783873-471C-4C50-AAE2-6C008A72049C}"/>
    <cellStyle name="Normal 5 4 5 4" xfId="9197" xr:uid="{44FF0EFB-444B-4C40-B695-8C256ADB5563}"/>
    <cellStyle name="Normal 5 4 5 4 2" xfId="18511" xr:uid="{287D08EC-5BD8-456D-803B-A0719DB96D0B}"/>
    <cellStyle name="Normal 5 4 5 5" xfId="10350" xr:uid="{44E48D6A-A9D4-4FBE-BBE6-480F46CE889C}"/>
    <cellStyle name="Normal 5 4 6" xfId="1347" xr:uid="{00000000-0005-0000-0000-00003E1B0000}"/>
    <cellStyle name="Normal 5 4 6 2" xfId="3577" xr:uid="{00000000-0005-0000-0000-00003F1B0000}"/>
    <cellStyle name="Normal 5 4 6 2 2" xfId="7799" xr:uid="{00000000-0005-0000-0000-0000401B0000}"/>
    <cellStyle name="Normal 5 4 6 2 2 2" xfId="17125" xr:uid="{D31EEFE0-7D0A-450A-86A1-E37807F3C3B7}"/>
    <cellStyle name="Normal 5 4 6 2 3" xfId="12908" xr:uid="{EBDACA26-7166-4A58-BBE0-C4D9EC8B3E54}"/>
    <cellStyle name="Normal 5 4 6 3" xfId="5654" xr:uid="{00000000-0005-0000-0000-0000411B0000}"/>
    <cellStyle name="Normal 5 4 6 3 2" xfId="14980" xr:uid="{97979BF9-DBCE-4A9A-B6D0-212D83C75B2B}"/>
    <cellStyle name="Normal 5 4 6 4" xfId="10763" xr:uid="{FE31172C-E0F9-4318-A017-9C4F012D7F18}"/>
    <cellStyle name="Normal 5 4 7" xfId="1760" xr:uid="{00000000-0005-0000-0000-0000421B0000}"/>
    <cellStyle name="Normal 5 4 7 2" xfId="3990" xr:uid="{00000000-0005-0000-0000-0000431B0000}"/>
    <cellStyle name="Normal 5 4 7 2 2" xfId="8212" xr:uid="{00000000-0005-0000-0000-0000441B0000}"/>
    <cellStyle name="Normal 5 4 7 2 2 2" xfId="17538" xr:uid="{E3997922-8092-4C63-8337-3A6EBD86BCAB}"/>
    <cellStyle name="Normal 5 4 7 2 3" xfId="13321" xr:uid="{55E1B8F7-A748-4673-BD62-FCBB812802E5}"/>
    <cellStyle name="Normal 5 4 7 3" xfId="6067" xr:uid="{00000000-0005-0000-0000-0000451B0000}"/>
    <cellStyle name="Normal 5 4 7 3 2" xfId="15393" xr:uid="{32722172-616E-44B1-8FAD-29574CCFBC4B}"/>
    <cellStyle name="Normal 5 4 7 4" xfId="11176" xr:uid="{FBFCD1CF-D285-421E-8077-9A1DBAD0557A}"/>
    <cellStyle name="Normal 5 4 8" xfId="2174" xr:uid="{00000000-0005-0000-0000-0000461B0000}"/>
    <cellStyle name="Normal 5 4 8 2" xfId="4403" xr:uid="{00000000-0005-0000-0000-0000471B0000}"/>
    <cellStyle name="Normal 5 4 8 2 2" xfId="8625" xr:uid="{00000000-0005-0000-0000-0000481B0000}"/>
    <cellStyle name="Normal 5 4 8 2 2 2" xfId="17951" xr:uid="{AFEA0655-5F6E-490F-BB59-9587B5E42E19}"/>
    <cellStyle name="Normal 5 4 8 2 3" xfId="13734" xr:uid="{4EC01E5B-C9CD-460A-8529-5DCA39BD24D0}"/>
    <cellStyle name="Normal 5 4 8 3" xfId="6480" xr:uid="{00000000-0005-0000-0000-0000491B0000}"/>
    <cellStyle name="Normal 5 4 8 3 2" xfId="15806" xr:uid="{4683C470-A807-4166-A5CE-BB79F113AF36}"/>
    <cellStyle name="Normal 5 4 8 4" xfId="11589" xr:uid="{EDF7FC46-95DD-4BF5-A7B5-912B3D5F6CEB}"/>
    <cellStyle name="Normal 5 4 9" xfId="2610" xr:uid="{00000000-0005-0000-0000-00004A1B0000}"/>
    <cellStyle name="Normal 5 4 9 2" xfId="6893" xr:uid="{00000000-0005-0000-0000-00004B1B0000}"/>
    <cellStyle name="Normal 5 4 9 2 2" xfId="16219" xr:uid="{7658291C-57F7-404C-8041-17598B44857F}"/>
    <cellStyle name="Normal 5 4 9 3" xfId="12002" xr:uid="{8C8EE6B4-8CD5-4761-A76C-A6E99D909F50}"/>
    <cellStyle name="Normal 5 5" xfId="464" xr:uid="{00000000-0005-0000-0000-00004C1B0000}"/>
    <cellStyle name="Normal 5 5 10" xfId="8826" xr:uid="{5746674A-546A-44BF-97FB-6D298BF3AD61}"/>
    <cellStyle name="Normal 5 5 10 2" xfId="18149" xr:uid="{15F5318C-23B6-4E6C-936A-5E7CB7B42149}"/>
    <cellStyle name="Normal 5 5 11" xfId="9945" xr:uid="{9B0AB70E-BAC6-4DED-AE78-30C73A9443F7}"/>
    <cellStyle name="Normal 5 5 2" xfId="465" xr:uid="{00000000-0005-0000-0000-00004D1B0000}"/>
    <cellStyle name="Normal 5 5 2 10" xfId="9946" xr:uid="{648DABA7-08B0-4F7D-BBEE-3E3C10FBFB7A}"/>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413774C4-11B3-4A13-8637-C2A328BA5B14}"/>
    <cellStyle name="Normal 5 5 2 2 2 2 3" xfId="12505" xr:uid="{02F55AAD-2610-45D0-A143-FABAEB617EA9}"/>
    <cellStyle name="Normal 5 5 2 2 2 3" xfId="5251" xr:uid="{00000000-0005-0000-0000-0000521B0000}"/>
    <cellStyle name="Normal 5 5 2 2 2 3 2" xfId="14577" xr:uid="{C8D79539-7AD8-43E1-9C01-3D333C9A709E}"/>
    <cellStyle name="Normal 5 5 2 2 2 4" xfId="9561" xr:uid="{FF1EB4DD-E23E-4228-816B-D59B021F724D}"/>
    <cellStyle name="Normal 5 5 2 2 2 4 2" xfId="18874" xr:uid="{868FE838-7DF7-4E7E-A136-D597A9DD874C}"/>
    <cellStyle name="Normal 5 5 2 2 2 5" xfId="10360" xr:uid="{3937D093-E69F-498B-BE0C-6EED746B44C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89E31AE1-D983-44DE-831C-3868C2576913}"/>
    <cellStyle name="Normal 5 5 2 2 3 2 3" xfId="12918" xr:uid="{5A1980EB-C6B5-4321-93BA-C1455BBA2B2D}"/>
    <cellStyle name="Normal 5 5 2 2 3 3" xfId="5664" xr:uid="{00000000-0005-0000-0000-0000561B0000}"/>
    <cellStyle name="Normal 5 5 2 2 3 3 2" xfId="14990" xr:uid="{BCD10DB3-CC79-48EF-B89A-A356474D0AC1}"/>
    <cellStyle name="Normal 5 5 2 2 3 4" xfId="10773" xr:uid="{8BE5E1EA-CC67-4BC9-9A68-15699AEC43AE}"/>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10303581-6344-4C72-902B-ADC98AEFBE55}"/>
    <cellStyle name="Normal 5 5 2 2 4 2 3" xfId="13331" xr:uid="{ADD5757B-17F1-45A4-ABBA-8ABDEF90CEC3}"/>
    <cellStyle name="Normal 5 5 2 2 4 3" xfId="6077" xr:uid="{00000000-0005-0000-0000-00005A1B0000}"/>
    <cellStyle name="Normal 5 5 2 2 4 3 2" xfId="15403" xr:uid="{AD643139-7D34-4E30-996B-2ECCAD097D09}"/>
    <cellStyle name="Normal 5 5 2 2 4 4" xfId="11186" xr:uid="{50A8934D-E5AE-4CBE-9A01-3F377E8A2F41}"/>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F399B78C-04BF-4F9D-9610-F144121F41BC}"/>
    <cellStyle name="Normal 5 5 2 2 5 2 3" xfId="13744" xr:uid="{068D55EB-73E7-4563-BFF4-76B62AF43E94}"/>
    <cellStyle name="Normal 5 5 2 2 5 3" xfId="6490" xr:uid="{00000000-0005-0000-0000-00005E1B0000}"/>
    <cellStyle name="Normal 5 5 2 2 5 3 2" xfId="15816" xr:uid="{8D3B63B0-659F-4FC5-B9B6-84FE8E88644C}"/>
    <cellStyle name="Normal 5 5 2 2 5 4" xfId="11599" xr:uid="{A76CCAD3-1A86-48FE-9C55-8E8C3B1A12D5}"/>
    <cellStyle name="Normal 5 5 2 2 6" xfId="2620" xr:uid="{00000000-0005-0000-0000-00005F1B0000}"/>
    <cellStyle name="Normal 5 5 2 2 6 2" xfId="6903" xr:uid="{00000000-0005-0000-0000-0000601B0000}"/>
    <cellStyle name="Normal 5 5 2 2 6 2 2" xfId="16229" xr:uid="{488C27ED-FEB0-4C56-9653-CCE67FB9134A}"/>
    <cellStyle name="Normal 5 5 2 2 6 3" xfId="12012" xr:uid="{AC934D7E-5720-4CF0-AC6C-985220DC24D4}"/>
    <cellStyle name="Normal 5 5 2 2 7" xfId="4838" xr:uid="{00000000-0005-0000-0000-0000611B0000}"/>
    <cellStyle name="Normal 5 5 2 2 7 2" xfId="14164" xr:uid="{309FBB32-D963-4F74-B2A0-44C897D0A7FA}"/>
    <cellStyle name="Normal 5 5 2 2 8" xfId="9136" xr:uid="{D41453B5-3BE6-4F01-B336-45A274529844}"/>
    <cellStyle name="Normal 5 5 2 2 8 2" xfId="18459" xr:uid="{CA4556F9-31FD-453B-8E9D-1CFFE2857470}"/>
    <cellStyle name="Normal 5 5 2 2 9" xfId="9947" xr:uid="{6E50F168-E500-4C07-9514-379EEFA9FE41}"/>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754BD102-2E32-4DB6-A6F5-4D5584DB0089}"/>
    <cellStyle name="Normal 5 5 2 3 2 3" xfId="12504" xr:uid="{6F1504D2-B453-40BD-83EC-06BB6A0D56B9}"/>
    <cellStyle name="Normal 5 5 2 3 3" xfId="5250" xr:uid="{00000000-0005-0000-0000-0000651B0000}"/>
    <cellStyle name="Normal 5 5 2 3 3 2" xfId="14576" xr:uid="{5AB0384B-3C2B-49F9-981D-8A7386E67BC2}"/>
    <cellStyle name="Normal 5 5 2 3 4" xfId="9354" xr:uid="{3251F49D-E700-469D-9840-28045D408641}"/>
    <cellStyle name="Normal 5 5 2 3 4 2" xfId="18667" xr:uid="{51C3EDEB-4DB9-4D0F-AE08-BB69CF8B3AAE}"/>
    <cellStyle name="Normal 5 5 2 3 5" xfId="10359" xr:uid="{2D6C4C27-3A74-4186-B6D5-A23D9A6D296F}"/>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8AB484EB-A8EA-408F-A8C3-9863A2357437}"/>
    <cellStyle name="Normal 5 5 2 4 2 3" xfId="12917" xr:uid="{3A3E9FE1-CC1E-470C-BA18-C446E781CC8F}"/>
    <cellStyle name="Normal 5 5 2 4 3" xfId="5663" xr:uid="{00000000-0005-0000-0000-0000691B0000}"/>
    <cellStyle name="Normal 5 5 2 4 3 2" xfId="14989" xr:uid="{164F5D20-CC87-43B1-8CF1-38B8C546322D}"/>
    <cellStyle name="Normal 5 5 2 4 4" xfId="10772" xr:uid="{6697FB0A-EF37-4DE9-A696-D370BA5757CB}"/>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9897ABA3-6236-4D35-96BA-01D1EBEA318B}"/>
    <cellStyle name="Normal 5 5 2 5 2 3" xfId="13330" xr:uid="{F4257F30-E279-47FA-9544-3CBEE2453B24}"/>
    <cellStyle name="Normal 5 5 2 5 3" xfId="6076" xr:uid="{00000000-0005-0000-0000-00006D1B0000}"/>
    <cellStyle name="Normal 5 5 2 5 3 2" xfId="15402" xr:uid="{BF63A66A-8F59-4757-9173-2491DCB9A6AD}"/>
    <cellStyle name="Normal 5 5 2 5 4" xfId="11185" xr:uid="{1E76CD25-4CB7-4E99-957B-8DB2A3EE3C70}"/>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E8AC314D-7F0F-4607-B313-C8D1ED637A63}"/>
    <cellStyle name="Normal 5 5 2 6 2 3" xfId="13743" xr:uid="{F12632BA-764E-48CC-B214-5AA3AA7ED851}"/>
    <cellStyle name="Normal 5 5 2 6 3" xfId="6489" xr:uid="{00000000-0005-0000-0000-0000711B0000}"/>
    <cellStyle name="Normal 5 5 2 6 3 2" xfId="15815" xr:uid="{0EF03544-649F-4E2C-B947-B1D866410DEE}"/>
    <cellStyle name="Normal 5 5 2 6 4" xfId="11598" xr:uid="{F50F80E9-65E9-4E96-AF59-3BCF01C0A335}"/>
    <cellStyle name="Normal 5 5 2 7" xfId="2619" xr:uid="{00000000-0005-0000-0000-0000721B0000}"/>
    <cellStyle name="Normal 5 5 2 7 2" xfId="6902" xr:uid="{00000000-0005-0000-0000-0000731B0000}"/>
    <cellStyle name="Normal 5 5 2 7 2 2" xfId="16228" xr:uid="{C39DE553-4DB1-423E-B228-B20EAA021F4B}"/>
    <cellStyle name="Normal 5 5 2 7 3" xfId="12011" xr:uid="{BDE008A2-8132-44BA-94E5-AC5BBBFD4837}"/>
    <cellStyle name="Normal 5 5 2 8" xfId="4837" xr:uid="{00000000-0005-0000-0000-0000741B0000}"/>
    <cellStyle name="Normal 5 5 2 8 2" xfId="14163" xr:uid="{6DA6EE5C-A72F-4138-BABC-6D630D83B76B}"/>
    <cellStyle name="Normal 5 5 2 9" xfId="8929" xr:uid="{918246BA-1946-46D4-8BAF-6DC0C4DC8AC3}"/>
    <cellStyle name="Normal 5 5 2 9 2" xfId="18252" xr:uid="{AF09106E-D8B4-41AB-BED3-03097C10BF9F}"/>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521AB439-684A-4D3C-9591-56337C50B137}"/>
    <cellStyle name="Normal 5 5 3 2 2 3" xfId="12506" xr:uid="{A6FFDD4C-5E28-49D4-9369-81A178105937}"/>
    <cellStyle name="Normal 5 5 3 2 3" xfId="5252" xr:uid="{00000000-0005-0000-0000-0000791B0000}"/>
    <cellStyle name="Normal 5 5 3 2 3 2" xfId="14578" xr:uid="{5FF25781-0DB8-4F2A-A263-CD83BD756833}"/>
    <cellStyle name="Normal 5 5 3 2 4" xfId="9458" xr:uid="{8AD16727-CFBF-4DB5-B58F-04D48E2B564D}"/>
    <cellStyle name="Normal 5 5 3 2 4 2" xfId="18771" xr:uid="{CE0D984B-65DC-4E13-A3DC-32C0B1335646}"/>
    <cellStyle name="Normal 5 5 3 2 5" xfId="10361" xr:uid="{D1F89155-ADA6-4AEC-A3FC-B1EE82D1B09F}"/>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D03C946C-EBD9-4454-9842-BD2F8439E1A4}"/>
    <cellStyle name="Normal 5 5 3 3 2 3" xfId="12919" xr:uid="{2B768066-2D0D-47BD-A541-ED89257F1DF0}"/>
    <cellStyle name="Normal 5 5 3 3 3" xfId="5665" xr:uid="{00000000-0005-0000-0000-00007D1B0000}"/>
    <cellStyle name="Normal 5 5 3 3 3 2" xfId="14991" xr:uid="{5989CE89-C44D-471B-9009-3CD36BB6E920}"/>
    <cellStyle name="Normal 5 5 3 3 4" xfId="10774" xr:uid="{AD164EA0-B62E-4E5B-9FBE-1F7429E7DFC4}"/>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4DED2B9C-FCBA-4333-AB78-451B05515BF8}"/>
    <cellStyle name="Normal 5 5 3 4 2 3" xfId="13332" xr:uid="{ED78984E-FA83-43BA-AFAF-265FEBB4397B}"/>
    <cellStyle name="Normal 5 5 3 4 3" xfId="6078" xr:uid="{00000000-0005-0000-0000-0000811B0000}"/>
    <cellStyle name="Normal 5 5 3 4 3 2" xfId="15404" xr:uid="{3497BF03-4699-4BBA-872E-F27B6FD9925E}"/>
    <cellStyle name="Normal 5 5 3 4 4" xfId="11187" xr:uid="{19C411D4-AD19-494C-B09F-3F02FB4622A5}"/>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88779C59-BF1A-4C1F-9C86-CBE5AE24A1C3}"/>
    <cellStyle name="Normal 5 5 3 5 2 3" xfId="13745" xr:uid="{9D662C26-1A3F-4F4D-869E-58ABDBD02EEF}"/>
    <cellStyle name="Normal 5 5 3 5 3" xfId="6491" xr:uid="{00000000-0005-0000-0000-0000851B0000}"/>
    <cellStyle name="Normal 5 5 3 5 3 2" xfId="15817" xr:uid="{29DCC8F2-5AD1-4E9B-BE85-64448E655DA9}"/>
    <cellStyle name="Normal 5 5 3 5 4" xfId="11600" xr:uid="{0053039B-6B21-4358-8E1E-73FCF18E64C7}"/>
    <cellStyle name="Normal 5 5 3 6" xfId="2621" xr:uid="{00000000-0005-0000-0000-0000861B0000}"/>
    <cellStyle name="Normal 5 5 3 6 2" xfId="6904" xr:uid="{00000000-0005-0000-0000-0000871B0000}"/>
    <cellStyle name="Normal 5 5 3 6 2 2" xfId="16230" xr:uid="{608395A9-AD69-4964-B195-80D84A52F0BC}"/>
    <cellStyle name="Normal 5 5 3 6 3" xfId="12013" xr:uid="{D7322397-31DA-43D7-9E0C-B6CCF11F9170}"/>
    <cellStyle name="Normal 5 5 3 7" xfId="4839" xr:uid="{00000000-0005-0000-0000-0000881B0000}"/>
    <cellStyle name="Normal 5 5 3 7 2" xfId="14165" xr:uid="{656DB2F4-D9D5-41D1-8644-9C7D002D38D9}"/>
    <cellStyle name="Normal 5 5 3 8" xfId="9033" xr:uid="{08F77EF7-8D03-42D9-B538-FE3582C4B971}"/>
    <cellStyle name="Normal 5 5 3 8 2" xfId="18356" xr:uid="{673A0BFC-CD6E-4D68-91F5-B83066C7F1AA}"/>
    <cellStyle name="Normal 5 5 3 9" xfId="9948" xr:uid="{09C1FFBE-5848-4704-B95E-155D3A640BF3}"/>
    <cellStyle name="Normal 5 5 4" xfId="938" xr:uid="{00000000-0005-0000-0000-0000891B0000}"/>
    <cellStyle name="Normal 5 5 4 2" xfId="3172" xr:uid="{00000000-0005-0000-0000-00008A1B0000}"/>
    <cellStyle name="Normal 5 5 4 2 2" xfId="7394" xr:uid="{00000000-0005-0000-0000-00008B1B0000}"/>
    <cellStyle name="Normal 5 5 4 2 2 2" xfId="16720" xr:uid="{816C8FA2-7D14-46CB-813C-2F282D54B8C9}"/>
    <cellStyle name="Normal 5 5 4 2 3" xfId="12503" xr:uid="{E9D4CCFC-1536-4E06-B56A-4B5ECDA924B8}"/>
    <cellStyle name="Normal 5 5 4 3" xfId="5249" xr:uid="{00000000-0005-0000-0000-00008C1B0000}"/>
    <cellStyle name="Normal 5 5 4 3 2" xfId="14575" xr:uid="{26397A0A-6472-4A58-9955-54520285AF22}"/>
    <cellStyle name="Normal 5 5 4 4" xfId="9251" xr:uid="{4EAD9E35-D3C9-46BE-AE4D-29A1C6D5A6F7}"/>
    <cellStyle name="Normal 5 5 4 4 2" xfId="18564" xr:uid="{6A493551-0A5E-431F-8FEA-21BBB44B56EF}"/>
    <cellStyle name="Normal 5 5 4 5" xfId="10358" xr:uid="{9B14EF0C-66EC-49C8-A383-679EC9C5D801}"/>
    <cellStyle name="Normal 5 5 5" xfId="1355" xr:uid="{00000000-0005-0000-0000-00008D1B0000}"/>
    <cellStyle name="Normal 5 5 5 2" xfId="3585" xr:uid="{00000000-0005-0000-0000-00008E1B0000}"/>
    <cellStyle name="Normal 5 5 5 2 2" xfId="7807" xr:uid="{00000000-0005-0000-0000-00008F1B0000}"/>
    <cellStyle name="Normal 5 5 5 2 2 2" xfId="17133" xr:uid="{33A5BCFB-BCDE-42D0-B9A8-F85C6553812B}"/>
    <cellStyle name="Normal 5 5 5 2 3" xfId="12916" xr:uid="{5A556889-7D18-4190-9DAB-092E741A5943}"/>
    <cellStyle name="Normal 5 5 5 3" xfId="5662" xr:uid="{00000000-0005-0000-0000-0000901B0000}"/>
    <cellStyle name="Normal 5 5 5 3 2" xfId="14988" xr:uid="{1F175D96-CC92-4B01-9795-6F7B330309F1}"/>
    <cellStyle name="Normal 5 5 5 4" xfId="10771" xr:uid="{1F591354-0EAA-45D7-9B74-74FEA2D1AE0C}"/>
    <cellStyle name="Normal 5 5 6" xfId="1768" xr:uid="{00000000-0005-0000-0000-0000911B0000}"/>
    <cellStyle name="Normal 5 5 6 2" xfId="3998" xr:uid="{00000000-0005-0000-0000-0000921B0000}"/>
    <cellStyle name="Normal 5 5 6 2 2" xfId="8220" xr:uid="{00000000-0005-0000-0000-0000931B0000}"/>
    <cellStyle name="Normal 5 5 6 2 2 2" xfId="17546" xr:uid="{95F73FD6-1D8D-44BE-A4A9-764EF586461C}"/>
    <cellStyle name="Normal 5 5 6 2 3" xfId="13329" xr:uid="{F064B4A3-7710-44E3-B648-AFAD88FECB37}"/>
    <cellStyle name="Normal 5 5 6 3" xfId="6075" xr:uid="{00000000-0005-0000-0000-0000941B0000}"/>
    <cellStyle name="Normal 5 5 6 3 2" xfId="15401" xr:uid="{9F239CD0-5272-4920-BFB1-C0CEAFC26247}"/>
    <cellStyle name="Normal 5 5 6 4" xfId="11184" xr:uid="{FC1F303C-C750-44AB-80A1-2157E8A82737}"/>
    <cellStyle name="Normal 5 5 7" xfId="2182" xr:uid="{00000000-0005-0000-0000-0000951B0000}"/>
    <cellStyle name="Normal 5 5 7 2" xfId="4411" xr:uid="{00000000-0005-0000-0000-0000961B0000}"/>
    <cellStyle name="Normal 5 5 7 2 2" xfId="8633" xr:uid="{00000000-0005-0000-0000-0000971B0000}"/>
    <cellStyle name="Normal 5 5 7 2 2 2" xfId="17959" xr:uid="{E3B8BC62-1B05-424A-AE7F-20016E2B4BD4}"/>
    <cellStyle name="Normal 5 5 7 2 3" xfId="13742" xr:uid="{9820580D-5309-4E26-A870-243FB1EA6193}"/>
    <cellStyle name="Normal 5 5 7 3" xfId="6488" xr:uid="{00000000-0005-0000-0000-0000981B0000}"/>
    <cellStyle name="Normal 5 5 7 3 2" xfId="15814" xr:uid="{740FE691-C565-49AF-B13E-9208F60D7041}"/>
    <cellStyle name="Normal 5 5 7 4" xfId="11597" xr:uid="{E4C04864-BC50-43C2-839F-76761B44D191}"/>
    <cellStyle name="Normal 5 5 8" xfId="2618" xr:uid="{00000000-0005-0000-0000-0000991B0000}"/>
    <cellStyle name="Normal 5 5 8 2" xfId="6901" xr:uid="{00000000-0005-0000-0000-00009A1B0000}"/>
    <cellStyle name="Normal 5 5 8 2 2" xfId="16227" xr:uid="{C66B2B09-9646-4C5D-AC5E-A3D41E34B772}"/>
    <cellStyle name="Normal 5 5 8 3" xfId="12010" xr:uid="{7224E923-193B-49D7-93EE-13C29D3ED9B8}"/>
    <cellStyle name="Normal 5 5 9" xfId="4836" xr:uid="{00000000-0005-0000-0000-00009B1B0000}"/>
    <cellStyle name="Normal 5 5 9 2" xfId="14162" xr:uid="{BB9F8D8F-53D9-4A7E-9AA4-1DB7BE7313A8}"/>
    <cellStyle name="Normal 5 6" xfId="468" xr:uid="{00000000-0005-0000-0000-00009C1B0000}"/>
    <cellStyle name="Normal 5 6 10" xfId="9949" xr:uid="{10B3CF19-D907-416C-A817-C17AB6E3C754}"/>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561DD78F-7530-42E5-A2D8-F602DE1F2C1E}"/>
    <cellStyle name="Normal 5 6 2 2 2 3" xfId="12508" xr:uid="{52F6A24B-E776-473C-8829-E61F3F3E8879}"/>
    <cellStyle name="Normal 5 6 2 2 3" xfId="5254" xr:uid="{00000000-0005-0000-0000-0000A11B0000}"/>
    <cellStyle name="Normal 5 6 2 2 3 2" xfId="14580" xr:uid="{1370197E-25D9-4063-8D39-5C0047D1D41A}"/>
    <cellStyle name="Normal 5 6 2 2 4" xfId="9476" xr:uid="{3B3E6CA1-4D97-4B11-99D5-4F82314AA0E0}"/>
    <cellStyle name="Normal 5 6 2 2 4 2" xfId="18789" xr:uid="{5C98D3A7-7A54-4B67-B4D3-D58C3FB98EB1}"/>
    <cellStyle name="Normal 5 6 2 2 5" xfId="10363" xr:uid="{C10E3E7E-B477-4CA9-9633-4874897A965B}"/>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2BD729C1-6E05-4A92-AE3F-100A8BC49BD4}"/>
    <cellStyle name="Normal 5 6 2 3 2 3" xfId="12921" xr:uid="{CC8AE654-3379-4B61-A370-C4B6F0B8ADEC}"/>
    <cellStyle name="Normal 5 6 2 3 3" xfId="5667" xr:uid="{00000000-0005-0000-0000-0000A51B0000}"/>
    <cellStyle name="Normal 5 6 2 3 3 2" xfId="14993" xr:uid="{1D5CEE6C-9400-44E7-BF55-B3A25C234B6F}"/>
    <cellStyle name="Normal 5 6 2 3 4" xfId="10776" xr:uid="{8F823627-6796-43B4-88D1-1BF2FCF74142}"/>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5278361F-9DD4-4532-8CEC-F5D7083E99FF}"/>
    <cellStyle name="Normal 5 6 2 4 2 3" xfId="13334" xr:uid="{8BA1C959-02CF-4178-B0D5-9CBB2A4B4B66}"/>
    <cellStyle name="Normal 5 6 2 4 3" xfId="6080" xr:uid="{00000000-0005-0000-0000-0000A91B0000}"/>
    <cellStyle name="Normal 5 6 2 4 3 2" xfId="15406" xr:uid="{BFB429CA-1FE8-4CBF-9BF2-FB92EB85D350}"/>
    <cellStyle name="Normal 5 6 2 4 4" xfId="11189" xr:uid="{F54A6C30-57FE-4D6B-A65D-84BB4145BF9E}"/>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EF437E95-2D3B-4792-8AED-3AA5B122437A}"/>
    <cellStyle name="Normal 5 6 2 5 2 3" xfId="13747" xr:uid="{C7C27A9D-2172-4117-9BFF-6ECD08B9D119}"/>
    <cellStyle name="Normal 5 6 2 5 3" xfId="6493" xr:uid="{00000000-0005-0000-0000-0000AD1B0000}"/>
    <cellStyle name="Normal 5 6 2 5 3 2" xfId="15819" xr:uid="{1564F4D2-F021-43A0-8F1F-C831A16EC24E}"/>
    <cellStyle name="Normal 5 6 2 5 4" xfId="11602" xr:uid="{F75471F0-67C7-4996-94BB-DB1792A7AEF7}"/>
    <cellStyle name="Normal 5 6 2 6" xfId="2623" xr:uid="{00000000-0005-0000-0000-0000AE1B0000}"/>
    <cellStyle name="Normal 5 6 2 6 2" xfId="6906" xr:uid="{00000000-0005-0000-0000-0000AF1B0000}"/>
    <cellStyle name="Normal 5 6 2 6 2 2" xfId="16232" xr:uid="{F89DA369-E94A-45A1-910F-5D94334B4321}"/>
    <cellStyle name="Normal 5 6 2 6 3" xfId="12015" xr:uid="{3D866B17-EEEF-40AB-9C3D-DBFD75C9DD72}"/>
    <cellStyle name="Normal 5 6 2 7" xfId="4841" xr:uid="{00000000-0005-0000-0000-0000B01B0000}"/>
    <cellStyle name="Normal 5 6 2 7 2" xfId="14167" xr:uid="{7B5ABF01-0A4D-44ED-B9A9-3CC876DAA145}"/>
    <cellStyle name="Normal 5 6 2 8" xfId="9051" xr:uid="{97C72229-9AC1-4DA9-8A0B-8B4B6D970DE8}"/>
    <cellStyle name="Normal 5 6 2 8 2" xfId="18374" xr:uid="{6F45301C-1BCD-4160-A259-54C3B7CC31E9}"/>
    <cellStyle name="Normal 5 6 2 9" xfId="9950" xr:uid="{46CCF993-C6CD-4F87-A5F3-CDFCA987D5BB}"/>
    <cellStyle name="Normal 5 6 3" xfId="942" xr:uid="{00000000-0005-0000-0000-0000B11B0000}"/>
    <cellStyle name="Normal 5 6 3 2" xfId="3176" xr:uid="{00000000-0005-0000-0000-0000B21B0000}"/>
    <cellStyle name="Normal 5 6 3 2 2" xfId="7398" xr:uid="{00000000-0005-0000-0000-0000B31B0000}"/>
    <cellStyle name="Normal 5 6 3 2 2 2" xfId="16724" xr:uid="{BC8DB8F4-44A6-4214-BF88-4B77BE2D3930}"/>
    <cellStyle name="Normal 5 6 3 2 3" xfId="12507" xr:uid="{5BC8B81D-3D79-4251-A64B-DA0BE8F37896}"/>
    <cellStyle name="Normal 5 6 3 3" xfId="5253" xr:uid="{00000000-0005-0000-0000-0000B41B0000}"/>
    <cellStyle name="Normal 5 6 3 3 2" xfId="14579" xr:uid="{16AFAC09-7AA2-4128-BECB-75009A1B2466}"/>
    <cellStyle name="Normal 5 6 3 4" xfId="9269" xr:uid="{7D6728A0-C210-4F3F-8114-143B9AE0BFB4}"/>
    <cellStyle name="Normal 5 6 3 4 2" xfId="18582" xr:uid="{E6668FC0-42CE-4D24-9FC7-4FF04D3F23B5}"/>
    <cellStyle name="Normal 5 6 3 5" xfId="10362" xr:uid="{567F5122-B18A-4591-88C6-0A0CCCC6BB4F}"/>
    <cellStyle name="Normal 5 6 4" xfId="1359" xr:uid="{00000000-0005-0000-0000-0000B51B0000}"/>
    <cellStyle name="Normal 5 6 4 2" xfId="3589" xr:uid="{00000000-0005-0000-0000-0000B61B0000}"/>
    <cellStyle name="Normal 5 6 4 2 2" xfId="7811" xr:uid="{00000000-0005-0000-0000-0000B71B0000}"/>
    <cellStyle name="Normal 5 6 4 2 2 2" xfId="17137" xr:uid="{59768C85-B0A4-4556-8581-71B9F0A6EA75}"/>
    <cellStyle name="Normal 5 6 4 2 3" xfId="12920" xr:uid="{808C4855-4F9A-44C7-855E-530EE2809B1E}"/>
    <cellStyle name="Normal 5 6 4 3" xfId="5666" xr:uid="{00000000-0005-0000-0000-0000B81B0000}"/>
    <cellStyle name="Normal 5 6 4 3 2" xfId="14992" xr:uid="{2A77C7DB-F924-4870-8461-0D438746E7B6}"/>
    <cellStyle name="Normal 5 6 4 4" xfId="10775" xr:uid="{498A4F8A-2C20-42B9-99BC-CF1F1358826D}"/>
    <cellStyle name="Normal 5 6 5" xfId="1772" xr:uid="{00000000-0005-0000-0000-0000B91B0000}"/>
    <cellStyle name="Normal 5 6 5 2" xfId="4002" xr:uid="{00000000-0005-0000-0000-0000BA1B0000}"/>
    <cellStyle name="Normal 5 6 5 2 2" xfId="8224" xr:uid="{00000000-0005-0000-0000-0000BB1B0000}"/>
    <cellStyle name="Normal 5 6 5 2 2 2" xfId="17550" xr:uid="{5885D573-1C88-429E-A35A-4F3F1CACFD99}"/>
    <cellStyle name="Normal 5 6 5 2 3" xfId="13333" xr:uid="{2C158CDD-8EC0-433B-9093-023F538CD6A4}"/>
    <cellStyle name="Normal 5 6 5 3" xfId="6079" xr:uid="{00000000-0005-0000-0000-0000BC1B0000}"/>
    <cellStyle name="Normal 5 6 5 3 2" xfId="15405" xr:uid="{8C0E748D-3A61-4EF7-8183-BC05425616B9}"/>
    <cellStyle name="Normal 5 6 5 4" xfId="11188" xr:uid="{D771229A-049B-4662-9E32-65CD44C6BFC0}"/>
    <cellStyle name="Normal 5 6 6" xfId="2186" xr:uid="{00000000-0005-0000-0000-0000BD1B0000}"/>
    <cellStyle name="Normal 5 6 6 2" xfId="4415" xr:uid="{00000000-0005-0000-0000-0000BE1B0000}"/>
    <cellStyle name="Normal 5 6 6 2 2" xfId="8637" xr:uid="{00000000-0005-0000-0000-0000BF1B0000}"/>
    <cellStyle name="Normal 5 6 6 2 2 2" xfId="17963" xr:uid="{CED281C1-F1F4-474A-8B3E-767D8CE930C9}"/>
    <cellStyle name="Normal 5 6 6 2 3" xfId="13746" xr:uid="{B872A32C-09B7-41B3-B95E-B9579FFEB8C1}"/>
    <cellStyle name="Normal 5 6 6 3" xfId="6492" xr:uid="{00000000-0005-0000-0000-0000C01B0000}"/>
    <cellStyle name="Normal 5 6 6 3 2" xfId="15818" xr:uid="{5BEE0406-7385-4C23-8B07-96756769FD49}"/>
    <cellStyle name="Normal 5 6 6 4" xfId="11601" xr:uid="{8098989F-6367-4798-8A65-E91CDD56D595}"/>
    <cellStyle name="Normal 5 6 7" xfId="2622" xr:uid="{00000000-0005-0000-0000-0000C11B0000}"/>
    <cellStyle name="Normal 5 6 7 2" xfId="6905" xr:uid="{00000000-0005-0000-0000-0000C21B0000}"/>
    <cellStyle name="Normal 5 6 7 2 2" xfId="16231" xr:uid="{95993735-0D12-4C45-B84A-EDFA2D085A76}"/>
    <cellStyle name="Normal 5 6 7 3" xfId="12014" xr:uid="{D646350C-085E-4A14-BF98-38B0626798D3}"/>
    <cellStyle name="Normal 5 6 8" xfId="4840" xr:uid="{00000000-0005-0000-0000-0000C31B0000}"/>
    <cellStyle name="Normal 5 6 8 2" xfId="14166" xr:uid="{9B1CC13A-611C-4CF5-9969-64E835DE21A2}"/>
    <cellStyle name="Normal 5 6 9" xfId="8844" xr:uid="{91B947E4-8FF0-409F-B157-688724766D9F}"/>
    <cellStyle name="Normal 5 6 9 2" xfId="18167" xr:uid="{0F1BAC8B-31A1-4BC0-8057-BA40BF71BCAC}"/>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DA6CAE6E-17D3-4304-9CD1-98F1C92798C5}"/>
    <cellStyle name="Normal 5 7 2 2 3" xfId="12509" xr:uid="{24A97718-CC4B-46EC-9C7B-2B39D831BBCA}"/>
    <cellStyle name="Normal 5 7 2 3" xfId="5255" xr:uid="{00000000-0005-0000-0000-0000C81B0000}"/>
    <cellStyle name="Normal 5 7 2 3 2" xfId="14581" xr:uid="{16FC2D4F-545A-4284-BA30-1CC2BE86B60B}"/>
    <cellStyle name="Normal 5 7 2 4" xfId="9385" xr:uid="{2E4A3B0A-2E42-41AC-9564-09D1598995A2}"/>
    <cellStyle name="Normal 5 7 2 4 2" xfId="18698" xr:uid="{8186A6CA-4F48-4F26-90D3-EEA1F22617F3}"/>
    <cellStyle name="Normal 5 7 2 5" xfId="10364" xr:uid="{F589FA1C-094B-47FD-AF13-285FC0CFF84F}"/>
    <cellStyle name="Normal 5 7 3" xfId="1361" xr:uid="{00000000-0005-0000-0000-0000C91B0000}"/>
    <cellStyle name="Normal 5 7 3 2" xfId="3591" xr:uid="{00000000-0005-0000-0000-0000CA1B0000}"/>
    <cellStyle name="Normal 5 7 3 2 2" xfId="7813" xr:uid="{00000000-0005-0000-0000-0000CB1B0000}"/>
    <cellStyle name="Normal 5 7 3 2 2 2" xfId="17139" xr:uid="{E0FB2F33-D4EF-4DEA-9EFC-FB244D277B61}"/>
    <cellStyle name="Normal 5 7 3 2 3" xfId="12922" xr:uid="{74D668BB-067D-4A2C-B242-B3A6B7C43A10}"/>
    <cellStyle name="Normal 5 7 3 3" xfId="5668" xr:uid="{00000000-0005-0000-0000-0000CC1B0000}"/>
    <cellStyle name="Normal 5 7 3 3 2" xfId="14994" xr:uid="{568B7BCD-D9BE-4C97-9096-D1837764D870}"/>
    <cellStyle name="Normal 5 7 3 4" xfId="10777" xr:uid="{C82B40C0-7F35-4144-A3E9-0B87E90167C8}"/>
    <cellStyle name="Normal 5 7 4" xfId="1774" xr:uid="{00000000-0005-0000-0000-0000CD1B0000}"/>
    <cellStyle name="Normal 5 7 4 2" xfId="4004" xr:uid="{00000000-0005-0000-0000-0000CE1B0000}"/>
    <cellStyle name="Normal 5 7 4 2 2" xfId="8226" xr:uid="{00000000-0005-0000-0000-0000CF1B0000}"/>
    <cellStyle name="Normal 5 7 4 2 2 2" xfId="17552" xr:uid="{B8713FCF-56E1-4201-B78A-01D1B060D244}"/>
    <cellStyle name="Normal 5 7 4 2 3" xfId="13335" xr:uid="{10A8D0D7-8B9C-44B9-BEB8-CC562C99946C}"/>
    <cellStyle name="Normal 5 7 4 3" xfId="6081" xr:uid="{00000000-0005-0000-0000-0000D01B0000}"/>
    <cellStyle name="Normal 5 7 4 3 2" xfId="15407" xr:uid="{4A046380-C065-4C5F-A350-4CB22E1C78BE}"/>
    <cellStyle name="Normal 5 7 4 4" xfId="11190" xr:uid="{97386D69-AC3F-4838-9E5A-5951846DDBD6}"/>
    <cellStyle name="Normal 5 7 5" xfId="2188" xr:uid="{00000000-0005-0000-0000-0000D11B0000}"/>
    <cellStyle name="Normal 5 7 5 2" xfId="4417" xr:uid="{00000000-0005-0000-0000-0000D21B0000}"/>
    <cellStyle name="Normal 5 7 5 2 2" xfId="8639" xr:uid="{00000000-0005-0000-0000-0000D31B0000}"/>
    <cellStyle name="Normal 5 7 5 2 2 2" xfId="17965" xr:uid="{440AB38F-E8F2-4B21-8C14-878C9B1B4D73}"/>
    <cellStyle name="Normal 5 7 5 2 3" xfId="13748" xr:uid="{AD10C99E-977E-4C56-A486-5E1E67AC7D2D}"/>
    <cellStyle name="Normal 5 7 5 3" xfId="6494" xr:uid="{00000000-0005-0000-0000-0000D41B0000}"/>
    <cellStyle name="Normal 5 7 5 3 2" xfId="15820" xr:uid="{0FDCBEC7-66A0-4B64-92D3-118663155919}"/>
    <cellStyle name="Normal 5 7 5 4" xfId="11603" xr:uid="{C581628F-0A95-4719-8F3F-BC3EC8C429C9}"/>
    <cellStyle name="Normal 5 7 6" xfId="2624" xr:uid="{00000000-0005-0000-0000-0000D51B0000}"/>
    <cellStyle name="Normal 5 7 6 2" xfId="6907" xr:uid="{00000000-0005-0000-0000-0000D61B0000}"/>
    <cellStyle name="Normal 5 7 6 2 2" xfId="16233" xr:uid="{0BD85ADA-F8E3-4188-A0A8-C4AD12A7B0B7}"/>
    <cellStyle name="Normal 5 7 6 3" xfId="12016" xr:uid="{949E1004-05F4-4B1D-9374-D41A633BB1F7}"/>
    <cellStyle name="Normal 5 7 7" xfId="4842" xr:uid="{00000000-0005-0000-0000-0000D71B0000}"/>
    <cellStyle name="Normal 5 7 7 2" xfId="14168" xr:uid="{5BA6779B-071C-4772-BA03-95AAE20D1713}"/>
    <cellStyle name="Normal 5 7 8" xfId="8960" xr:uid="{F4BEC964-53C9-4393-B7F1-69B47FC1FF25}"/>
    <cellStyle name="Normal 5 7 8 2" xfId="18283" xr:uid="{602418E6-F796-46D0-9E3F-6322A07681C7}"/>
    <cellStyle name="Normal 5 7 9" xfId="9951" xr:uid="{2DBD93FD-E60C-4EEF-A36B-C48B22F7D5A9}"/>
    <cellStyle name="Normal 5 8" xfId="880" xr:uid="{00000000-0005-0000-0000-0000D81B0000}"/>
    <cellStyle name="Normal 5 8 2" xfId="3115" xr:uid="{00000000-0005-0000-0000-0000D91B0000}"/>
    <cellStyle name="Normal 5 8 2 2" xfId="7337" xr:uid="{00000000-0005-0000-0000-0000DA1B0000}"/>
    <cellStyle name="Normal 5 8 2 2 2" xfId="16663" xr:uid="{D30B0FA5-B8C7-46A1-87A8-B1D49D1495EB}"/>
    <cellStyle name="Normal 5 8 2 3" xfId="12446" xr:uid="{A7604DD8-9328-42E1-A96A-111D94F6FADD}"/>
    <cellStyle name="Normal 5 8 3" xfId="5192" xr:uid="{00000000-0005-0000-0000-0000DB1B0000}"/>
    <cellStyle name="Normal 5 8 3 2" xfId="14518" xr:uid="{29CC4847-2A36-47B1-8DDF-0F5F5DCFC898}"/>
    <cellStyle name="Normal 5 8 4" xfId="9163" xr:uid="{44C7CAD4-DD7C-48E0-9142-8ED22123C662}"/>
    <cellStyle name="Normal 5 8 4 2" xfId="18479" xr:uid="{D993E208-2368-419A-97D3-262DC6CBF4EA}"/>
    <cellStyle name="Normal 5 8 5" xfId="10301" xr:uid="{4E44464B-79B6-4765-A4F6-F50ACD15EBCE}"/>
    <cellStyle name="Normal 5 9" xfId="1298" xr:uid="{00000000-0005-0000-0000-0000DC1B0000}"/>
    <cellStyle name="Normal 5 9 2" xfId="3528" xr:uid="{00000000-0005-0000-0000-0000DD1B0000}"/>
    <cellStyle name="Normal 5 9 2 2" xfId="7750" xr:uid="{00000000-0005-0000-0000-0000DE1B0000}"/>
    <cellStyle name="Normal 5 9 2 2 2" xfId="17076" xr:uid="{DA572D66-BCFE-4C22-80DE-91FFA1FCDAE8}"/>
    <cellStyle name="Normal 5 9 2 3" xfId="12859" xr:uid="{913E6BCD-9B9E-49C4-894B-A07193583BB7}"/>
    <cellStyle name="Normal 5 9 3" xfId="5605" xr:uid="{00000000-0005-0000-0000-0000DF1B0000}"/>
    <cellStyle name="Normal 5 9 3 2" xfId="14931" xr:uid="{E9D9D4A2-BA4D-4284-A3B7-69BD8753043F}"/>
    <cellStyle name="Normal 5 9 4" xfId="10714" xr:uid="{C39760C7-A64B-40C5-9893-6C4ADD3AFE8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17667759-DC8B-451D-92BE-5B83A3421913}"/>
    <cellStyle name="Normal 8 10 2 3" xfId="13749" xr:uid="{BD170727-4ED9-4CFC-A7C3-A09EF801AF4E}"/>
    <cellStyle name="Normal 8 10 3" xfId="6495" xr:uid="{00000000-0005-0000-0000-0000EB1B0000}"/>
    <cellStyle name="Normal 8 10 3 2" xfId="15821" xr:uid="{FA9E9634-46FE-41CD-8AC4-5D2DE1C32AEB}"/>
    <cellStyle name="Normal 8 10 4" xfId="11604" xr:uid="{11B11CAF-F7E0-4769-92CB-0875A7D71DF7}"/>
    <cellStyle name="Normal 8 11" xfId="2625" xr:uid="{00000000-0005-0000-0000-0000EC1B0000}"/>
    <cellStyle name="Normal 8 11 2" xfId="6908" xr:uid="{00000000-0005-0000-0000-0000ED1B0000}"/>
    <cellStyle name="Normal 8 11 2 2" xfId="16234" xr:uid="{455173E9-C544-471D-8BA1-63A0E4BD1F7A}"/>
    <cellStyle name="Normal 8 11 3" xfId="12017" xr:uid="{456E0701-EEE9-49F9-A880-0C75C8E62A18}"/>
    <cellStyle name="Normal 8 12" xfId="4843" xr:uid="{00000000-0005-0000-0000-0000EE1B0000}"/>
    <cellStyle name="Normal 8 12 2" xfId="14169" xr:uid="{5E810B74-CCEF-4016-8A87-0903A0118DEA}"/>
    <cellStyle name="Normal 8 13" xfId="8742" xr:uid="{AF36CBBC-3EEB-4AC8-923B-65C7C2418AB0}"/>
    <cellStyle name="Normal 8 13 2" xfId="18065" xr:uid="{E8E3198E-DE90-4AB6-B4A2-E22BDA15C978}"/>
    <cellStyle name="Normal 8 14" xfId="9952" xr:uid="{7CC93631-1828-4416-B5D7-2D5131152BCA}"/>
    <cellStyle name="Normal 8 2" xfId="479" xr:uid="{00000000-0005-0000-0000-0000EF1B0000}"/>
    <cellStyle name="Normal 8 2 10" xfId="2626" xr:uid="{00000000-0005-0000-0000-0000F01B0000}"/>
    <cellStyle name="Normal 8 2 10 2" xfId="6909" xr:uid="{00000000-0005-0000-0000-0000F11B0000}"/>
    <cellStyle name="Normal 8 2 10 2 2" xfId="16235" xr:uid="{BA5AB153-DC0C-468B-9FD0-B2E0A02BA57E}"/>
    <cellStyle name="Normal 8 2 10 3" xfId="12018" xr:uid="{7884206D-4E1A-4619-BF5F-2F8E5DF428F1}"/>
    <cellStyle name="Normal 8 2 11" xfId="4844" xr:uid="{00000000-0005-0000-0000-0000F21B0000}"/>
    <cellStyle name="Normal 8 2 11 2" xfId="14170" xr:uid="{D17FABD0-FAFF-425A-866E-757EAD9A6AE9}"/>
    <cellStyle name="Normal 8 2 12" xfId="8751" xr:uid="{476D0553-3387-4D9F-B05B-56EC7A36F7A1}"/>
    <cellStyle name="Normal 8 2 12 2" xfId="18074" xr:uid="{0496F30A-F80E-4DF9-B768-0740B6C50184}"/>
    <cellStyle name="Normal 8 2 13" xfId="9953" xr:uid="{16C1EFC7-361C-46FA-9E96-03A58BF9EE03}"/>
    <cellStyle name="Normal 8 2 2" xfId="480" xr:uid="{00000000-0005-0000-0000-0000F31B0000}"/>
    <cellStyle name="Normal 8 2 2 10" xfId="4845" xr:uid="{00000000-0005-0000-0000-0000F41B0000}"/>
    <cellStyle name="Normal 8 2 2 10 2" xfId="14171" xr:uid="{66A31E41-506A-4608-BC69-9CAF5B9C0790}"/>
    <cellStyle name="Normal 8 2 2 11" xfId="8783" xr:uid="{3C426022-C415-47DA-A8EF-1D6CE72527BD}"/>
    <cellStyle name="Normal 8 2 2 11 2" xfId="18106" xr:uid="{9099AC7C-1215-4E4B-842D-718B1766FBA5}"/>
    <cellStyle name="Normal 8 2 2 12" xfId="9954" xr:uid="{0B6F26AB-58CC-4349-A36A-BF1DE5A75575}"/>
    <cellStyle name="Normal 8 2 2 2" xfId="481" xr:uid="{00000000-0005-0000-0000-0000F51B0000}"/>
    <cellStyle name="Normal 8 2 2 2 10" xfId="8836" xr:uid="{870E50AF-610D-4E0C-BDE0-389D6B32A0FA}"/>
    <cellStyle name="Normal 8 2 2 2 10 2" xfId="18159" xr:uid="{7A8EAF4F-8BF0-4085-AC1C-9F84BEBF77B5}"/>
    <cellStyle name="Normal 8 2 2 2 11" xfId="9955" xr:uid="{FCCA6AA6-DE4C-4ACE-8157-4BD847B1549B}"/>
    <cellStyle name="Normal 8 2 2 2 2" xfId="482" xr:uid="{00000000-0005-0000-0000-0000F61B0000}"/>
    <cellStyle name="Normal 8 2 2 2 2 10" xfId="9956" xr:uid="{3C667089-0799-417C-9791-8A8557AC2EA4}"/>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8DFA3812-9A2B-4994-941B-C6683BB72F2A}"/>
    <cellStyle name="Normal 8 2 2 2 2 2 2 2 3" xfId="12515" xr:uid="{5B20BCA6-F4CF-4C6C-BAF3-4C1AF56800AF}"/>
    <cellStyle name="Normal 8 2 2 2 2 2 2 3" xfId="5261" xr:uid="{00000000-0005-0000-0000-0000FB1B0000}"/>
    <cellStyle name="Normal 8 2 2 2 2 2 2 3 2" xfId="14587" xr:uid="{C02851BC-B87F-402B-A952-B185E081E7B3}"/>
    <cellStyle name="Normal 8 2 2 2 2 2 2 4" xfId="9571" xr:uid="{B467C179-FE08-45F9-B1E6-E66379D80EBC}"/>
    <cellStyle name="Normal 8 2 2 2 2 2 2 4 2" xfId="18884" xr:uid="{687704CD-14C1-48DF-99DF-979826DE6254}"/>
    <cellStyle name="Normal 8 2 2 2 2 2 2 5" xfId="10370" xr:uid="{D70775FE-F6AB-41F3-AF3F-98DEE024798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54F68442-5441-44B5-9A07-263708F18681}"/>
    <cellStyle name="Normal 8 2 2 2 2 2 3 2 3" xfId="12928" xr:uid="{63D27E09-98E3-4B22-A63E-8E0C06813D54}"/>
    <cellStyle name="Normal 8 2 2 2 2 2 3 3" xfId="5674" xr:uid="{00000000-0005-0000-0000-0000FF1B0000}"/>
    <cellStyle name="Normal 8 2 2 2 2 2 3 3 2" xfId="15000" xr:uid="{11D0210C-832D-48E0-9595-7D09439BC15A}"/>
    <cellStyle name="Normal 8 2 2 2 2 2 3 4" xfId="10783" xr:uid="{FFB32EF2-8654-44BB-889F-458AEE2E3837}"/>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EDE996AE-AE54-419C-82D5-A0024E914545}"/>
    <cellStyle name="Normal 8 2 2 2 2 2 4 2 3" xfId="13341" xr:uid="{EF85571F-F50C-41DB-8A4F-DDE0E58428F0}"/>
    <cellStyle name="Normal 8 2 2 2 2 2 4 3" xfId="6087" xr:uid="{00000000-0005-0000-0000-0000031C0000}"/>
    <cellStyle name="Normal 8 2 2 2 2 2 4 3 2" xfId="15413" xr:uid="{027724F1-3660-461C-9B17-6E10845BDA62}"/>
    <cellStyle name="Normal 8 2 2 2 2 2 4 4" xfId="11196" xr:uid="{52026745-151A-4EAC-8E27-048089A9E1C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853389EA-142C-45CE-B842-9273F2C02D49}"/>
    <cellStyle name="Normal 8 2 2 2 2 2 5 2 3" xfId="13754" xr:uid="{222B33FA-02DC-4BD2-A415-B4C384489339}"/>
    <cellStyle name="Normal 8 2 2 2 2 2 5 3" xfId="6500" xr:uid="{00000000-0005-0000-0000-0000071C0000}"/>
    <cellStyle name="Normal 8 2 2 2 2 2 5 3 2" xfId="15826" xr:uid="{04CBC14C-5E04-4570-A348-B8B60B5AEBC8}"/>
    <cellStyle name="Normal 8 2 2 2 2 2 5 4" xfId="11609" xr:uid="{AD61E6B5-4031-4951-9338-8333F46A5F5B}"/>
    <cellStyle name="Normal 8 2 2 2 2 2 6" xfId="2630" xr:uid="{00000000-0005-0000-0000-0000081C0000}"/>
    <cellStyle name="Normal 8 2 2 2 2 2 6 2" xfId="6913" xr:uid="{00000000-0005-0000-0000-0000091C0000}"/>
    <cellStyle name="Normal 8 2 2 2 2 2 6 2 2" xfId="16239" xr:uid="{B07DA120-FBCF-4307-9859-CE4F265C8904}"/>
    <cellStyle name="Normal 8 2 2 2 2 2 6 3" xfId="12022" xr:uid="{BFB8FB14-E58E-4A82-BFD7-0197C5F6AE14}"/>
    <cellStyle name="Normal 8 2 2 2 2 2 7" xfId="4848" xr:uid="{00000000-0005-0000-0000-00000A1C0000}"/>
    <cellStyle name="Normal 8 2 2 2 2 2 7 2" xfId="14174" xr:uid="{373802B9-E854-4FD5-B81A-5F713809C68C}"/>
    <cellStyle name="Normal 8 2 2 2 2 2 8" xfId="9146" xr:uid="{0E570703-055D-406D-8BD9-575AF6037A75}"/>
    <cellStyle name="Normal 8 2 2 2 2 2 8 2" xfId="18469" xr:uid="{25064E22-B55B-4DE3-86DA-FD125E25DD3C}"/>
    <cellStyle name="Normal 8 2 2 2 2 2 9" xfId="9957" xr:uid="{C0C4AEA1-AD9A-4E85-B998-5CA17949B69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518C9A2B-73EB-4C7B-AFAD-ECA94A316104}"/>
    <cellStyle name="Normal 8 2 2 2 2 3 2 3" xfId="12514" xr:uid="{64616932-C149-4217-99D8-8389E51850BE}"/>
    <cellStyle name="Normal 8 2 2 2 2 3 3" xfId="5260" xr:uid="{00000000-0005-0000-0000-00000E1C0000}"/>
    <cellStyle name="Normal 8 2 2 2 2 3 3 2" xfId="14586" xr:uid="{2C1ABA2E-BBD6-451C-906C-78B0592219AE}"/>
    <cellStyle name="Normal 8 2 2 2 2 3 4" xfId="9364" xr:uid="{21426B7C-FC96-483C-B560-AC4767107497}"/>
    <cellStyle name="Normal 8 2 2 2 2 3 4 2" xfId="18677" xr:uid="{83FA000F-7D52-472B-BB9E-2FBB7C0ACC96}"/>
    <cellStyle name="Normal 8 2 2 2 2 3 5" xfId="10369" xr:uid="{11457470-67FF-4E2D-AB1A-38E3A48E7529}"/>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5A638524-5C45-4C37-997A-BAC340296A1D}"/>
    <cellStyle name="Normal 8 2 2 2 2 4 2 3" xfId="12927" xr:uid="{2FA3BDCD-B878-4F76-AA9C-28BB6A0A1B5D}"/>
    <cellStyle name="Normal 8 2 2 2 2 4 3" xfId="5673" xr:uid="{00000000-0005-0000-0000-0000121C0000}"/>
    <cellStyle name="Normal 8 2 2 2 2 4 3 2" xfId="14999" xr:uid="{36F10FA9-2242-41CC-BA38-4C3CC61FD2AE}"/>
    <cellStyle name="Normal 8 2 2 2 2 4 4" xfId="10782" xr:uid="{F32D6756-466C-4CAF-81B4-9A63D7F486FF}"/>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887352B5-0248-41FD-9A23-5B2B7FD945EB}"/>
    <cellStyle name="Normal 8 2 2 2 2 5 2 3" xfId="13340" xr:uid="{D795FBDE-7E5C-4B20-9130-075DE32FB483}"/>
    <cellStyle name="Normal 8 2 2 2 2 5 3" xfId="6086" xr:uid="{00000000-0005-0000-0000-0000161C0000}"/>
    <cellStyle name="Normal 8 2 2 2 2 5 3 2" xfId="15412" xr:uid="{792009F0-F0C2-4B2F-B412-CC71AC3AEE28}"/>
    <cellStyle name="Normal 8 2 2 2 2 5 4" xfId="11195" xr:uid="{97C70C1C-7C87-4FE3-AD5A-05672B0C68EF}"/>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91EFA762-24EB-4158-823A-0E21C2CF9529}"/>
    <cellStyle name="Normal 8 2 2 2 2 6 2 3" xfId="13753" xr:uid="{2F5E4422-31DC-46AB-8FF1-BAFDC520C14B}"/>
    <cellStyle name="Normal 8 2 2 2 2 6 3" xfId="6499" xr:uid="{00000000-0005-0000-0000-00001A1C0000}"/>
    <cellStyle name="Normal 8 2 2 2 2 6 3 2" xfId="15825" xr:uid="{7CD13D53-B7FD-476A-B52B-CE41DD2D5896}"/>
    <cellStyle name="Normal 8 2 2 2 2 6 4" xfId="11608" xr:uid="{195D50AF-4DAC-4B6F-995A-2CE77FB57579}"/>
    <cellStyle name="Normal 8 2 2 2 2 7" xfId="2629" xr:uid="{00000000-0005-0000-0000-00001B1C0000}"/>
    <cellStyle name="Normal 8 2 2 2 2 7 2" xfId="6912" xr:uid="{00000000-0005-0000-0000-00001C1C0000}"/>
    <cellStyle name="Normal 8 2 2 2 2 7 2 2" xfId="16238" xr:uid="{DB9519D0-F27F-4F33-B0EF-8753880AFA8F}"/>
    <cellStyle name="Normal 8 2 2 2 2 7 3" xfId="12021" xr:uid="{066F29C5-5A8E-48B2-B11A-C65D04223131}"/>
    <cellStyle name="Normal 8 2 2 2 2 8" xfId="4847" xr:uid="{00000000-0005-0000-0000-00001D1C0000}"/>
    <cellStyle name="Normal 8 2 2 2 2 8 2" xfId="14173" xr:uid="{A24CD630-6A61-4366-B5F7-0337DEF2C540}"/>
    <cellStyle name="Normal 8 2 2 2 2 9" xfId="8939" xr:uid="{385BAC75-25D1-414A-8E33-9B6DCCA130DE}"/>
    <cellStyle name="Normal 8 2 2 2 2 9 2" xfId="18262" xr:uid="{AB990FA5-432D-4D30-9ECE-9216B763FF1A}"/>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603C2D07-DD90-4DAE-84B3-5C0DE4884611}"/>
    <cellStyle name="Normal 8 2 2 2 3 2 2 3" xfId="12516" xr:uid="{3194A549-3BAE-486F-9D0D-2E97E714331B}"/>
    <cellStyle name="Normal 8 2 2 2 3 2 3" xfId="5262" xr:uid="{00000000-0005-0000-0000-0000221C0000}"/>
    <cellStyle name="Normal 8 2 2 2 3 2 3 2" xfId="14588" xr:uid="{0D2021E7-B338-4D54-99B2-F55EFB8BD116}"/>
    <cellStyle name="Normal 8 2 2 2 3 2 4" xfId="9468" xr:uid="{8CC4AD0E-72B4-4935-8967-B171D7B5EF8D}"/>
    <cellStyle name="Normal 8 2 2 2 3 2 4 2" xfId="18781" xr:uid="{8BB30380-2481-4F4E-A33B-551A140C953C}"/>
    <cellStyle name="Normal 8 2 2 2 3 2 5" xfId="10371" xr:uid="{7AF4428C-B320-4A20-B900-48F8BF6753B1}"/>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8263EF95-2A8B-4685-939E-C528F3356455}"/>
    <cellStyle name="Normal 8 2 2 2 3 3 2 3" xfId="12929" xr:uid="{59280932-B1BB-4B6E-9521-E88FEA23B660}"/>
    <cellStyle name="Normal 8 2 2 2 3 3 3" xfId="5675" xr:uid="{00000000-0005-0000-0000-0000261C0000}"/>
    <cellStyle name="Normal 8 2 2 2 3 3 3 2" xfId="15001" xr:uid="{8E525695-BC0B-47CD-8D5F-B31A5CB583C5}"/>
    <cellStyle name="Normal 8 2 2 2 3 3 4" xfId="10784" xr:uid="{C9489351-D5EB-43D0-8450-88A60943DC11}"/>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1E8FD607-FC57-48A7-86B2-DFDA577C36EB}"/>
    <cellStyle name="Normal 8 2 2 2 3 4 2 3" xfId="13342" xr:uid="{72D46CCB-BB61-45BE-8311-C89C48715D42}"/>
    <cellStyle name="Normal 8 2 2 2 3 4 3" xfId="6088" xr:uid="{00000000-0005-0000-0000-00002A1C0000}"/>
    <cellStyle name="Normal 8 2 2 2 3 4 3 2" xfId="15414" xr:uid="{62625F10-0CDE-494F-8D54-E1342B58ABA7}"/>
    <cellStyle name="Normal 8 2 2 2 3 4 4" xfId="11197" xr:uid="{5C9FAC1D-8DF7-439B-8CDB-249D9D1EB8F3}"/>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9DF6F348-AB86-483B-850A-E869D10DEE49}"/>
    <cellStyle name="Normal 8 2 2 2 3 5 2 3" xfId="13755" xr:uid="{90F08B3F-E3F2-47FD-BC3D-4EDCF5F709CD}"/>
    <cellStyle name="Normal 8 2 2 2 3 5 3" xfId="6501" xr:uid="{00000000-0005-0000-0000-00002E1C0000}"/>
    <cellStyle name="Normal 8 2 2 2 3 5 3 2" xfId="15827" xr:uid="{AB244459-B2DF-46EA-847B-0567F2B63687}"/>
    <cellStyle name="Normal 8 2 2 2 3 5 4" xfId="11610" xr:uid="{8529CD0D-B9ED-4576-9EFA-04BB44904402}"/>
    <cellStyle name="Normal 8 2 2 2 3 6" xfId="2631" xr:uid="{00000000-0005-0000-0000-00002F1C0000}"/>
    <cellStyle name="Normal 8 2 2 2 3 6 2" xfId="6914" xr:uid="{00000000-0005-0000-0000-0000301C0000}"/>
    <cellStyle name="Normal 8 2 2 2 3 6 2 2" xfId="16240" xr:uid="{DD4B5F73-31EE-4A75-BDAA-876CDCA3FD15}"/>
    <cellStyle name="Normal 8 2 2 2 3 6 3" xfId="12023" xr:uid="{0BFEC022-D251-4D40-B213-343E9C1903F8}"/>
    <cellStyle name="Normal 8 2 2 2 3 7" xfId="4849" xr:uid="{00000000-0005-0000-0000-0000311C0000}"/>
    <cellStyle name="Normal 8 2 2 2 3 7 2" xfId="14175" xr:uid="{1774031E-2E04-492F-B912-7C21FB94A318}"/>
    <cellStyle name="Normal 8 2 2 2 3 8" xfId="9043" xr:uid="{BAC463DF-40A7-4F07-ADD3-7274E57F505C}"/>
    <cellStyle name="Normal 8 2 2 2 3 8 2" xfId="18366" xr:uid="{F06628FC-887D-4F8C-AF5A-69C56C46D895}"/>
    <cellStyle name="Normal 8 2 2 2 3 9" xfId="9958" xr:uid="{67CB48C3-A5E4-4C35-858D-74491E7E187B}"/>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60AFC113-8963-4636-B136-F1963EB82545}"/>
    <cellStyle name="Normal 8 2 2 2 4 2 3" xfId="12513" xr:uid="{F1E22FBA-9A60-4A1C-8ECF-F5217DE79116}"/>
    <cellStyle name="Normal 8 2 2 2 4 3" xfId="5259" xr:uid="{00000000-0005-0000-0000-0000351C0000}"/>
    <cellStyle name="Normal 8 2 2 2 4 3 2" xfId="14585" xr:uid="{633924E7-931F-42E8-B6A7-563DE5EF08E5}"/>
    <cellStyle name="Normal 8 2 2 2 4 4" xfId="9261" xr:uid="{70C29865-A6DE-4682-9EB1-83E4E07FD0A7}"/>
    <cellStyle name="Normal 8 2 2 2 4 4 2" xfId="18574" xr:uid="{0061B5AA-658D-4113-BF2C-3435F7DD0304}"/>
    <cellStyle name="Normal 8 2 2 2 4 5" xfId="10368" xr:uid="{CB1B299A-9BF9-4793-8C4F-A3BA7324574C}"/>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3DD8F7D0-3897-4F1B-8190-DBF8BDFCF354}"/>
    <cellStyle name="Normal 8 2 2 2 5 2 3" xfId="12926" xr:uid="{83FC3B9D-B90D-44AF-A32C-3715D5B3F4C2}"/>
    <cellStyle name="Normal 8 2 2 2 5 3" xfId="5672" xr:uid="{00000000-0005-0000-0000-0000391C0000}"/>
    <cellStyle name="Normal 8 2 2 2 5 3 2" xfId="14998" xr:uid="{DF7B45B3-D78D-42B8-9B63-611BDAF92819}"/>
    <cellStyle name="Normal 8 2 2 2 5 4" xfId="10781" xr:uid="{C0B04A63-4F65-40EE-9BE1-D7FF6E86FC78}"/>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47B9AAA2-B96F-4BB8-B4C0-A7CC729BEA93}"/>
    <cellStyle name="Normal 8 2 2 2 6 2 3" xfId="13339" xr:uid="{5F32C9D8-58D0-43FC-BA73-4863CB48FFA5}"/>
    <cellStyle name="Normal 8 2 2 2 6 3" xfId="6085" xr:uid="{00000000-0005-0000-0000-00003D1C0000}"/>
    <cellStyle name="Normal 8 2 2 2 6 3 2" xfId="15411" xr:uid="{BCE21CE1-0011-4598-9302-B474C23E8605}"/>
    <cellStyle name="Normal 8 2 2 2 6 4" xfId="11194" xr:uid="{C480389E-15C3-4E6C-9DFF-8E43DFF5CE53}"/>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D414CBC4-06C1-44AB-A9B0-0B8EF74AE9A6}"/>
    <cellStyle name="Normal 8 2 2 2 7 2 3" xfId="13752" xr:uid="{2BFAF108-EC80-424A-99E7-29073386F315}"/>
    <cellStyle name="Normal 8 2 2 2 7 3" xfId="6498" xr:uid="{00000000-0005-0000-0000-0000411C0000}"/>
    <cellStyle name="Normal 8 2 2 2 7 3 2" xfId="15824" xr:uid="{34C0BEB9-D4B3-46A3-A9B6-A6FA6D932DE3}"/>
    <cellStyle name="Normal 8 2 2 2 7 4" xfId="11607" xr:uid="{862E8199-265A-48CD-87D8-53E30402A37A}"/>
    <cellStyle name="Normal 8 2 2 2 8" xfId="2628" xr:uid="{00000000-0005-0000-0000-0000421C0000}"/>
    <cellStyle name="Normal 8 2 2 2 8 2" xfId="6911" xr:uid="{00000000-0005-0000-0000-0000431C0000}"/>
    <cellStyle name="Normal 8 2 2 2 8 2 2" xfId="16237" xr:uid="{597C2299-671B-42D3-9CA8-E87AABEF79FD}"/>
    <cellStyle name="Normal 8 2 2 2 8 3" xfId="12020" xr:uid="{5310B570-9002-4FAF-9440-03459A54A0E7}"/>
    <cellStyle name="Normal 8 2 2 2 9" xfId="4846" xr:uid="{00000000-0005-0000-0000-0000441C0000}"/>
    <cellStyle name="Normal 8 2 2 2 9 2" xfId="14172" xr:uid="{471C3B3B-EC47-4260-B7F2-934C0863A6A7}"/>
    <cellStyle name="Normal 8 2 2 3" xfId="485" xr:uid="{00000000-0005-0000-0000-0000451C0000}"/>
    <cellStyle name="Normal 8 2 2 3 10" xfId="9959" xr:uid="{A0D90FC6-9AEF-43D3-9EC2-DE046D94689E}"/>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9C8933E7-CEB0-47D5-B019-26C9529D69B6}"/>
    <cellStyle name="Normal 8 2 2 3 2 2 2 3" xfId="12518" xr:uid="{706313D2-48E3-4BDF-AEAA-A71E857F2F1A}"/>
    <cellStyle name="Normal 8 2 2 3 2 2 3" xfId="5264" xr:uid="{00000000-0005-0000-0000-00004A1C0000}"/>
    <cellStyle name="Normal 8 2 2 3 2 2 3 2" xfId="14590" xr:uid="{F65BF6E4-20BF-4DB3-916B-FD116F5B810A}"/>
    <cellStyle name="Normal 8 2 2 3 2 2 4" xfId="9518" xr:uid="{FDE93D5E-A6D1-456B-8726-FC2AB8FD16A4}"/>
    <cellStyle name="Normal 8 2 2 3 2 2 4 2" xfId="18831" xr:uid="{F15CD983-D51C-4FF9-8EDE-1B3925FF18CA}"/>
    <cellStyle name="Normal 8 2 2 3 2 2 5" xfId="10373" xr:uid="{7A6E4808-D6FD-41EF-B25D-719B33D02CEB}"/>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3C5D3496-3BD6-4C06-9196-8FE97053B99E}"/>
    <cellStyle name="Normal 8 2 2 3 2 3 2 3" xfId="12931" xr:uid="{58D9AC9E-C071-4A20-920E-3542FD1097C4}"/>
    <cellStyle name="Normal 8 2 2 3 2 3 3" xfId="5677" xr:uid="{00000000-0005-0000-0000-00004E1C0000}"/>
    <cellStyle name="Normal 8 2 2 3 2 3 3 2" xfId="15003" xr:uid="{0BD03196-92C5-49CD-BF7F-FA03D7CD2EBB}"/>
    <cellStyle name="Normal 8 2 2 3 2 3 4" xfId="10786" xr:uid="{565F927F-3763-4681-966E-1CB8526472F5}"/>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1F90907C-F4D6-4AEC-B78E-8A6155EBDEB4}"/>
    <cellStyle name="Normal 8 2 2 3 2 4 2 3" xfId="13344" xr:uid="{9C9BD275-FB1E-44E6-910A-909C7458F0C9}"/>
    <cellStyle name="Normal 8 2 2 3 2 4 3" xfId="6090" xr:uid="{00000000-0005-0000-0000-0000521C0000}"/>
    <cellStyle name="Normal 8 2 2 3 2 4 3 2" xfId="15416" xr:uid="{F030BB14-38C1-4095-8979-2A87980CA91D}"/>
    <cellStyle name="Normal 8 2 2 3 2 4 4" xfId="11199" xr:uid="{B914DB7E-AD46-4679-BB9C-51DD6784306F}"/>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A47EEF7C-E914-4106-91B0-34D4FFDA5559}"/>
    <cellStyle name="Normal 8 2 2 3 2 5 2 3" xfId="13757" xr:uid="{841DA7AC-9F3C-47C4-AFF8-639510A0B23D}"/>
    <cellStyle name="Normal 8 2 2 3 2 5 3" xfId="6503" xr:uid="{00000000-0005-0000-0000-0000561C0000}"/>
    <cellStyle name="Normal 8 2 2 3 2 5 3 2" xfId="15829" xr:uid="{1D25EAB6-19F1-467B-8994-24C928AFFAA6}"/>
    <cellStyle name="Normal 8 2 2 3 2 5 4" xfId="11612" xr:uid="{456BB259-BDF8-4045-B684-6D37D20539E0}"/>
    <cellStyle name="Normal 8 2 2 3 2 6" xfId="2633" xr:uid="{00000000-0005-0000-0000-0000571C0000}"/>
    <cellStyle name="Normal 8 2 2 3 2 6 2" xfId="6916" xr:uid="{00000000-0005-0000-0000-0000581C0000}"/>
    <cellStyle name="Normal 8 2 2 3 2 6 2 2" xfId="16242" xr:uid="{3CB27BD7-6492-4B95-9BBB-215F0BD36D7C}"/>
    <cellStyle name="Normal 8 2 2 3 2 6 3" xfId="12025" xr:uid="{7AA66A83-0299-4667-9CBC-E6A91A6E8A7B}"/>
    <cellStyle name="Normal 8 2 2 3 2 7" xfId="4851" xr:uid="{00000000-0005-0000-0000-0000591C0000}"/>
    <cellStyle name="Normal 8 2 2 3 2 7 2" xfId="14177" xr:uid="{673E6518-5727-45DD-BB18-33BBF8C3EBFF}"/>
    <cellStyle name="Normal 8 2 2 3 2 8" xfId="9093" xr:uid="{ADE34C72-BCCB-477C-B66A-BE7159CEB281}"/>
    <cellStyle name="Normal 8 2 2 3 2 8 2" xfId="18416" xr:uid="{D8E59D4A-C4F5-4773-B9B3-2BA396B0F166}"/>
    <cellStyle name="Normal 8 2 2 3 2 9" xfId="9960" xr:uid="{963026E2-BA5E-43D6-9D13-56B1B3291D3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B417A7F5-8D5E-421B-B308-0B2E0E826821}"/>
    <cellStyle name="Normal 8 2 2 3 3 2 3" xfId="12517" xr:uid="{C60F03C6-A1D0-4207-BFD0-8DE7846A82EE}"/>
    <cellStyle name="Normal 8 2 2 3 3 3" xfId="5263" xr:uid="{00000000-0005-0000-0000-00005D1C0000}"/>
    <cellStyle name="Normal 8 2 2 3 3 3 2" xfId="14589" xr:uid="{5132D9F6-531A-4023-9D5E-4DF798AB3FBC}"/>
    <cellStyle name="Normal 8 2 2 3 3 4" xfId="9311" xr:uid="{F4618F1E-1235-4269-B5C6-B09BE5034F6C}"/>
    <cellStyle name="Normal 8 2 2 3 3 4 2" xfId="18624" xr:uid="{35ADD1AF-639F-4EA2-98C9-0043DE0EC84D}"/>
    <cellStyle name="Normal 8 2 2 3 3 5" xfId="10372" xr:uid="{4660C945-E34C-4EFC-A2DD-E3DAAE09579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BADE2326-29B3-4430-AB74-B7108ED7AF04}"/>
    <cellStyle name="Normal 8 2 2 3 4 2 3" xfId="12930" xr:uid="{DE8ACFB4-9486-44E3-931D-FA0C0A357E72}"/>
    <cellStyle name="Normal 8 2 2 3 4 3" xfId="5676" xr:uid="{00000000-0005-0000-0000-0000611C0000}"/>
    <cellStyle name="Normal 8 2 2 3 4 3 2" xfId="15002" xr:uid="{1BE51383-27DA-4FFF-AC7B-0D6A539882D1}"/>
    <cellStyle name="Normal 8 2 2 3 4 4" xfId="10785" xr:uid="{7531408E-91AD-41A1-A2AC-EEA0AC078DCC}"/>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15A1A896-01CD-45DF-8820-60EE86969B73}"/>
    <cellStyle name="Normal 8 2 2 3 5 2 3" xfId="13343" xr:uid="{382D4E09-3400-41F7-8922-BD7BBBC82155}"/>
    <cellStyle name="Normal 8 2 2 3 5 3" xfId="6089" xr:uid="{00000000-0005-0000-0000-0000651C0000}"/>
    <cellStyle name="Normal 8 2 2 3 5 3 2" xfId="15415" xr:uid="{7FF13A8B-E049-4625-8A51-AFC94445E817}"/>
    <cellStyle name="Normal 8 2 2 3 5 4" xfId="11198" xr:uid="{28783465-3C26-4E3C-8A78-7680CC5DDBAF}"/>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AC9A0AE2-B9B4-433D-8F5D-E7486CFD1622}"/>
    <cellStyle name="Normal 8 2 2 3 6 2 3" xfId="13756" xr:uid="{2A0C356F-172C-4F8A-A094-2BEC08312864}"/>
    <cellStyle name="Normal 8 2 2 3 6 3" xfId="6502" xr:uid="{00000000-0005-0000-0000-0000691C0000}"/>
    <cellStyle name="Normal 8 2 2 3 6 3 2" xfId="15828" xr:uid="{B90E6731-E020-4B8E-9B22-B1D152FEBF5A}"/>
    <cellStyle name="Normal 8 2 2 3 6 4" xfId="11611" xr:uid="{8560D8A8-417F-4D44-ADCC-9BDF980BDE7B}"/>
    <cellStyle name="Normal 8 2 2 3 7" xfId="2632" xr:uid="{00000000-0005-0000-0000-00006A1C0000}"/>
    <cellStyle name="Normal 8 2 2 3 7 2" xfId="6915" xr:uid="{00000000-0005-0000-0000-00006B1C0000}"/>
    <cellStyle name="Normal 8 2 2 3 7 2 2" xfId="16241" xr:uid="{EB38167F-07D5-476F-AA35-8B17D1EC9E49}"/>
    <cellStyle name="Normal 8 2 2 3 7 3" xfId="12024" xr:uid="{F7A50347-3BC4-4608-B510-2D04ED7FE81D}"/>
    <cellStyle name="Normal 8 2 2 3 8" xfId="4850" xr:uid="{00000000-0005-0000-0000-00006C1C0000}"/>
    <cellStyle name="Normal 8 2 2 3 8 2" xfId="14176" xr:uid="{8DBDAA31-FEC0-4C0F-9851-7A6C42B63F6E}"/>
    <cellStyle name="Normal 8 2 2 3 9" xfId="8886" xr:uid="{B2A45ACA-2377-4A40-A818-E7106AD46E30}"/>
    <cellStyle name="Normal 8 2 2 3 9 2" xfId="18209" xr:uid="{D49DCEDB-5D7B-4D4A-99E8-7EEB320FE852}"/>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E39FD917-9E87-4435-BB62-04235930A4F7}"/>
    <cellStyle name="Normal 8 2 2 4 2 2 3" xfId="12519" xr:uid="{F5B3A395-FC13-420B-AB68-353E9F899663}"/>
    <cellStyle name="Normal 8 2 2 4 2 3" xfId="5265" xr:uid="{00000000-0005-0000-0000-0000711C0000}"/>
    <cellStyle name="Normal 8 2 2 4 2 3 2" xfId="14591" xr:uid="{4E122D19-2128-424F-ACA7-95B3C7D171C8}"/>
    <cellStyle name="Normal 8 2 2 4 2 4" xfId="9415" xr:uid="{88D7FF95-DEA9-4369-BE01-487FC7B2B7E8}"/>
    <cellStyle name="Normal 8 2 2 4 2 4 2" xfId="18728" xr:uid="{070B618B-FCE1-4CC2-830D-92F32BD28DBC}"/>
    <cellStyle name="Normal 8 2 2 4 2 5" xfId="10374" xr:uid="{97916BA6-16AB-44D8-BC5B-8A77870F87D9}"/>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0A4F0BDC-E7BE-4B5C-A0C5-CC485032DCCE}"/>
    <cellStyle name="Normal 8 2 2 4 3 2 3" xfId="12932" xr:uid="{9A0D0E29-3B22-4EB9-B579-A5BD4363406F}"/>
    <cellStyle name="Normal 8 2 2 4 3 3" xfId="5678" xr:uid="{00000000-0005-0000-0000-0000751C0000}"/>
    <cellStyle name="Normal 8 2 2 4 3 3 2" xfId="15004" xr:uid="{8E1C7A96-B232-4529-9826-CFB4EEFB56D8}"/>
    <cellStyle name="Normal 8 2 2 4 3 4" xfId="10787" xr:uid="{DC7852A2-2334-4299-9473-D5B323622BD1}"/>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E9B7365C-6BB0-470B-82F9-0868F8FBCA6D}"/>
    <cellStyle name="Normal 8 2 2 4 4 2 3" xfId="13345" xr:uid="{4B7ABC54-221D-47DA-BA62-A0EB3BD0706F}"/>
    <cellStyle name="Normal 8 2 2 4 4 3" xfId="6091" xr:uid="{00000000-0005-0000-0000-0000791C0000}"/>
    <cellStyle name="Normal 8 2 2 4 4 3 2" xfId="15417" xr:uid="{5B1BBBFB-E65D-40A3-B759-C4532D61893F}"/>
    <cellStyle name="Normal 8 2 2 4 4 4" xfId="11200" xr:uid="{51C54ACE-F2D5-4636-8577-51EC48C9E376}"/>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C9BD8A34-C3F5-4F2D-BCDE-8E66DEF7193D}"/>
    <cellStyle name="Normal 8 2 2 4 5 2 3" xfId="13758" xr:uid="{2DC23906-3703-46D6-B9B1-0D0C2A3B0CFB}"/>
    <cellStyle name="Normal 8 2 2 4 5 3" xfId="6504" xr:uid="{00000000-0005-0000-0000-00007D1C0000}"/>
    <cellStyle name="Normal 8 2 2 4 5 3 2" xfId="15830" xr:uid="{9EF7D62A-4B15-41FC-A6A9-D7D20089A295}"/>
    <cellStyle name="Normal 8 2 2 4 5 4" xfId="11613" xr:uid="{B5544288-6475-425B-88E9-98078E27E32E}"/>
    <cellStyle name="Normal 8 2 2 4 6" xfId="2634" xr:uid="{00000000-0005-0000-0000-00007E1C0000}"/>
    <cellStyle name="Normal 8 2 2 4 6 2" xfId="6917" xr:uid="{00000000-0005-0000-0000-00007F1C0000}"/>
    <cellStyle name="Normal 8 2 2 4 6 2 2" xfId="16243" xr:uid="{6A8C89CD-B4DE-401D-B621-52B6D74BC419}"/>
    <cellStyle name="Normal 8 2 2 4 6 3" xfId="12026" xr:uid="{1EABDE3C-A81D-424D-BF43-AF57E1E9137C}"/>
    <cellStyle name="Normal 8 2 2 4 7" xfId="4852" xr:uid="{00000000-0005-0000-0000-0000801C0000}"/>
    <cellStyle name="Normal 8 2 2 4 7 2" xfId="14178" xr:uid="{91CCC59C-6633-4ACF-AD5A-4B5D3E918831}"/>
    <cellStyle name="Normal 8 2 2 4 8" xfId="8990" xr:uid="{F08D85C9-EB04-4227-BEA0-1B51DDB63DFA}"/>
    <cellStyle name="Normal 8 2 2 4 8 2" xfId="18313" xr:uid="{75F17037-9CDB-4802-81DB-1EEBF998B70D}"/>
    <cellStyle name="Normal 8 2 2 4 9" xfId="9961" xr:uid="{94E1611A-29ED-4D1A-A636-E581721DC525}"/>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754F3DED-80C3-4A91-8768-930C6830B749}"/>
    <cellStyle name="Normal 8 2 2 5 2 3" xfId="12512" xr:uid="{51A94A21-8350-430A-8607-85BCC6EC5698}"/>
    <cellStyle name="Normal 8 2 2 5 3" xfId="5258" xr:uid="{00000000-0005-0000-0000-0000841C0000}"/>
    <cellStyle name="Normal 8 2 2 5 3 2" xfId="14584" xr:uid="{D6D467E1-C7D1-4D58-8D43-F339D5472138}"/>
    <cellStyle name="Normal 8 2 2 5 4" xfId="9207" xr:uid="{D4CDC4D2-5794-400F-B850-1B259D26C1FE}"/>
    <cellStyle name="Normal 8 2 2 5 4 2" xfId="18521" xr:uid="{D721AA9E-DA41-48FD-A4B6-491A73D26600}"/>
    <cellStyle name="Normal 8 2 2 5 5" xfId="10367" xr:uid="{E8182C17-8F9D-443A-915B-6A220F704151}"/>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1A9EDBC1-B562-4E10-9248-7CC96F902A6C}"/>
    <cellStyle name="Normal 8 2 2 6 2 3" xfId="12925" xr:uid="{79AC77C0-597D-41C3-BE3D-BBDC02392A74}"/>
    <cellStyle name="Normal 8 2 2 6 3" xfId="5671" xr:uid="{00000000-0005-0000-0000-0000881C0000}"/>
    <cellStyle name="Normal 8 2 2 6 3 2" xfId="14997" xr:uid="{BEB82B3D-CD42-479C-8158-75998A4329F1}"/>
    <cellStyle name="Normal 8 2 2 6 4" xfId="10780" xr:uid="{167DBCEF-8814-4051-9C98-42B5382307C9}"/>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93C78070-00F9-4A5A-BBDA-160EC35F5EC4}"/>
    <cellStyle name="Normal 8 2 2 7 2 3" xfId="13338" xr:uid="{0F4A1B66-9F5D-492D-B120-B1F5585C90B2}"/>
    <cellStyle name="Normal 8 2 2 7 3" xfId="6084" xr:uid="{00000000-0005-0000-0000-00008C1C0000}"/>
    <cellStyle name="Normal 8 2 2 7 3 2" xfId="15410" xr:uid="{7172E517-3069-43E2-8874-24A2CF48241B}"/>
    <cellStyle name="Normal 8 2 2 7 4" xfId="11193" xr:uid="{092C34A7-98E2-4CF2-B4B0-306035488E56}"/>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BC9E4403-6BF8-4E13-B79B-C6A247DD3990}"/>
    <cellStyle name="Normal 8 2 2 8 2 3" xfId="13751" xr:uid="{575034DF-ACBF-4FAC-BCB5-05944FD7A53C}"/>
    <cellStyle name="Normal 8 2 2 8 3" xfId="6497" xr:uid="{00000000-0005-0000-0000-0000901C0000}"/>
    <cellStyle name="Normal 8 2 2 8 3 2" xfId="15823" xr:uid="{2D13F567-A01D-4BD9-8DD4-DB5A47FB66DB}"/>
    <cellStyle name="Normal 8 2 2 8 4" xfId="11606" xr:uid="{F6544F4B-C649-4B18-B61F-E3992E683F9B}"/>
    <cellStyle name="Normal 8 2 2 9" xfId="2627" xr:uid="{00000000-0005-0000-0000-0000911C0000}"/>
    <cellStyle name="Normal 8 2 2 9 2" xfId="6910" xr:uid="{00000000-0005-0000-0000-0000921C0000}"/>
    <cellStyle name="Normal 8 2 2 9 2 2" xfId="16236" xr:uid="{A60773C4-2380-4C58-9329-5AC70B9F0B48}"/>
    <cellStyle name="Normal 8 2 2 9 3" xfId="12019" xr:uid="{B81BD1F7-2762-4082-B626-F10BF37B0DD8}"/>
    <cellStyle name="Normal 8 2 3" xfId="488" xr:uid="{00000000-0005-0000-0000-0000931C0000}"/>
    <cellStyle name="Normal 8 2 3 10" xfId="8835" xr:uid="{2F0FB8B3-D08B-41EB-93AB-2D83A1BD6036}"/>
    <cellStyle name="Normal 8 2 3 10 2" xfId="18158" xr:uid="{E4CE7DF4-8040-4753-83D1-BFE875309C8D}"/>
    <cellStyle name="Normal 8 2 3 11" xfId="9962" xr:uid="{F5D786B1-A10A-49B4-8F10-AAEF3330B900}"/>
    <cellStyle name="Normal 8 2 3 2" xfId="489" xr:uid="{00000000-0005-0000-0000-0000941C0000}"/>
    <cellStyle name="Normal 8 2 3 2 10" xfId="9963" xr:uid="{89510FA1-1B05-4287-B7E7-B56DD80B8CC3}"/>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23108A33-9FB5-4035-9878-C15344EF7DC1}"/>
    <cellStyle name="Normal 8 2 3 2 2 2 2 3" xfId="12522" xr:uid="{BE542293-EDAE-4687-AD05-9D7B8E97940B}"/>
    <cellStyle name="Normal 8 2 3 2 2 2 3" xfId="5268" xr:uid="{00000000-0005-0000-0000-0000991C0000}"/>
    <cellStyle name="Normal 8 2 3 2 2 2 3 2" xfId="14594" xr:uid="{5922B39B-340B-49E2-9BEB-80773112A9FD}"/>
    <cellStyle name="Normal 8 2 3 2 2 2 4" xfId="9570" xr:uid="{BA9732E0-D9E4-47DB-882D-D871A821FA55}"/>
    <cellStyle name="Normal 8 2 3 2 2 2 4 2" xfId="18883" xr:uid="{940EE6D4-87BF-4DDB-B3EC-DF6D0AE2C3A3}"/>
    <cellStyle name="Normal 8 2 3 2 2 2 5" xfId="10377" xr:uid="{AC2262B2-A85E-4BAA-865A-C1014244BEBF}"/>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F7D84B0E-7D58-472E-BD8E-EE980AC619AB}"/>
    <cellStyle name="Normal 8 2 3 2 2 3 2 3" xfId="12935" xr:uid="{1294D16E-E9F5-4777-9B26-AF9966B2E8C1}"/>
    <cellStyle name="Normal 8 2 3 2 2 3 3" xfId="5681" xr:uid="{00000000-0005-0000-0000-00009D1C0000}"/>
    <cellStyle name="Normal 8 2 3 2 2 3 3 2" xfId="15007" xr:uid="{DE95E47E-279D-48B2-B943-BFCE6B6FC009}"/>
    <cellStyle name="Normal 8 2 3 2 2 3 4" xfId="10790" xr:uid="{FFBDF76E-5CAA-440E-BF26-D091CC515F1A}"/>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1B75ED15-4E1D-4AC2-A188-440041BDBC92}"/>
    <cellStyle name="Normal 8 2 3 2 2 4 2 3" xfId="13348" xr:uid="{52A3D3FB-7AC1-4EBE-99D6-D0F74004AD8F}"/>
    <cellStyle name="Normal 8 2 3 2 2 4 3" xfId="6094" xr:uid="{00000000-0005-0000-0000-0000A11C0000}"/>
    <cellStyle name="Normal 8 2 3 2 2 4 3 2" xfId="15420" xr:uid="{6A381A50-F60D-484A-8114-FAB546D37C2F}"/>
    <cellStyle name="Normal 8 2 3 2 2 4 4" xfId="11203" xr:uid="{15C53242-FE6B-40AA-913D-1D378BF4017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67598409-501E-4188-B688-0962B036512B}"/>
    <cellStyle name="Normal 8 2 3 2 2 5 2 3" xfId="13761" xr:uid="{49DD54C3-9824-426F-A80E-FC647B95A481}"/>
    <cellStyle name="Normal 8 2 3 2 2 5 3" xfId="6507" xr:uid="{00000000-0005-0000-0000-0000A51C0000}"/>
    <cellStyle name="Normal 8 2 3 2 2 5 3 2" xfId="15833" xr:uid="{E8F792A8-594E-40D9-A13A-2ECA4C7B8DC6}"/>
    <cellStyle name="Normal 8 2 3 2 2 5 4" xfId="11616" xr:uid="{CF5B3C24-C60D-48F8-A2CC-F4AD6EF4D55C}"/>
    <cellStyle name="Normal 8 2 3 2 2 6" xfId="2637" xr:uid="{00000000-0005-0000-0000-0000A61C0000}"/>
    <cellStyle name="Normal 8 2 3 2 2 6 2" xfId="6920" xr:uid="{00000000-0005-0000-0000-0000A71C0000}"/>
    <cellStyle name="Normal 8 2 3 2 2 6 2 2" xfId="16246" xr:uid="{7F052D1F-3A0C-4985-AA9F-982C69218117}"/>
    <cellStyle name="Normal 8 2 3 2 2 6 3" xfId="12029" xr:uid="{53739F22-1D98-47E5-96C9-563F5A2B4683}"/>
    <cellStyle name="Normal 8 2 3 2 2 7" xfId="4855" xr:uid="{00000000-0005-0000-0000-0000A81C0000}"/>
    <cellStyle name="Normal 8 2 3 2 2 7 2" xfId="14181" xr:uid="{96C399A2-F427-4E8C-AEF5-DBA9A11FAFC4}"/>
    <cellStyle name="Normal 8 2 3 2 2 8" xfId="9145" xr:uid="{C71E6005-187D-4837-92B4-619AF06B3A3B}"/>
    <cellStyle name="Normal 8 2 3 2 2 8 2" xfId="18468" xr:uid="{4BB9262A-FB00-4401-BDD9-6186B5760116}"/>
    <cellStyle name="Normal 8 2 3 2 2 9" xfId="9964" xr:uid="{E9CAC3AD-0062-4E1E-BFAC-C552CCBA2EFA}"/>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41E45902-943B-401A-83D5-32645FA83002}"/>
    <cellStyle name="Normal 8 2 3 2 3 2 3" xfId="12521" xr:uid="{0185A29A-CFC0-4F47-804F-3FE06B1C154A}"/>
    <cellStyle name="Normal 8 2 3 2 3 3" xfId="5267" xr:uid="{00000000-0005-0000-0000-0000AC1C0000}"/>
    <cellStyle name="Normal 8 2 3 2 3 3 2" xfId="14593" xr:uid="{A78D19F5-B47F-482F-8CBE-1C366302359C}"/>
    <cellStyle name="Normal 8 2 3 2 3 4" xfId="9363" xr:uid="{C94C6C98-A8BC-4AC9-B084-0D2219E89AA8}"/>
    <cellStyle name="Normal 8 2 3 2 3 4 2" xfId="18676" xr:uid="{57917894-A180-47FB-A69C-80102AAB79EA}"/>
    <cellStyle name="Normal 8 2 3 2 3 5" xfId="10376" xr:uid="{254E8B75-275E-4F83-ADBD-ABDA29B584D9}"/>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A62B9136-A281-4BAD-9BBD-A377D149EF1D}"/>
    <cellStyle name="Normal 8 2 3 2 4 2 3" xfId="12934" xr:uid="{9BE622C1-9731-487C-89F8-074797F7B787}"/>
    <cellStyle name="Normal 8 2 3 2 4 3" xfId="5680" xr:uid="{00000000-0005-0000-0000-0000B01C0000}"/>
    <cellStyle name="Normal 8 2 3 2 4 3 2" xfId="15006" xr:uid="{CF0A46EA-873E-48A1-8E82-BA5CF9CE4F25}"/>
    <cellStyle name="Normal 8 2 3 2 4 4" xfId="10789" xr:uid="{872C2661-7BF8-4A3C-AFFF-1646C1E04EFC}"/>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962C7AE7-518C-4706-B6C6-588F884D87B2}"/>
    <cellStyle name="Normal 8 2 3 2 5 2 3" xfId="13347" xr:uid="{16EC2982-6BF4-415B-801C-DB2F9411497C}"/>
    <cellStyle name="Normal 8 2 3 2 5 3" xfId="6093" xr:uid="{00000000-0005-0000-0000-0000B41C0000}"/>
    <cellStyle name="Normal 8 2 3 2 5 3 2" xfId="15419" xr:uid="{9D22EF54-8DA7-4240-9918-130C83C57BB4}"/>
    <cellStyle name="Normal 8 2 3 2 5 4" xfId="11202" xr:uid="{58F21C44-5178-44FC-8484-C30742538D3D}"/>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8EEF62A6-ABEE-40A7-BCB6-EAB117ACE35D}"/>
    <cellStyle name="Normal 8 2 3 2 6 2 3" xfId="13760" xr:uid="{7482EE25-D2DC-4F0D-B089-C9313B0FDA03}"/>
    <cellStyle name="Normal 8 2 3 2 6 3" xfId="6506" xr:uid="{00000000-0005-0000-0000-0000B81C0000}"/>
    <cellStyle name="Normal 8 2 3 2 6 3 2" xfId="15832" xr:uid="{B5ECFFB6-B38E-43B1-9398-A8B8C7723A46}"/>
    <cellStyle name="Normal 8 2 3 2 6 4" xfId="11615" xr:uid="{D8015A2C-DCCB-4AF1-A45C-ED063E3034E4}"/>
    <cellStyle name="Normal 8 2 3 2 7" xfId="2636" xr:uid="{00000000-0005-0000-0000-0000B91C0000}"/>
    <cellStyle name="Normal 8 2 3 2 7 2" xfId="6919" xr:uid="{00000000-0005-0000-0000-0000BA1C0000}"/>
    <cellStyle name="Normal 8 2 3 2 7 2 2" xfId="16245" xr:uid="{B141129C-EB42-4890-807B-8CD869C925AF}"/>
    <cellStyle name="Normal 8 2 3 2 7 3" xfId="12028" xr:uid="{C0D76074-BB28-45E0-A3C4-149ACAE0839E}"/>
    <cellStyle name="Normal 8 2 3 2 8" xfId="4854" xr:uid="{00000000-0005-0000-0000-0000BB1C0000}"/>
    <cellStyle name="Normal 8 2 3 2 8 2" xfId="14180" xr:uid="{DC27D1DF-BBF3-466A-B7A6-11331F2FE790}"/>
    <cellStyle name="Normal 8 2 3 2 9" xfId="8938" xr:uid="{1EAF77CE-4DC3-40DC-AA9D-31320D478EE9}"/>
    <cellStyle name="Normal 8 2 3 2 9 2" xfId="18261" xr:uid="{B420840D-53A3-4FB0-B23B-E39E52DA9F92}"/>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CF98C86F-BC53-4E20-9CD3-8458D21B28EB}"/>
    <cellStyle name="Normal 8 2 3 3 2 2 3" xfId="12523" xr:uid="{9086C889-9841-422B-A6FA-B550EADAB258}"/>
    <cellStyle name="Normal 8 2 3 3 2 3" xfId="5269" xr:uid="{00000000-0005-0000-0000-0000C01C0000}"/>
    <cellStyle name="Normal 8 2 3 3 2 3 2" xfId="14595" xr:uid="{EA10450F-BDE1-4D83-B31A-30B894363D2F}"/>
    <cellStyle name="Normal 8 2 3 3 2 4" xfId="9467" xr:uid="{C16001D7-8508-4511-808F-E990F8EA0FE3}"/>
    <cellStyle name="Normal 8 2 3 3 2 4 2" xfId="18780" xr:uid="{63E93143-9F92-4DB1-992E-F7F7F3413881}"/>
    <cellStyle name="Normal 8 2 3 3 2 5" xfId="10378" xr:uid="{A65A7EAB-0209-4037-B198-CF25C22DBCB4}"/>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EA9D35BA-E097-4D57-AE83-2A6F8D517E53}"/>
    <cellStyle name="Normal 8 2 3 3 3 2 3" xfId="12936" xr:uid="{1A6574BA-8840-4E12-84C5-50A11964BE99}"/>
    <cellStyle name="Normal 8 2 3 3 3 3" xfId="5682" xr:uid="{00000000-0005-0000-0000-0000C41C0000}"/>
    <cellStyle name="Normal 8 2 3 3 3 3 2" xfId="15008" xr:uid="{F0C0D4E2-3C13-4155-ADA6-3FCE58C44FED}"/>
    <cellStyle name="Normal 8 2 3 3 3 4" xfId="10791" xr:uid="{28DF9C8A-B585-4A3F-AE50-435C899EDDBA}"/>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054EDFB8-08B7-462A-9C21-7C810F5CB844}"/>
    <cellStyle name="Normal 8 2 3 3 4 2 3" xfId="13349" xr:uid="{73F293F7-45EE-4795-AE2B-106CF996D310}"/>
    <cellStyle name="Normal 8 2 3 3 4 3" xfId="6095" xr:uid="{00000000-0005-0000-0000-0000C81C0000}"/>
    <cellStyle name="Normal 8 2 3 3 4 3 2" xfId="15421" xr:uid="{22C21D90-EEC8-4B67-AB99-865A8E6F3835}"/>
    <cellStyle name="Normal 8 2 3 3 4 4" xfId="11204" xr:uid="{8588C5E9-78FA-45C5-8239-9530F8EE514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AE057C93-91A7-4E23-AD6B-0A8D07AD5E36}"/>
    <cellStyle name="Normal 8 2 3 3 5 2 3" xfId="13762" xr:uid="{75196706-B4AA-4BBB-AFEA-98C11F874F0A}"/>
    <cellStyle name="Normal 8 2 3 3 5 3" xfId="6508" xr:uid="{00000000-0005-0000-0000-0000CC1C0000}"/>
    <cellStyle name="Normal 8 2 3 3 5 3 2" xfId="15834" xr:uid="{BA2FF23C-7D0E-47EE-BC95-7550F7406295}"/>
    <cellStyle name="Normal 8 2 3 3 5 4" xfId="11617" xr:uid="{7CF4EBC4-0A88-47F2-809A-A73DBD749B34}"/>
    <cellStyle name="Normal 8 2 3 3 6" xfId="2638" xr:uid="{00000000-0005-0000-0000-0000CD1C0000}"/>
    <cellStyle name="Normal 8 2 3 3 6 2" xfId="6921" xr:uid="{00000000-0005-0000-0000-0000CE1C0000}"/>
    <cellStyle name="Normal 8 2 3 3 6 2 2" xfId="16247" xr:uid="{9E6876C4-4BF9-4235-96A0-18F32E268369}"/>
    <cellStyle name="Normal 8 2 3 3 6 3" xfId="12030" xr:uid="{84BB7E2F-46C2-4134-B4A6-541BBBCA33BC}"/>
    <cellStyle name="Normal 8 2 3 3 7" xfId="4856" xr:uid="{00000000-0005-0000-0000-0000CF1C0000}"/>
    <cellStyle name="Normal 8 2 3 3 7 2" xfId="14182" xr:uid="{78BBAFC8-B83B-4791-8DD5-0194E0F8A6BE}"/>
    <cellStyle name="Normal 8 2 3 3 8" xfId="9042" xr:uid="{D820ED39-BAB1-48C1-A68D-2017E247E432}"/>
    <cellStyle name="Normal 8 2 3 3 8 2" xfId="18365" xr:uid="{351B16B2-2329-45FB-BFDF-D45A8A2AF873}"/>
    <cellStyle name="Normal 8 2 3 3 9" xfId="9965" xr:uid="{BA35C9D8-805A-4105-B9E3-C0FBD469DCF2}"/>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7E52DA60-A200-4425-9F72-55E1DB2641C3}"/>
    <cellStyle name="Normal 8 2 3 4 2 3" xfId="12520" xr:uid="{6C254AF9-920E-4CD1-A7E9-177D626C062D}"/>
    <cellStyle name="Normal 8 2 3 4 3" xfId="5266" xr:uid="{00000000-0005-0000-0000-0000D31C0000}"/>
    <cellStyle name="Normal 8 2 3 4 3 2" xfId="14592" xr:uid="{BAF214AF-3608-42D6-A22C-E8EBCB9F7341}"/>
    <cellStyle name="Normal 8 2 3 4 4" xfId="9260" xr:uid="{70FF5A16-C89A-42B7-A603-E23A7C2F443C}"/>
    <cellStyle name="Normal 8 2 3 4 4 2" xfId="18573" xr:uid="{A430EAFC-1D3E-494F-9B1E-8B0DB76E1A64}"/>
    <cellStyle name="Normal 8 2 3 4 5" xfId="10375" xr:uid="{0541163B-E45F-4488-89EE-08DFC69CB7D1}"/>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2973FC3B-5053-4D88-94E5-9671005FA3F4}"/>
    <cellStyle name="Normal 8 2 3 5 2 3" xfId="12933" xr:uid="{1BD301A8-DF00-486E-8E20-78D8A8CEEB77}"/>
    <cellStyle name="Normal 8 2 3 5 3" xfId="5679" xr:uid="{00000000-0005-0000-0000-0000D71C0000}"/>
    <cellStyle name="Normal 8 2 3 5 3 2" xfId="15005" xr:uid="{923D8BA9-A60A-48F8-8E3E-5C46C18C7863}"/>
    <cellStyle name="Normal 8 2 3 5 4" xfId="10788" xr:uid="{E7AE7F59-EA6B-44FE-8CE1-A5E860D30746}"/>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AD636D1F-A319-4FAE-BD32-5F07B9EC145E}"/>
    <cellStyle name="Normal 8 2 3 6 2 3" xfId="13346" xr:uid="{6593F4D0-5512-471C-9864-2AAF198BF2A9}"/>
    <cellStyle name="Normal 8 2 3 6 3" xfId="6092" xr:uid="{00000000-0005-0000-0000-0000DB1C0000}"/>
    <cellStyle name="Normal 8 2 3 6 3 2" xfId="15418" xr:uid="{2852B9E3-D272-4036-85AB-B1D6E709181F}"/>
    <cellStyle name="Normal 8 2 3 6 4" xfId="11201" xr:uid="{517123E2-0CAD-4EB3-A207-1CB59C421186}"/>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A6070809-9225-4F86-AA02-71164F7F48B7}"/>
    <cellStyle name="Normal 8 2 3 7 2 3" xfId="13759" xr:uid="{B1ED5127-4D42-4B31-BCD0-1C47F4CF105A}"/>
    <cellStyle name="Normal 8 2 3 7 3" xfId="6505" xr:uid="{00000000-0005-0000-0000-0000DF1C0000}"/>
    <cellStyle name="Normal 8 2 3 7 3 2" xfId="15831" xr:uid="{EE604EAA-2933-461F-B43B-DA9B9F1B7B07}"/>
    <cellStyle name="Normal 8 2 3 7 4" xfId="11614" xr:uid="{CADCC818-278B-44A4-A152-EB083CC0E1A5}"/>
    <cellStyle name="Normal 8 2 3 8" xfId="2635" xr:uid="{00000000-0005-0000-0000-0000E01C0000}"/>
    <cellStyle name="Normal 8 2 3 8 2" xfId="6918" xr:uid="{00000000-0005-0000-0000-0000E11C0000}"/>
    <cellStyle name="Normal 8 2 3 8 2 2" xfId="16244" xr:uid="{567FBB1F-F496-42FB-9CF3-60312432BE77}"/>
    <cellStyle name="Normal 8 2 3 8 3" xfId="12027" xr:uid="{BC7516B6-872B-436E-AA76-2BB95E6406A8}"/>
    <cellStyle name="Normal 8 2 3 9" xfId="4853" xr:uid="{00000000-0005-0000-0000-0000E21C0000}"/>
    <cellStyle name="Normal 8 2 3 9 2" xfId="14179" xr:uid="{D461EE51-7D46-4BAD-BCD2-C6C0C301CCA4}"/>
    <cellStyle name="Normal 8 2 4" xfId="492" xr:uid="{00000000-0005-0000-0000-0000E31C0000}"/>
    <cellStyle name="Normal 8 2 4 10" xfId="9966" xr:uid="{3638777F-4D6B-42B9-B35C-A4D4BB183B35}"/>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47EF3E57-8FB0-4985-99E1-2B4E3821DC7E}"/>
    <cellStyle name="Normal 8 2 4 2 2 2 3" xfId="12525" xr:uid="{0BDCF099-CCD0-4AF3-AA20-B52DF0794846}"/>
    <cellStyle name="Normal 8 2 4 2 2 3" xfId="5271" xr:uid="{00000000-0005-0000-0000-0000E81C0000}"/>
    <cellStyle name="Normal 8 2 4 2 2 3 2" xfId="14597" xr:uid="{667969E6-B3A9-4FD5-807E-26B5A7A7DA84}"/>
    <cellStyle name="Normal 8 2 4 2 2 4" xfId="9486" xr:uid="{9F6EBE4C-F02F-43A6-A388-D5EACB1B3099}"/>
    <cellStyle name="Normal 8 2 4 2 2 4 2" xfId="18799" xr:uid="{9B2D57E2-0397-494E-86C7-6A8028C4A6F1}"/>
    <cellStyle name="Normal 8 2 4 2 2 5" xfId="10380" xr:uid="{D869EC08-E1B6-40FD-8BF8-2E501183E040}"/>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7117CD7D-0BD9-4300-A936-C57A06AC69FA}"/>
    <cellStyle name="Normal 8 2 4 2 3 2 3" xfId="12938" xr:uid="{2BF8DD9D-9678-4B0E-8570-31FDB89E827A}"/>
    <cellStyle name="Normal 8 2 4 2 3 3" xfId="5684" xr:uid="{00000000-0005-0000-0000-0000EC1C0000}"/>
    <cellStyle name="Normal 8 2 4 2 3 3 2" xfId="15010" xr:uid="{B7356378-3529-4644-86F6-04C587AAB496}"/>
    <cellStyle name="Normal 8 2 4 2 3 4" xfId="10793" xr:uid="{90F9937A-5E35-41A4-BC45-10F197B2675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6927D6FB-456F-4FED-A9E2-F152608C2904}"/>
    <cellStyle name="Normal 8 2 4 2 4 2 3" xfId="13351" xr:uid="{7E173AF4-2733-4B21-B463-2A74253B432B}"/>
    <cellStyle name="Normal 8 2 4 2 4 3" xfId="6097" xr:uid="{00000000-0005-0000-0000-0000F01C0000}"/>
    <cellStyle name="Normal 8 2 4 2 4 3 2" xfId="15423" xr:uid="{E9AF97E6-9442-4406-BF8B-561C7AA00B94}"/>
    <cellStyle name="Normal 8 2 4 2 4 4" xfId="11206" xr:uid="{AE3EBC1D-6124-4F90-B358-A24C0FAA51F7}"/>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045CB2EC-3FFA-468B-8D4E-ED9C248D7863}"/>
    <cellStyle name="Normal 8 2 4 2 5 2 3" xfId="13764" xr:uid="{3BEB5A78-6F68-4BCD-843F-B4688F5D4910}"/>
    <cellStyle name="Normal 8 2 4 2 5 3" xfId="6510" xr:uid="{00000000-0005-0000-0000-0000F41C0000}"/>
    <cellStyle name="Normal 8 2 4 2 5 3 2" xfId="15836" xr:uid="{8167E379-1F19-4A52-8330-846FFE89DBE0}"/>
    <cellStyle name="Normal 8 2 4 2 5 4" xfId="11619" xr:uid="{075F2212-9CE6-4923-BF25-8A19F106B967}"/>
    <cellStyle name="Normal 8 2 4 2 6" xfId="2640" xr:uid="{00000000-0005-0000-0000-0000F51C0000}"/>
    <cellStyle name="Normal 8 2 4 2 6 2" xfId="6923" xr:uid="{00000000-0005-0000-0000-0000F61C0000}"/>
    <cellStyle name="Normal 8 2 4 2 6 2 2" xfId="16249" xr:uid="{14BBF11F-5F13-4191-A216-C59A3CDE52C6}"/>
    <cellStyle name="Normal 8 2 4 2 6 3" xfId="12032" xr:uid="{2B3D8741-1610-4298-A50B-85E73C4F4002}"/>
    <cellStyle name="Normal 8 2 4 2 7" xfId="4858" xr:uid="{00000000-0005-0000-0000-0000F71C0000}"/>
    <cellStyle name="Normal 8 2 4 2 7 2" xfId="14184" xr:uid="{5EB0F196-9D8D-499C-B3FF-4B6E915973BC}"/>
    <cellStyle name="Normal 8 2 4 2 8" xfId="9061" xr:uid="{7295DB82-9441-436C-AA3E-91B68F6E59B3}"/>
    <cellStyle name="Normal 8 2 4 2 8 2" xfId="18384" xr:uid="{6F3FA2F4-DE9B-4384-B469-F062063472B9}"/>
    <cellStyle name="Normal 8 2 4 2 9" xfId="9967" xr:uid="{91C93B91-2343-4DD7-B71F-912DAD1B4EB1}"/>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0975F214-F987-44C6-9908-86CA98A45146}"/>
    <cellStyle name="Normal 8 2 4 3 2 3" xfId="12524" xr:uid="{087E9245-2FA0-4FA3-B97A-26E3BE456C2D}"/>
    <cellStyle name="Normal 8 2 4 3 3" xfId="5270" xr:uid="{00000000-0005-0000-0000-0000FB1C0000}"/>
    <cellStyle name="Normal 8 2 4 3 3 2" xfId="14596" xr:uid="{AE88522B-FFC8-4B27-A768-3F67131F71D1}"/>
    <cellStyle name="Normal 8 2 4 3 4" xfId="9279" xr:uid="{BA09D30D-BEBA-4223-83E6-57FB46A1EFA8}"/>
    <cellStyle name="Normal 8 2 4 3 4 2" xfId="18592" xr:uid="{7951D9B1-5952-4258-90EE-A0EDF32B6C43}"/>
    <cellStyle name="Normal 8 2 4 3 5" xfId="10379" xr:uid="{2787B801-BF93-4071-A73B-C61E0CACE52E}"/>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CED8860C-8698-4CAC-9578-875E690A40AC}"/>
    <cellStyle name="Normal 8 2 4 4 2 3" xfId="12937" xr:uid="{6B44CA86-F9D3-4D52-A50A-2DD470AE1A51}"/>
    <cellStyle name="Normal 8 2 4 4 3" xfId="5683" xr:uid="{00000000-0005-0000-0000-0000FF1C0000}"/>
    <cellStyle name="Normal 8 2 4 4 3 2" xfId="15009" xr:uid="{5573515B-2A7E-4784-BE52-3A39480B587D}"/>
    <cellStyle name="Normal 8 2 4 4 4" xfId="10792" xr:uid="{97FE4F16-8980-4165-84AB-5BC975C7DF63}"/>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A8A1967D-F526-43DA-B8F4-0DE22053FF5B}"/>
    <cellStyle name="Normal 8 2 4 5 2 3" xfId="13350" xr:uid="{1AF50A48-BEDB-4860-A0FE-49112DDE9241}"/>
    <cellStyle name="Normal 8 2 4 5 3" xfId="6096" xr:uid="{00000000-0005-0000-0000-0000031D0000}"/>
    <cellStyle name="Normal 8 2 4 5 3 2" xfId="15422" xr:uid="{8E891FFF-C86B-4626-AEBA-F7DF1256A7D0}"/>
    <cellStyle name="Normal 8 2 4 5 4" xfId="11205" xr:uid="{5120F063-25D5-4133-9FFE-0B940FAD8BD1}"/>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B542320B-9A65-437D-9D85-CC3C228A0E78}"/>
    <cellStyle name="Normal 8 2 4 6 2 3" xfId="13763" xr:uid="{0E7992D6-8997-4B3F-873F-F3EABCFB641A}"/>
    <cellStyle name="Normal 8 2 4 6 3" xfId="6509" xr:uid="{00000000-0005-0000-0000-0000071D0000}"/>
    <cellStyle name="Normal 8 2 4 6 3 2" xfId="15835" xr:uid="{2BAC9E9A-8A38-4607-AB8A-901A72B0E3F8}"/>
    <cellStyle name="Normal 8 2 4 6 4" xfId="11618" xr:uid="{87FD417D-B3BF-46E6-BC89-C3D4943A8B36}"/>
    <cellStyle name="Normal 8 2 4 7" xfId="2639" xr:uid="{00000000-0005-0000-0000-0000081D0000}"/>
    <cellStyle name="Normal 8 2 4 7 2" xfId="6922" xr:uid="{00000000-0005-0000-0000-0000091D0000}"/>
    <cellStyle name="Normal 8 2 4 7 2 2" xfId="16248" xr:uid="{0D3444DA-021F-4C64-B63E-3C9D1FBA1374}"/>
    <cellStyle name="Normal 8 2 4 7 3" xfId="12031" xr:uid="{D1D94C00-FF1E-4BD5-9B82-3F84C091BF6C}"/>
    <cellStyle name="Normal 8 2 4 8" xfId="4857" xr:uid="{00000000-0005-0000-0000-00000A1D0000}"/>
    <cellStyle name="Normal 8 2 4 8 2" xfId="14183" xr:uid="{90543091-A05D-4F58-BEF5-4F263AD61EA3}"/>
    <cellStyle name="Normal 8 2 4 9" xfId="8854" xr:uid="{F1F9C500-F3E2-475A-983E-BD697F4BACD1}"/>
    <cellStyle name="Normal 8 2 4 9 2" xfId="18177" xr:uid="{23369820-D585-4CCE-8231-A31A3C4DFD37}"/>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D0AA5408-A7F0-4EB6-B6A0-86B6F8DA4E87}"/>
    <cellStyle name="Normal 8 2 5 2 2 3" xfId="12526" xr:uid="{1E24AC82-C5CC-4FA2-9098-D276053DA25D}"/>
    <cellStyle name="Normal 8 2 5 2 3" xfId="5272" xr:uid="{00000000-0005-0000-0000-00000F1D0000}"/>
    <cellStyle name="Normal 8 2 5 2 3 2" xfId="14598" xr:uid="{24F5656D-E3BB-4F84-B07D-4C74497B3055}"/>
    <cellStyle name="Normal 8 2 5 2 4" xfId="9395" xr:uid="{D5766EF3-6042-484F-B510-7448518CF571}"/>
    <cellStyle name="Normal 8 2 5 2 4 2" xfId="18708" xr:uid="{11BA3A39-1CC9-4AD1-9B66-D683A5CEA5D9}"/>
    <cellStyle name="Normal 8 2 5 2 5" xfId="10381" xr:uid="{BEB24782-E356-4C28-83A8-200CB509286F}"/>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3BBE4A42-1F08-47FE-AD46-9622F9BADD99}"/>
    <cellStyle name="Normal 8 2 5 3 2 3" xfId="12939" xr:uid="{3E512A00-93FD-4B8A-AC68-DB4F04EFEFC7}"/>
    <cellStyle name="Normal 8 2 5 3 3" xfId="5685" xr:uid="{00000000-0005-0000-0000-0000131D0000}"/>
    <cellStyle name="Normal 8 2 5 3 3 2" xfId="15011" xr:uid="{41F332DA-672F-4FBE-BFED-E9178C433803}"/>
    <cellStyle name="Normal 8 2 5 3 4" xfId="10794" xr:uid="{B3883B17-38FD-4168-A596-35211437FD0F}"/>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67BB3D11-256F-447D-B2F1-446B75CA1E29}"/>
    <cellStyle name="Normal 8 2 5 4 2 3" xfId="13352" xr:uid="{5E8E80C3-7577-41E3-8B1E-732E7F43BCE6}"/>
    <cellStyle name="Normal 8 2 5 4 3" xfId="6098" xr:uid="{00000000-0005-0000-0000-0000171D0000}"/>
    <cellStyle name="Normal 8 2 5 4 3 2" xfId="15424" xr:uid="{E442B4AE-31E2-425B-B862-31CDBE258091}"/>
    <cellStyle name="Normal 8 2 5 4 4" xfId="11207" xr:uid="{5E46AA93-CD43-42FF-9289-916E61F1D27A}"/>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04234A1F-5674-41B1-B8F2-AF91B86B2F72}"/>
    <cellStyle name="Normal 8 2 5 5 2 3" xfId="13765" xr:uid="{B2EA3751-53C2-4683-888E-E219CA345E70}"/>
    <cellStyle name="Normal 8 2 5 5 3" xfId="6511" xr:uid="{00000000-0005-0000-0000-00001B1D0000}"/>
    <cellStyle name="Normal 8 2 5 5 3 2" xfId="15837" xr:uid="{6152A646-753A-4335-B432-B5837F48511A}"/>
    <cellStyle name="Normal 8 2 5 5 4" xfId="11620" xr:uid="{7889E53A-582F-4E81-B698-97255FA8D54D}"/>
    <cellStyle name="Normal 8 2 5 6" xfId="2641" xr:uid="{00000000-0005-0000-0000-00001C1D0000}"/>
    <cellStyle name="Normal 8 2 5 6 2" xfId="6924" xr:uid="{00000000-0005-0000-0000-00001D1D0000}"/>
    <cellStyle name="Normal 8 2 5 6 2 2" xfId="16250" xr:uid="{E70283C9-076B-4C83-B4E0-F079CBFE0D58}"/>
    <cellStyle name="Normal 8 2 5 6 3" xfId="12033" xr:uid="{F40DF3A1-53DC-41EE-8527-94BBC17DC0B2}"/>
    <cellStyle name="Normal 8 2 5 7" xfId="4859" xr:uid="{00000000-0005-0000-0000-00001E1D0000}"/>
    <cellStyle name="Normal 8 2 5 7 2" xfId="14185" xr:uid="{5FF15F7F-3A91-4C5C-81DD-C58CCB832126}"/>
    <cellStyle name="Normal 8 2 5 8" xfId="8970" xr:uid="{7E9ACEFF-1680-45D8-BC32-8CA9BA1D63D4}"/>
    <cellStyle name="Normal 8 2 5 8 2" xfId="18293" xr:uid="{11601153-1408-4DD4-929A-45E2BA76D976}"/>
    <cellStyle name="Normal 8 2 5 9" xfId="9968" xr:uid="{78EAF3AE-44E9-4CBA-8064-FD554B06DEED}"/>
    <cellStyle name="Normal 8 2 6" xfId="946" xr:uid="{00000000-0005-0000-0000-00001F1D0000}"/>
    <cellStyle name="Normal 8 2 6 2" xfId="3180" xr:uid="{00000000-0005-0000-0000-0000201D0000}"/>
    <cellStyle name="Normal 8 2 6 2 2" xfId="7402" xr:uid="{00000000-0005-0000-0000-0000211D0000}"/>
    <cellStyle name="Normal 8 2 6 2 2 2" xfId="16728" xr:uid="{CC8BEB82-527B-48DB-BC9C-986894822E25}"/>
    <cellStyle name="Normal 8 2 6 2 3" xfId="12511" xr:uid="{B63AE3A9-C5CA-47DE-8366-14C1200801F0}"/>
    <cellStyle name="Normal 8 2 6 3" xfId="5257" xr:uid="{00000000-0005-0000-0000-0000221D0000}"/>
    <cellStyle name="Normal 8 2 6 3 2" xfId="14583" xr:uid="{77718DC8-B828-4FB9-AD07-6530DD5CBCA2}"/>
    <cellStyle name="Normal 8 2 6 4" xfId="9173" xr:uid="{C36295B3-E6F0-4A6D-AEE5-72C8177C13EE}"/>
    <cellStyle name="Normal 8 2 6 4 2" xfId="18489" xr:uid="{4E9F099E-5595-4049-BBCC-790DECADE79F}"/>
    <cellStyle name="Normal 8 2 6 5" xfId="10366" xr:uid="{F94B71C4-4AC6-4796-933A-E4983A206976}"/>
    <cellStyle name="Normal 8 2 7" xfId="1363" xr:uid="{00000000-0005-0000-0000-0000231D0000}"/>
    <cellStyle name="Normal 8 2 7 2" xfId="3593" xr:uid="{00000000-0005-0000-0000-0000241D0000}"/>
    <cellStyle name="Normal 8 2 7 2 2" xfId="7815" xr:uid="{00000000-0005-0000-0000-0000251D0000}"/>
    <cellStyle name="Normal 8 2 7 2 2 2" xfId="17141" xr:uid="{3B50891A-009E-4A41-A0A7-2116F9DC7B70}"/>
    <cellStyle name="Normal 8 2 7 2 3" xfId="12924" xr:uid="{B4918553-6395-4963-BC32-3BD9C9FC3385}"/>
    <cellStyle name="Normal 8 2 7 3" xfId="5670" xr:uid="{00000000-0005-0000-0000-0000261D0000}"/>
    <cellStyle name="Normal 8 2 7 3 2" xfId="14996" xr:uid="{B680D736-AF63-433A-8A54-0362375C22BF}"/>
    <cellStyle name="Normal 8 2 7 4" xfId="10779" xr:uid="{72243989-FE59-41F5-9BFB-D3927CA80B63}"/>
    <cellStyle name="Normal 8 2 8" xfId="1776" xr:uid="{00000000-0005-0000-0000-0000271D0000}"/>
    <cellStyle name="Normal 8 2 8 2" xfId="4006" xr:uid="{00000000-0005-0000-0000-0000281D0000}"/>
    <cellStyle name="Normal 8 2 8 2 2" xfId="8228" xr:uid="{00000000-0005-0000-0000-0000291D0000}"/>
    <cellStyle name="Normal 8 2 8 2 2 2" xfId="17554" xr:uid="{925F8253-BC6E-4A7D-B994-96CB0413EF5E}"/>
    <cellStyle name="Normal 8 2 8 2 3" xfId="13337" xr:uid="{E6ADF4D6-75EB-4EDB-A031-17A09182FC86}"/>
    <cellStyle name="Normal 8 2 8 3" xfId="6083" xr:uid="{00000000-0005-0000-0000-00002A1D0000}"/>
    <cellStyle name="Normal 8 2 8 3 2" xfId="15409" xr:uid="{08335C1C-BF0D-4E2C-8CDB-386B161EA965}"/>
    <cellStyle name="Normal 8 2 8 4" xfId="11192" xr:uid="{212892ED-F725-4409-AB9B-AB9C6444F245}"/>
    <cellStyle name="Normal 8 2 9" xfId="2190" xr:uid="{00000000-0005-0000-0000-00002B1D0000}"/>
    <cellStyle name="Normal 8 2 9 2" xfId="4419" xr:uid="{00000000-0005-0000-0000-00002C1D0000}"/>
    <cellStyle name="Normal 8 2 9 2 2" xfId="8641" xr:uid="{00000000-0005-0000-0000-00002D1D0000}"/>
    <cellStyle name="Normal 8 2 9 2 2 2" xfId="17967" xr:uid="{49410C0E-F9D7-446C-8D2E-6A2FE142BA60}"/>
    <cellStyle name="Normal 8 2 9 2 3" xfId="13750" xr:uid="{35AF0CB9-C0B7-4310-A22E-1161F0CE5088}"/>
    <cellStyle name="Normal 8 2 9 3" xfId="6496" xr:uid="{00000000-0005-0000-0000-00002E1D0000}"/>
    <cellStyle name="Normal 8 2 9 3 2" xfId="15822" xr:uid="{7C70231B-D0E2-4FD9-9ACA-E915B6C37C4A}"/>
    <cellStyle name="Normal 8 2 9 4" xfId="11605" xr:uid="{FF7AEB62-8CEE-43D0-977C-EFE305EA4DFD}"/>
    <cellStyle name="Normal 8 3" xfId="495" xr:uid="{00000000-0005-0000-0000-00002F1D0000}"/>
    <cellStyle name="Normal 8 3 10" xfId="4860" xr:uid="{00000000-0005-0000-0000-0000301D0000}"/>
    <cellStyle name="Normal 8 3 10 2" xfId="14186" xr:uid="{90A594D5-58BE-40E8-9EC4-6319DE81D2B0}"/>
    <cellStyle name="Normal 8 3 11" xfId="8774" xr:uid="{81BDDADD-940D-4F3A-BD6C-7E4719C8A3D2}"/>
    <cellStyle name="Normal 8 3 11 2" xfId="18097" xr:uid="{BA9D95C9-0406-45DD-A4E1-B8EE5A8699BE}"/>
    <cellStyle name="Normal 8 3 12" xfId="9969" xr:uid="{08493625-1899-4FD8-B1CE-E4DCC0F01247}"/>
    <cellStyle name="Normal 8 3 2" xfId="496" xr:uid="{00000000-0005-0000-0000-0000311D0000}"/>
    <cellStyle name="Normal 8 3 2 10" xfId="8837" xr:uid="{392842AA-84B1-4A71-AE94-A1B631487B7E}"/>
    <cellStyle name="Normal 8 3 2 10 2" xfId="18160" xr:uid="{A92EFC75-5830-4326-8BDC-FD1AB6BFDA8D}"/>
    <cellStyle name="Normal 8 3 2 11" xfId="9970" xr:uid="{51F0D552-7498-436E-B096-1CA905DDB303}"/>
    <cellStyle name="Normal 8 3 2 2" xfId="497" xr:uid="{00000000-0005-0000-0000-0000321D0000}"/>
    <cellStyle name="Normal 8 3 2 2 10" xfId="9971" xr:uid="{BA2A5A3C-17E8-4040-8B84-A05D6E3B3D2E}"/>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FE5BE788-3756-4C41-93A6-36B751164AB6}"/>
    <cellStyle name="Normal 8 3 2 2 2 2 2 3" xfId="12530" xr:uid="{23495081-3615-4127-822A-44A4446663A3}"/>
    <cellStyle name="Normal 8 3 2 2 2 2 3" xfId="5276" xr:uid="{00000000-0005-0000-0000-0000371D0000}"/>
    <cellStyle name="Normal 8 3 2 2 2 2 3 2" xfId="14602" xr:uid="{4C14F665-2F70-4225-9787-671D1A99DB82}"/>
    <cellStyle name="Normal 8 3 2 2 2 2 4" xfId="9572" xr:uid="{83269435-2305-4677-BD8B-8CB801DC108A}"/>
    <cellStyle name="Normal 8 3 2 2 2 2 4 2" xfId="18885" xr:uid="{A26D181C-57C0-4DF8-834C-FF0B2BB93E77}"/>
    <cellStyle name="Normal 8 3 2 2 2 2 5" xfId="10385" xr:uid="{ADDCC897-298A-4298-AD61-B6BA079DD811}"/>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E0E38D1A-4AA8-4AE0-AB43-C64EE9C7C84C}"/>
    <cellStyle name="Normal 8 3 2 2 2 3 2 3" xfId="12943" xr:uid="{CDCC4D06-BD7F-4031-97E6-7B1ECE7D3BBD}"/>
    <cellStyle name="Normal 8 3 2 2 2 3 3" xfId="5689" xr:uid="{00000000-0005-0000-0000-00003B1D0000}"/>
    <cellStyle name="Normal 8 3 2 2 2 3 3 2" xfId="15015" xr:uid="{F952E567-9DDB-4A01-8B23-F417639F631B}"/>
    <cellStyle name="Normal 8 3 2 2 2 3 4" xfId="10798" xr:uid="{3BB5F46E-5782-4090-9138-AECB6277EB03}"/>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69BEFA7A-07CA-4F72-B1EC-17D4D935239F}"/>
    <cellStyle name="Normal 8 3 2 2 2 4 2 3" xfId="13356" xr:uid="{9092CA24-E7D7-4DFC-83CB-5A54A4971E69}"/>
    <cellStyle name="Normal 8 3 2 2 2 4 3" xfId="6102" xr:uid="{00000000-0005-0000-0000-00003F1D0000}"/>
    <cellStyle name="Normal 8 3 2 2 2 4 3 2" xfId="15428" xr:uid="{CACB4028-FA9F-4648-AA49-DC3E6E9C58F6}"/>
    <cellStyle name="Normal 8 3 2 2 2 4 4" xfId="11211" xr:uid="{54DF518A-6EBC-486F-84F9-C3F6A2504B15}"/>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3AFDACC9-69C4-4B0E-AC49-6D50E8DFF043}"/>
    <cellStyle name="Normal 8 3 2 2 2 5 2 3" xfId="13769" xr:uid="{D7BAE63C-A1B7-40D1-8EC8-53EFABE4AA10}"/>
    <cellStyle name="Normal 8 3 2 2 2 5 3" xfId="6515" xr:uid="{00000000-0005-0000-0000-0000431D0000}"/>
    <cellStyle name="Normal 8 3 2 2 2 5 3 2" xfId="15841" xr:uid="{18349D76-6871-40FB-87E7-E4FCBED7D198}"/>
    <cellStyle name="Normal 8 3 2 2 2 5 4" xfId="11624" xr:uid="{B0811AED-ECFC-4676-AECE-16BA8374AFBA}"/>
    <cellStyle name="Normal 8 3 2 2 2 6" xfId="2645" xr:uid="{00000000-0005-0000-0000-0000441D0000}"/>
    <cellStyle name="Normal 8 3 2 2 2 6 2" xfId="6928" xr:uid="{00000000-0005-0000-0000-0000451D0000}"/>
    <cellStyle name="Normal 8 3 2 2 2 6 2 2" xfId="16254" xr:uid="{5BAB63ED-AE3C-4386-B57E-511EE6938050}"/>
    <cellStyle name="Normal 8 3 2 2 2 6 3" xfId="12037" xr:uid="{9D276FC0-B0A7-4484-A2A5-A9DF0EBA2E02}"/>
    <cellStyle name="Normal 8 3 2 2 2 7" xfId="4863" xr:uid="{00000000-0005-0000-0000-0000461D0000}"/>
    <cellStyle name="Normal 8 3 2 2 2 7 2" xfId="14189" xr:uid="{641C2A14-CBA8-4246-A714-20E0FDB05BEF}"/>
    <cellStyle name="Normal 8 3 2 2 2 8" xfId="9147" xr:uid="{16780743-13F5-44BF-919B-157B86988913}"/>
    <cellStyle name="Normal 8 3 2 2 2 8 2" xfId="18470" xr:uid="{5C09E4F8-0163-453A-91A7-452175BA295F}"/>
    <cellStyle name="Normal 8 3 2 2 2 9" xfId="9972" xr:uid="{73B04F21-38DA-4B26-AC25-A63F3B75EF9B}"/>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2CA0C140-0B7C-4B86-AF5F-A0C77E13B6D1}"/>
    <cellStyle name="Normal 8 3 2 2 3 2 3" xfId="12529" xr:uid="{D4818C08-A194-4133-BB68-22AA607DF6A7}"/>
    <cellStyle name="Normal 8 3 2 2 3 3" xfId="5275" xr:uid="{00000000-0005-0000-0000-00004A1D0000}"/>
    <cellStyle name="Normal 8 3 2 2 3 3 2" xfId="14601" xr:uid="{E3C83113-8927-42E3-A479-381B8E56CEEE}"/>
    <cellStyle name="Normal 8 3 2 2 3 4" xfId="9365" xr:uid="{47FF7C14-7484-41B9-856F-11398F7B2C7C}"/>
    <cellStyle name="Normal 8 3 2 2 3 4 2" xfId="18678" xr:uid="{E0A87175-DA22-4E6C-A71E-7E7552AB1A4E}"/>
    <cellStyle name="Normal 8 3 2 2 3 5" xfId="10384" xr:uid="{F7020681-71FF-490F-8821-EE6AADAC028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5A3BF7C5-2A52-418B-8872-12C67E802E91}"/>
    <cellStyle name="Normal 8 3 2 2 4 2 3" xfId="12942" xr:uid="{1800FE94-B6F8-4B70-9262-F5160931AA3B}"/>
    <cellStyle name="Normal 8 3 2 2 4 3" xfId="5688" xr:uid="{00000000-0005-0000-0000-00004E1D0000}"/>
    <cellStyle name="Normal 8 3 2 2 4 3 2" xfId="15014" xr:uid="{1067A03B-C5A5-4814-8A1B-81511D230090}"/>
    <cellStyle name="Normal 8 3 2 2 4 4" xfId="10797" xr:uid="{BE4A3905-4799-4D16-9C7E-7EEB92A9D6FD}"/>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FAFCE6D5-65F0-44ED-BC4F-96CCAFF7C948}"/>
    <cellStyle name="Normal 8 3 2 2 5 2 3" xfId="13355" xr:uid="{62C9DB97-AEC6-4640-86EF-6E3E3C32E2B9}"/>
    <cellStyle name="Normal 8 3 2 2 5 3" xfId="6101" xr:uid="{00000000-0005-0000-0000-0000521D0000}"/>
    <cellStyle name="Normal 8 3 2 2 5 3 2" xfId="15427" xr:uid="{DE6AE4EB-DEDE-4D3E-90AA-FB442904DAD1}"/>
    <cellStyle name="Normal 8 3 2 2 5 4" xfId="11210" xr:uid="{A6CE32C3-26DC-44BF-B830-AE75BC9672EC}"/>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CA4D0A4D-561D-4393-82F2-E7EB0D0256AB}"/>
    <cellStyle name="Normal 8 3 2 2 6 2 3" xfId="13768" xr:uid="{DAE163F5-9991-4D58-889F-E8CF3EE91B11}"/>
    <cellStyle name="Normal 8 3 2 2 6 3" xfId="6514" xr:uid="{00000000-0005-0000-0000-0000561D0000}"/>
    <cellStyle name="Normal 8 3 2 2 6 3 2" xfId="15840" xr:uid="{66B87BAE-E900-43C7-8ADF-D3D434AF16DB}"/>
    <cellStyle name="Normal 8 3 2 2 6 4" xfId="11623" xr:uid="{86D76626-68F5-4024-81D3-2A90792849F3}"/>
    <cellStyle name="Normal 8 3 2 2 7" xfId="2644" xr:uid="{00000000-0005-0000-0000-0000571D0000}"/>
    <cellStyle name="Normal 8 3 2 2 7 2" xfId="6927" xr:uid="{00000000-0005-0000-0000-0000581D0000}"/>
    <cellStyle name="Normal 8 3 2 2 7 2 2" xfId="16253" xr:uid="{DBC5084F-F81A-45A6-B510-199B581561E1}"/>
    <cellStyle name="Normal 8 3 2 2 7 3" xfId="12036" xr:uid="{242BE327-169B-450C-9E8F-0483CE201181}"/>
    <cellStyle name="Normal 8 3 2 2 8" xfId="4862" xr:uid="{00000000-0005-0000-0000-0000591D0000}"/>
    <cellStyle name="Normal 8 3 2 2 8 2" xfId="14188" xr:uid="{282680C7-484A-472B-840E-F8A30189D441}"/>
    <cellStyle name="Normal 8 3 2 2 9" xfId="8940" xr:uid="{63944EF0-E10A-4406-A758-3BD135650136}"/>
    <cellStyle name="Normal 8 3 2 2 9 2" xfId="18263" xr:uid="{11DABC97-371E-4FEA-81F9-F5EC2ACD8D33}"/>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C3CFF423-E2C6-41CF-9503-B5E14194D79A}"/>
    <cellStyle name="Normal 8 3 2 3 2 2 3" xfId="12531" xr:uid="{82C3C8BE-5A74-4C04-9AAF-3C4C5BF7736A}"/>
    <cellStyle name="Normal 8 3 2 3 2 3" xfId="5277" xr:uid="{00000000-0005-0000-0000-00005E1D0000}"/>
    <cellStyle name="Normal 8 3 2 3 2 3 2" xfId="14603" xr:uid="{766C1200-9645-4195-B831-26819CE1AC16}"/>
    <cellStyle name="Normal 8 3 2 3 2 4" xfId="9469" xr:uid="{7CA6C380-A6E9-4AF4-A29A-E40C8E9B5B5F}"/>
    <cellStyle name="Normal 8 3 2 3 2 4 2" xfId="18782" xr:uid="{FEFD3829-6BF4-4EF0-B1C6-59916E096AA8}"/>
    <cellStyle name="Normal 8 3 2 3 2 5" xfId="10386" xr:uid="{77F9480D-8399-49DA-B91F-C8FEB54E3F46}"/>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132DFA38-2FDB-476A-9714-A0EB2F98BDAC}"/>
    <cellStyle name="Normal 8 3 2 3 3 2 3" xfId="12944" xr:uid="{A895320F-FE0C-4C9A-BDEB-41644776BC12}"/>
    <cellStyle name="Normal 8 3 2 3 3 3" xfId="5690" xr:uid="{00000000-0005-0000-0000-0000621D0000}"/>
    <cellStyle name="Normal 8 3 2 3 3 3 2" xfId="15016" xr:uid="{179A1C0B-622A-444A-AADC-FE77B17B3DEB}"/>
    <cellStyle name="Normal 8 3 2 3 3 4" xfId="10799" xr:uid="{3A93CC37-6122-49F4-9D3A-8BC75002900C}"/>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E158F6E9-C968-43AB-8617-334DDF0EAFB1}"/>
    <cellStyle name="Normal 8 3 2 3 4 2 3" xfId="13357" xr:uid="{B775BAC9-CCA4-401D-97EC-0D8ABBF8B5B0}"/>
    <cellStyle name="Normal 8 3 2 3 4 3" xfId="6103" xr:uid="{00000000-0005-0000-0000-0000661D0000}"/>
    <cellStyle name="Normal 8 3 2 3 4 3 2" xfId="15429" xr:uid="{3780B817-BB98-4560-AE25-80A6732F8F9F}"/>
    <cellStyle name="Normal 8 3 2 3 4 4" xfId="11212" xr:uid="{90806EC9-6352-43D4-9C0F-59ABDD0806A8}"/>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26CD4D56-411A-4E63-AF13-5718177790D4}"/>
    <cellStyle name="Normal 8 3 2 3 5 2 3" xfId="13770" xr:uid="{0F74E222-4DA0-4CFB-A185-E4AD1AB81FEE}"/>
    <cellStyle name="Normal 8 3 2 3 5 3" xfId="6516" xr:uid="{00000000-0005-0000-0000-00006A1D0000}"/>
    <cellStyle name="Normal 8 3 2 3 5 3 2" xfId="15842" xr:uid="{4D4E7311-17DF-40FD-ADA5-355D20194C2D}"/>
    <cellStyle name="Normal 8 3 2 3 5 4" xfId="11625" xr:uid="{ED28E3D5-890F-4380-9BDD-DE9981924385}"/>
    <cellStyle name="Normal 8 3 2 3 6" xfId="2646" xr:uid="{00000000-0005-0000-0000-00006B1D0000}"/>
    <cellStyle name="Normal 8 3 2 3 6 2" xfId="6929" xr:uid="{00000000-0005-0000-0000-00006C1D0000}"/>
    <cellStyle name="Normal 8 3 2 3 6 2 2" xfId="16255" xr:uid="{5BC8E13D-FA44-44E5-B16F-5A08D8CB2FFB}"/>
    <cellStyle name="Normal 8 3 2 3 6 3" xfId="12038" xr:uid="{9678B4CA-F352-4D7F-A08A-CBC3E4105D0E}"/>
    <cellStyle name="Normal 8 3 2 3 7" xfId="4864" xr:uid="{00000000-0005-0000-0000-00006D1D0000}"/>
    <cellStyle name="Normal 8 3 2 3 7 2" xfId="14190" xr:uid="{9E93E0E6-1672-428F-A68F-4FB09151FE82}"/>
    <cellStyle name="Normal 8 3 2 3 8" xfId="9044" xr:uid="{5ED49706-9CA9-4EE9-B01D-112CD1DB587C}"/>
    <cellStyle name="Normal 8 3 2 3 8 2" xfId="18367" xr:uid="{391CCB1D-06FB-4A82-8597-195CD5E3F9F6}"/>
    <cellStyle name="Normal 8 3 2 3 9" xfId="9973" xr:uid="{85B8702E-F012-4E6D-98DE-47797D6CB5B1}"/>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77174B65-0F1A-49DB-8C49-4BF51B230E78}"/>
    <cellStyle name="Normal 8 3 2 4 2 3" xfId="12528" xr:uid="{4C8AFA0C-5065-4ACD-AABD-87958DF753A5}"/>
    <cellStyle name="Normal 8 3 2 4 3" xfId="5274" xr:uid="{00000000-0005-0000-0000-0000711D0000}"/>
    <cellStyle name="Normal 8 3 2 4 3 2" xfId="14600" xr:uid="{399F3EFE-1795-4978-A219-0020160980A6}"/>
    <cellStyle name="Normal 8 3 2 4 4" xfId="9262" xr:uid="{8842595C-CD28-4B10-9BE6-37883B4C2AA9}"/>
    <cellStyle name="Normal 8 3 2 4 4 2" xfId="18575" xr:uid="{AE993ABA-8619-4F9B-AE54-4AB3CDF0EEDB}"/>
    <cellStyle name="Normal 8 3 2 4 5" xfId="10383" xr:uid="{C025D1C2-0E47-4D09-A9E1-5B45E7C0110E}"/>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64F861EF-3929-4223-A886-ECE2B1EB9ED2}"/>
    <cellStyle name="Normal 8 3 2 5 2 3" xfId="12941" xr:uid="{1F332C83-F727-4CFB-9A8F-8F025C07EC53}"/>
    <cellStyle name="Normal 8 3 2 5 3" xfId="5687" xr:uid="{00000000-0005-0000-0000-0000751D0000}"/>
    <cellStyle name="Normal 8 3 2 5 3 2" xfId="15013" xr:uid="{CE3EC587-AFD9-4B6F-B8BC-E475CCE2DC87}"/>
    <cellStyle name="Normal 8 3 2 5 4" xfId="10796" xr:uid="{4856615E-1156-4EE8-BCFA-42E16B102709}"/>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50A00ADC-46A4-4FB1-AEC3-61E333F17990}"/>
    <cellStyle name="Normal 8 3 2 6 2 3" xfId="13354" xr:uid="{6C5416D8-6FD9-457B-B755-B590A990F474}"/>
    <cellStyle name="Normal 8 3 2 6 3" xfId="6100" xr:uid="{00000000-0005-0000-0000-0000791D0000}"/>
    <cellStyle name="Normal 8 3 2 6 3 2" xfId="15426" xr:uid="{205C9A8B-FD00-4DA7-94AA-4B1D55F669DE}"/>
    <cellStyle name="Normal 8 3 2 6 4" xfId="11209" xr:uid="{76C0876E-1EBC-41A3-9055-E2F00B5AD40D}"/>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9EB7CB0E-4891-4AD1-A526-55CAAAAE2A8B}"/>
    <cellStyle name="Normal 8 3 2 7 2 3" xfId="13767" xr:uid="{D7863970-C39C-439F-8AB9-E8B2DEBA182B}"/>
    <cellStyle name="Normal 8 3 2 7 3" xfId="6513" xr:uid="{00000000-0005-0000-0000-00007D1D0000}"/>
    <cellStyle name="Normal 8 3 2 7 3 2" xfId="15839" xr:uid="{AD6B5DDA-C33D-46DD-82F3-F512EDA28BCB}"/>
    <cellStyle name="Normal 8 3 2 7 4" xfId="11622" xr:uid="{0473871E-58FE-4B88-A62D-CB75DC49E9BF}"/>
    <cellStyle name="Normal 8 3 2 8" xfId="2643" xr:uid="{00000000-0005-0000-0000-00007E1D0000}"/>
    <cellStyle name="Normal 8 3 2 8 2" xfId="6926" xr:uid="{00000000-0005-0000-0000-00007F1D0000}"/>
    <cellStyle name="Normal 8 3 2 8 2 2" xfId="16252" xr:uid="{A966D72F-8EB9-425E-A2F5-F6DAEDE26BAD}"/>
    <cellStyle name="Normal 8 3 2 8 3" xfId="12035" xr:uid="{E2BCBAF9-00AA-4ED3-A40B-0560A7BFEE59}"/>
    <cellStyle name="Normal 8 3 2 9" xfId="4861" xr:uid="{00000000-0005-0000-0000-0000801D0000}"/>
    <cellStyle name="Normal 8 3 2 9 2" xfId="14187" xr:uid="{EFA1A367-5354-419F-BBF5-336DBA9E1FC2}"/>
    <cellStyle name="Normal 8 3 3" xfId="500" xr:uid="{00000000-0005-0000-0000-0000811D0000}"/>
    <cellStyle name="Normal 8 3 3 10" xfId="9974" xr:uid="{6E91FE22-CF75-400F-A249-1A8B97387357}"/>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DCFFA8BB-567E-494C-B5A7-3B56BD584E52}"/>
    <cellStyle name="Normal 8 3 3 2 2 2 3" xfId="12533" xr:uid="{4A5C07DC-C08E-42FA-8462-1A2924112D85}"/>
    <cellStyle name="Normal 8 3 3 2 2 3" xfId="5279" xr:uid="{00000000-0005-0000-0000-0000861D0000}"/>
    <cellStyle name="Normal 8 3 3 2 2 3 2" xfId="14605" xr:uid="{B34FFE0D-DE8B-4294-A544-A53CF912B646}"/>
    <cellStyle name="Normal 8 3 3 2 2 4" xfId="9509" xr:uid="{3B4378D3-7C51-4B91-822B-758528BFF352}"/>
    <cellStyle name="Normal 8 3 3 2 2 4 2" xfId="18822" xr:uid="{39C0A9CF-5878-4A50-8FF4-B57F1ED95181}"/>
    <cellStyle name="Normal 8 3 3 2 2 5" xfId="10388" xr:uid="{25EB8629-B7A1-4F22-AD7D-4766819494F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328CD1CA-1B53-481B-8742-C66AA1F7F9A1}"/>
    <cellStyle name="Normal 8 3 3 2 3 2 3" xfId="12946" xr:uid="{7F146093-3BBD-4DBB-AA61-07673267BEB1}"/>
    <cellStyle name="Normal 8 3 3 2 3 3" xfId="5692" xr:uid="{00000000-0005-0000-0000-00008A1D0000}"/>
    <cellStyle name="Normal 8 3 3 2 3 3 2" xfId="15018" xr:uid="{6DBCCCD9-52E9-4370-A56A-DAE5B92F4956}"/>
    <cellStyle name="Normal 8 3 3 2 3 4" xfId="10801" xr:uid="{16C9CDBB-4642-4B90-9CCB-B118D884E95F}"/>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CE1C0E84-98C8-40EA-84F5-7FFB21AC027E}"/>
    <cellStyle name="Normal 8 3 3 2 4 2 3" xfId="13359" xr:uid="{A07929A8-8E7C-442D-B8B4-FD9C3F0ECB84}"/>
    <cellStyle name="Normal 8 3 3 2 4 3" xfId="6105" xr:uid="{00000000-0005-0000-0000-00008E1D0000}"/>
    <cellStyle name="Normal 8 3 3 2 4 3 2" xfId="15431" xr:uid="{E73211F8-33D0-44C1-B8CD-C17E42C1187C}"/>
    <cellStyle name="Normal 8 3 3 2 4 4" xfId="11214" xr:uid="{6E02B3ED-7090-41AF-AE40-C2713B321A1C}"/>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9A91447C-A806-4B15-B360-0C7412B959C3}"/>
    <cellStyle name="Normal 8 3 3 2 5 2 3" xfId="13772" xr:uid="{3B7D0D34-6D93-431C-BE22-F2232049D7EF}"/>
    <cellStyle name="Normal 8 3 3 2 5 3" xfId="6518" xr:uid="{00000000-0005-0000-0000-0000921D0000}"/>
    <cellStyle name="Normal 8 3 3 2 5 3 2" xfId="15844" xr:uid="{B700B4FF-31A9-4422-BC7E-D81820F2FF7A}"/>
    <cellStyle name="Normal 8 3 3 2 5 4" xfId="11627" xr:uid="{772AE086-EE20-4DCA-AEF6-3D4771B64263}"/>
    <cellStyle name="Normal 8 3 3 2 6" xfId="2648" xr:uid="{00000000-0005-0000-0000-0000931D0000}"/>
    <cellStyle name="Normal 8 3 3 2 6 2" xfId="6931" xr:uid="{00000000-0005-0000-0000-0000941D0000}"/>
    <cellStyle name="Normal 8 3 3 2 6 2 2" xfId="16257" xr:uid="{BB105FA0-8A2A-48D6-BA1B-5B37B90FD90F}"/>
    <cellStyle name="Normal 8 3 3 2 6 3" xfId="12040" xr:uid="{EF653639-5439-4531-AF6B-C09728403A9A}"/>
    <cellStyle name="Normal 8 3 3 2 7" xfId="4866" xr:uid="{00000000-0005-0000-0000-0000951D0000}"/>
    <cellStyle name="Normal 8 3 3 2 7 2" xfId="14192" xr:uid="{29340EEB-CF81-4A7A-B5A1-B4CB15EF281C}"/>
    <cellStyle name="Normal 8 3 3 2 8" xfId="9084" xr:uid="{94243AB7-0454-4C95-8E94-054E46718167}"/>
    <cellStyle name="Normal 8 3 3 2 8 2" xfId="18407" xr:uid="{61CD54C3-8F38-4C41-9557-76664EC2CD78}"/>
    <cellStyle name="Normal 8 3 3 2 9" xfId="9975" xr:uid="{311628E2-743C-4F87-83EC-6998C283087A}"/>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D4C40A5E-A05C-40D6-AAB9-73E41C041BFD}"/>
    <cellStyle name="Normal 8 3 3 3 2 3" xfId="12532" xr:uid="{B1700D54-D1C7-451B-AFCE-6AEA1A52BC6F}"/>
    <cellStyle name="Normal 8 3 3 3 3" xfId="5278" xr:uid="{00000000-0005-0000-0000-0000991D0000}"/>
    <cellStyle name="Normal 8 3 3 3 3 2" xfId="14604" xr:uid="{329C52AF-29BF-47FC-8E8F-8726705CF26F}"/>
    <cellStyle name="Normal 8 3 3 3 4" xfId="9302" xr:uid="{3985B908-2B56-4F9B-BEA3-8962926FD004}"/>
    <cellStyle name="Normal 8 3 3 3 4 2" xfId="18615" xr:uid="{8D0316C2-F3A3-420E-9855-419F2CEC1C7F}"/>
    <cellStyle name="Normal 8 3 3 3 5" xfId="10387" xr:uid="{45BAC384-7A8A-4779-9FD9-9D6F6CB081B9}"/>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B414CEBC-8BA6-4171-B140-D56BCC6283A6}"/>
    <cellStyle name="Normal 8 3 3 4 2 3" xfId="12945" xr:uid="{868F99F4-FE84-4181-9CD0-E781EF33A80C}"/>
    <cellStyle name="Normal 8 3 3 4 3" xfId="5691" xr:uid="{00000000-0005-0000-0000-00009D1D0000}"/>
    <cellStyle name="Normal 8 3 3 4 3 2" xfId="15017" xr:uid="{619D6F8C-CF78-4CEF-9AC2-6F568D95580A}"/>
    <cellStyle name="Normal 8 3 3 4 4" xfId="10800" xr:uid="{B9D01DE6-9CDC-4778-A71F-8A9E0D554867}"/>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01951683-C429-4C88-9413-B0F8A287D48F}"/>
    <cellStyle name="Normal 8 3 3 5 2 3" xfId="13358" xr:uid="{7659CA50-80B9-4640-B6EE-7D694B1284D9}"/>
    <cellStyle name="Normal 8 3 3 5 3" xfId="6104" xr:uid="{00000000-0005-0000-0000-0000A11D0000}"/>
    <cellStyle name="Normal 8 3 3 5 3 2" xfId="15430" xr:uid="{C11A2883-67E0-4A23-A462-4A741A7D7871}"/>
    <cellStyle name="Normal 8 3 3 5 4" xfId="11213" xr:uid="{2D32BFC5-DA80-4D5F-97FA-0EA1CAEBF942}"/>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330C2F7F-22D2-4520-98DD-A1735C2745D1}"/>
    <cellStyle name="Normal 8 3 3 6 2 3" xfId="13771" xr:uid="{5A75858A-289F-4B61-BD75-B1BC373F8094}"/>
    <cellStyle name="Normal 8 3 3 6 3" xfId="6517" xr:uid="{00000000-0005-0000-0000-0000A51D0000}"/>
    <cellStyle name="Normal 8 3 3 6 3 2" xfId="15843" xr:uid="{E8DC3AA2-EF08-4097-BA22-530408BDA750}"/>
    <cellStyle name="Normal 8 3 3 6 4" xfId="11626" xr:uid="{F9EB9E61-6DDC-465D-82D9-0364A48F3DC1}"/>
    <cellStyle name="Normal 8 3 3 7" xfId="2647" xr:uid="{00000000-0005-0000-0000-0000A61D0000}"/>
    <cellStyle name="Normal 8 3 3 7 2" xfId="6930" xr:uid="{00000000-0005-0000-0000-0000A71D0000}"/>
    <cellStyle name="Normal 8 3 3 7 2 2" xfId="16256" xr:uid="{0405096A-7198-4539-B848-70E531E3D8BE}"/>
    <cellStyle name="Normal 8 3 3 7 3" xfId="12039" xr:uid="{4725A07B-DDD4-4EEC-8E2D-E484271E5903}"/>
    <cellStyle name="Normal 8 3 3 8" xfId="4865" xr:uid="{00000000-0005-0000-0000-0000A81D0000}"/>
    <cellStyle name="Normal 8 3 3 8 2" xfId="14191" xr:uid="{46D87F9B-E8D2-4528-9322-32F7A8C194B5}"/>
    <cellStyle name="Normal 8 3 3 9" xfId="8877" xr:uid="{4F8231E3-800E-43E7-B1B6-9633EBFFFFE1}"/>
    <cellStyle name="Normal 8 3 3 9 2" xfId="18200" xr:uid="{4E471877-141E-438C-B9D9-3FC1047589CD}"/>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AB2BA6AD-CB83-4F63-A541-7914D3A1E7F4}"/>
    <cellStyle name="Normal 8 3 4 2 2 3" xfId="12534" xr:uid="{288E3BEE-9C03-444B-B8CA-735F1EAD74C2}"/>
    <cellStyle name="Normal 8 3 4 2 3" xfId="5280" xr:uid="{00000000-0005-0000-0000-0000AD1D0000}"/>
    <cellStyle name="Normal 8 3 4 2 3 2" xfId="14606" xr:uid="{2EB78F36-01F3-429D-BE9F-696F5DCC6F48}"/>
    <cellStyle name="Normal 8 3 4 2 4" xfId="9406" xr:uid="{8751BE45-E47B-4A0A-B0DE-04C14FAEA88D}"/>
    <cellStyle name="Normal 8 3 4 2 4 2" xfId="18719" xr:uid="{D2EF2A62-B1C4-4551-81C6-B1CC27984214}"/>
    <cellStyle name="Normal 8 3 4 2 5" xfId="10389" xr:uid="{A52342A2-3D6D-4C9E-BB1C-0A58276CD6C1}"/>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2B064E07-6636-45C0-830F-1612D8997C32}"/>
    <cellStyle name="Normal 8 3 4 3 2 3" xfId="12947" xr:uid="{18EA25F9-7D22-4E0B-B729-0852DAACFCF0}"/>
    <cellStyle name="Normal 8 3 4 3 3" xfId="5693" xr:uid="{00000000-0005-0000-0000-0000B11D0000}"/>
    <cellStyle name="Normal 8 3 4 3 3 2" xfId="15019" xr:uid="{80AC7CE0-F274-46C3-8DEA-D794A4379152}"/>
    <cellStyle name="Normal 8 3 4 3 4" xfId="10802" xr:uid="{11778A38-72AD-46D7-9CD2-E4784F84EE95}"/>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201FFD5D-526B-474C-A50D-3921EA43EFB1}"/>
    <cellStyle name="Normal 8 3 4 4 2 3" xfId="13360" xr:uid="{56A5EAA5-7B60-4D20-BC32-0D4188541663}"/>
    <cellStyle name="Normal 8 3 4 4 3" xfId="6106" xr:uid="{00000000-0005-0000-0000-0000B51D0000}"/>
    <cellStyle name="Normal 8 3 4 4 3 2" xfId="15432" xr:uid="{951E9A7F-33D4-466B-BB10-D7DAA92A36B4}"/>
    <cellStyle name="Normal 8 3 4 4 4" xfId="11215" xr:uid="{48C9E6D2-E82C-4A8E-ADCB-BC665AD0208C}"/>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855A7B40-FFA0-4DF2-9644-3E4F9FFE0E5A}"/>
    <cellStyle name="Normal 8 3 4 5 2 3" xfId="13773" xr:uid="{5CCF5665-03F8-4DCF-BC6C-9FF6271BB614}"/>
    <cellStyle name="Normal 8 3 4 5 3" xfId="6519" xr:uid="{00000000-0005-0000-0000-0000B91D0000}"/>
    <cellStyle name="Normal 8 3 4 5 3 2" xfId="15845" xr:uid="{23855E66-EC29-48F3-8AFD-9AEDB4E8D419}"/>
    <cellStyle name="Normal 8 3 4 5 4" xfId="11628" xr:uid="{5E9420B0-88EB-4310-B17D-2177AB810EB3}"/>
    <cellStyle name="Normal 8 3 4 6" xfId="2649" xr:uid="{00000000-0005-0000-0000-0000BA1D0000}"/>
    <cellStyle name="Normal 8 3 4 6 2" xfId="6932" xr:uid="{00000000-0005-0000-0000-0000BB1D0000}"/>
    <cellStyle name="Normal 8 3 4 6 2 2" xfId="16258" xr:uid="{1393187E-9C69-4DFD-B3B3-F9A361846F02}"/>
    <cellStyle name="Normal 8 3 4 6 3" xfId="12041" xr:uid="{B081852D-9FD4-46EC-8792-51780FADB625}"/>
    <cellStyle name="Normal 8 3 4 7" xfId="4867" xr:uid="{00000000-0005-0000-0000-0000BC1D0000}"/>
    <cellStyle name="Normal 8 3 4 7 2" xfId="14193" xr:uid="{6A2D3A35-C6FF-4E81-A49D-E1B8AED25023}"/>
    <cellStyle name="Normal 8 3 4 8" xfId="8981" xr:uid="{BEE184E9-ECE6-4107-B29A-CC8BC7F28FA3}"/>
    <cellStyle name="Normal 8 3 4 8 2" xfId="18304" xr:uid="{42C50DDD-D563-4EAF-9D88-700D26A21D9B}"/>
    <cellStyle name="Normal 8 3 4 9" xfId="9976" xr:uid="{C566B3EA-BD12-465E-904A-C8CCF2815B97}"/>
    <cellStyle name="Normal 8 3 5" xfId="962" xr:uid="{00000000-0005-0000-0000-0000BD1D0000}"/>
    <cellStyle name="Normal 8 3 5 2" xfId="3196" xr:uid="{00000000-0005-0000-0000-0000BE1D0000}"/>
    <cellStyle name="Normal 8 3 5 2 2" xfId="7418" xr:uid="{00000000-0005-0000-0000-0000BF1D0000}"/>
    <cellStyle name="Normal 8 3 5 2 2 2" xfId="16744" xr:uid="{2659A046-821A-4379-A94D-B4F54B14C980}"/>
    <cellStyle name="Normal 8 3 5 2 3" xfId="12527" xr:uid="{5A0E57C7-E684-4594-9A5A-0BA6B7FAC873}"/>
    <cellStyle name="Normal 8 3 5 3" xfId="5273" xr:uid="{00000000-0005-0000-0000-0000C01D0000}"/>
    <cellStyle name="Normal 8 3 5 3 2" xfId="14599" xr:uid="{A0D9AC47-11BE-49D1-B44A-098A7B989587}"/>
    <cellStyle name="Normal 8 3 5 4" xfId="9198" xr:uid="{FA5A5C79-C3AC-4E17-9344-90C4E411EE0B}"/>
    <cellStyle name="Normal 8 3 5 4 2" xfId="18512" xr:uid="{4E84B815-8096-45B6-AA8D-6AE3A1CB8B11}"/>
    <cellStyle name="Normal 8 3 5 5" xfId="10382" xr:uid="{27F5E76E-834B-4B41-8ACC-81121CBE4EF1}"/>
    <cellStyle name="Normal 8 3 6" xfId="1379" xr:uid="{00000000-0005-0000-0000-0000C11D0000}"/>
    <cellStyle name="Normal 8 3 6 2" xfId="3609" xr:uid="{00000000-0005-0000-0000-0000C21D0000}"/>
    <cellStyle name="Normal 8 3 6 2 2" xfId="7831" xr:uid="{00000000-0005-0000-0000-0000C31D0000}"/>
    <cellStyle name="Normal 8 3 6 2 2 2" xfId="17157" xr:uid="{3B8EB0E9-41E2-4AF9-8599-FAB60C50D948}"/>
    <cellStyle name="Normal 8 3 6 2 3" xfId="12940" xr:uid="{F5B61182-F72C-487E-81E5-05C67C3982DE}"/>
    <cellStyle name="Normal 8 3 6 3" xfId="5686" xr:uid="{00000000-0005-0000-0000-0000C41D0000}"/>
    <cellStyle name="Normal 8 3 6 3 2" xfId="15012" xr:uid="{ACB1C5BD-0D32-49A1-A29C-F2A3EEAF9C48}"/>
    <cellStyle name="Normal 8 3 6 4" xfId="10795" xr:uid="{AB2E3BC7-9F1A-4608-9683-ED13833C0C72}"/>
    <cellStyle name="Normal 8 3 7" xfId="1792" xr:uid="{00000000-0005-0000-0000-0000C51D0000}"/>
    <cellStyle name="Normal 8 3 7 2" xfId="4022" xr:uid="{00000000-0005-0000-0000-0000C61D0000}"/>
    <cellStyle name="Normal 8 3 7 2 2" xfId="8244" xr:uid="{00000000-0005-0000-0000-0000C71D0000}"/>
    <cellStyle name="Normal 8 3 7 2 2 2" xfId="17570" xr:uid="{BBC49C02-0DDF-4912-8DF5-EEBA806552D6}"/>
    <cellStyle name="Normal 8 3 7 2 3" xfId="13353" xr:uid="{4E5A4392-E526-4B61-AD6E-984904008FE8}"/>
    <cellStyle name="Normal 8 3 7 3" xfId="6099" xr:uid="{00000000-0005-0000-0000-0000C81D0000}"/>
    <cellStyle name="Normal 8 3 7 3 2" xfId="15425" xr:uid="{E7E8F7E5-59A4-42BE-A864-4B1D0866D5C4}"/>
    <cellStyle name="Normal 8 3 7 4" xfId="11208" xr:uid="{9E0C39C6-D4E2-4145-84DA-7618BCC44B72}"/>
    <cellStyle name="Normal 8 3 8" xfId="2206" xr:uid="{00000000-0005-0000-0000-0000C91D0000}"/>
    <cellStyle name="Normal 8 3 8 2" xfId="4435" xr:uid="{00000000-0005-0000-0000-0000CA1D0000}"/>
    <cellStyle name="Normal 8 3 8 2 2" xfId="8657" xr:uid="{00000000-0005-0000-0000-0000CB1D0000}"/>
    <cellStyle name="Normal 8 3 8 2 2 2" xfId="17983" xr:uid="{4833C1FD-98DD-4F9D-889A-41E013E77C59}"/>
    <cellStyle name="Normal 8 3 8 2 3" xfId="13766" xr:uid="{43C9F781-D57F-4AF2-9877-0CD3C20BE360}"/>
    <cellStyle name="Normal 8 3 8 3" xfId="6512" xr:uid="{00000000-0005-0000-0000-0000CC1D0000}"/>
    <cellStyle name="Normal 8 3 8 3 2" xfId="15838" xr:uid="{8331F279-E052-4F8F-B857-596C96C84CD0}"/>
    <cellStyle name="Normal 8 3 8 4" xfId="11621" xr:uid="{079AAFDA-47C5-4ACF-B517-138284EE8FE7}"/>
    <cellStyle name="Normal 8 3 9" xfId="2642" xr:uid="{00000000-0005-0000-0000-0000CD1D0000}"/>
    <cellStyle name="Normal 8 3 9 2" xfId="6925" xr:uid="{00000000-0005-0000-0000-0000CE1D0000}"/>
    <cellStyle name="Normal 8 3 9 2 2" xfId="16251" xr:uid="{B8AC3A11-71B5-4025-92E0-96DD58347A0B}"/>
    <cellStyle name="Normal 8 3 9 3" xfId="12034" xr:uid="{F15B1B5B-9200-4091-B3DC-49F7CACE8FFC}"/>
    <cellStyle name="Normal 8 4" xfId="503" xr:uid="{00000000-0005-0000-0000-0000CF1D0000}"/>
    <cellStyle name="Normal 8 4 10" xfId="8834" xr:uid="{78848A4E-06FA-4050-B553-A3A7DEA1B047}"/>
    <cellStyle name="Normal 8 4 10 2" xfId="18157" xr:uid="{0AFEC0D7-A27C-4D26-9292-ABD42AEB416D}"/>
    <cellStyle name="Normal 8 4 11" xfId="9977" xr:uid="{6D8CD1B0-7066-4EB8-8DDC-402BDBEDDBD9}"/>
    <cellStyle name="Normal 8 4 2" xfId="504" xr:uid="{00000000-0005-0000-0000-0000D01D0000}"/>
    <cellStyle name="Normal 8 4 2 10" xfId="9978" xr:uid="{36DBB09B-025A-4592-A713-828B29F22B9E}"/>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74788A3F-468B-4FEF-8FF8-6206454E39BC}"/>
    <cellStyle name="Normal 8 4 2 2 2 2 3" xfId="12537" xr:uid="{09A19A50-3180-4CDC-9611-FB73C030B087}"/>
    <cellStyle name="Normal 8 4 2 2 2 3" xfId="5283" xr:uid="{00000000-0005-0000-0000-0000D51D0000}"/>
    <cellStyle name="Normal 8 4 2 2 2 3 2" xfId="14609" xr:uid="{09545157-969B-490C-B05F-38E6B19CBFDB}"/>
    <cellStyle name="Normal 8 4 2 2 2 4" xfId="9569" xr:uid="{F21122F8-27BB-4D46-891E-281F736F5353}"/>
    <cellStyle name="Normal 8 4 2 2 2 4 2" xfId="18882" xr:uid="{77BCF8BF-CBBE-40E5-B745-CDCB3CA62130}"/>
    <cellStyle name="Normal 8 4 2 2 2 5" xfId="10392" xr:uid="{C05ABAE6-2E8E-4714-8DFE-5311E2D7406C}"/>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978CCDDD-D587-4067-82E6-9B9F98E96FC3}"/>
    <cellStyle name="Normal 8 4 2 2 3 2 3" xfId="12950" xr:uid="{F05034A7-D9F4-4C99-A137-0D8F75A02F73}"/>
    <cellStyle name="Normal 8 4 2 2 3 3" xfId="5696" xr:uid="{00000000-0005-0000-0000-0000D91D0000}"/>
    <cellStyle name="Normal 8 4 2 2 3 3 2" xfId="15022" xr:uid="{D31944B8-ABEA-439E-A88D-17128EB893AD}"/>
    <cellStyle name="Normal 8 4 2 2 3 4" xfId="10805" xr:uid="{34ADD52B-A7F1-4AFE-9DE5-DCA301556C4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5DA1B8A1-5737-4F38-B2FD-A35DAA4513A8}"/>
    <cellStyle name="Normal 8 4 2 2 4 2 3" xfId="13363" xr:uid="{37B14309-F706-416C-B4FF-860AFF1E6588}"/>
    <cellStyle name="Normal 8 4 2 2 4 3" xfId="6109" xr:uid="{00000000-0005-0000-0000-0000DD1D0000}"/>
    <cellStyle name="Normal 8 4 2 2 4 3 2" xfId="15435" xr:uid="{05121E14-D982-4246-9403-2C7BA638E0D2}"/>
    <cellStyle name="Normal 8 4 2 2 4 4" xfId="11218" xr:uid="{9E79357A-B0E4-477B-968C-D89813DE8C69}"/>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5A273CCA-068C-48CE-98A9-939F6B5DD9D9}"/>
    <cellStyle name="Normal 8 4 2 2 5 2 3" xfId="13776" xr:uid="{0322A42B-7335-49B1-8D72-5CF8362B0020}"/>
    <cellStyle name="Normal 8 4 2 2 5 3" xfId="6522" xr:uid="{00000000-0005-0000-0000-0000E11D0000}"/>
    <cellStyle name="Normal 8 4 2 2 5 3 2" xfId="15848" xr:uid="{5F54364C-01D8-419D-8DF2-586007F95343}"/>
    <cellStyle name="Normal 8 4 2 2 5 4" xfId="11631" xr:uid="{6A1DEC2B-DA99-4509-B4AF-44F9210A3C50}"/>
    <cellStyle name="Normal 8 4 2 2 6" xfId="2652" xr:uid="{00000000-0005-0000-0000-0000E21D0000}"/>
    <cellStyle name="Normal 8 4 2 2 6 2" xfId="6935" xr:uid="{00000000-0005-0000-0000-0000E31D0000}"/>
    <cellStyle name="Normal 8 4 2 2 6 2 2" xfId="16261" xr:uid="{F1D34651-102C-4572-93B2-2E801ED29F70}"/>
    <cellStyle name="Normal 8 4 2 2 6 3" xfId="12044" xr:uid="{C88B31DC-9E21-4EA7-8BD2-46890B2456F7}"/>
    <cellStyle name="Normal 8 4 2 2 7" xfId="4870" xr:uid="{00000000-0005-0000-0000-0000E41D0000}"/>
    <cellStyle name="Normal 8 4 2 2 7 2" xfId="14196" xr:uid="{D36457CD-FDD0-4B2F-892B-F33ADE2C8FF2}"/>
    <cellStyle name="Normal 8 4 2 2 8" xfId="9144" xr:uid="{EF6B0978-3DE8-47DC-990C-0B47AAC8F1DC}"/>
    <cellStyle name="Normal 8 4 2 2 8 2" xfId="18467" xr:uid="{A23C68CA-2937-467F-9C02-10637289961A}"/>
    <cellStyle name="Normal 8 4 2 2 9" xfId="9979" xr:uid="{5D21E256-4ECA-4B9B-B67B-C5A65CFA00A0}"/>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AB9FB7C2-C7CC-4B7B-9520-34277CF55135}"/>
    <cellStyle name="Normal 8 4 2 3 2 3" xfId="12536" xr:uid="{78DFFF5A-54C2-4FC7-A6D0-C01334BCC512}"/>
    <cellStyle name="Normal 8 4 2 3 3" xfId="5282" xr:uid="{00000000-0005-0000-0000-0000E81D0000}"/>
    <cellStyle name="Normal 8 4 2 3 3 2" xfId="14608" xr:uid="{6D60C1EF-AE15-420D-A4C2-C51AC30A6A7D}"/>
    <cellStyle name="Normal 8 4 2 3 4" xfId="9362" xr:uid="{206856BB-FDDB-4012-ABFE-5E991E477A14}"/>
    <cellStyle name="Normal 8 4 2 3 4 2" xfId="18675" xr:uid="{8ABD3841-5652-485B-B8E0-1E4A0CDAA656}"/>
    <cellStyle name="Normal 8 4 2 3 5" xfId="10391" xr:uid="{ABE3D31B-FC32-409E-B16E-DB5C12BD76B6}"/>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BA467A70-1A1D-4440-BE90-C85A11D78070}"/>
    <cellStyle name="Normal 8 4 2 4 2 3" xfId="12949" xr:uid="{063AB0A8-FC84-489E-AA6A-1DCF9447BCC2}"/>
    <cellStyle name="Normal 8 4 2 4 3" xfId="5695" xr:uid="{00000000-0005-0000-0000-0000EC1D0000}"/>
    <cellStyle name="Normal 8 4 2 4 3 2" xfId="15021" xr:uid="{BB5F934D-C985-4AB1-B8D0-DF0409FC4D44}"/>
    <cellStyle name="Normal 8 4 2 4 4" xfId="10804" xr:uid="{7FB36628-D973-4FA5-86E8-5F902DC76995}"/>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0D4A77BB-18EC-487D-AD8A-A9843970DE51}"/>
    <cellStyle name="Normal 8 4 2 5 2 3" xfId="13362" xr:uid="{F63C053C-19CC-4236-9D4A-C0AD16012BA7}"/>
    <cellStyle name="Normal 8 4 2 5 3" xfId="6108" xr:uid="{00000000-0005-0000-0000-0000F01D0000}"/>
    <cellStyle name="Normal 8 4 2 5 3 2" xfId="15434" xr:uid="{7C0F686E-CD85-4B7F-A385-85DEC4709B50}"/>
    <cellStyle name="Normal 8 4 2 5 4" xfId="11217" xr:uid="{95F84109-E88B-4374-8A22-6EF961C32EA9}"/>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F5A6C5F1-2517-4343-8D9B-678D9C3FA6E4}"/>
    <cellStyle name="Normal 8 4 2 6 2 3" xfId="13775" xr:uid="{5E40E2EB-89B9-44B7-A1FB-7976B2B397DF}"/>
    <cellStyle name="Normal 8 4 2 6 3" xfId="6521" xr:uid="{00000000-0005-0000-0000-0000F41D0000}"/>
    <cellStyle name="Normal 8 4 2 6 3 2" xfId="15847" xr:uid="{271A7F1D-1F14-4D04-8F99-076CD15F8EBE}"/>
    <cellStyle name="Normal 8 4 2 6 4" xfId="11630" xr:uid="{6EE25D5B-75EA-427A-9C02-46F7BB3AD8F1}"/>
    <cellStyle name="Normal 8 4 2 7" xfId="2651" xr:uid="{00000000-0005-0000-0000-0000F51D0000}"/>
    <cellStyle name="Normal 8 4 2 7 2" xfId="6934" xr:uid="{00000000-0005-0000-0000-0000F61D0000}"/>
    <cellStyle name="Normal 8 4 2 7 2 2" xfId="16260" xr:uid="{DEABCB1B-7728-4E49-8F93-739CB6DC12E9}"/>
    <cellStyle name="Normal 8 4 2 7 3" xfId="12043" xr:uid="{7B89CD33-DA1E-452F-B4DB-C645AD0DE0B7}"/>
    <cellStyle name="Normal 8 4 2 8" xfId="4869" xr:uid="{00000000-0005-0000-0000-0000F71D0000}"/>
    <cellStyle name="Normal 8 4 2 8 2" xfId="14195" xr:uid="{DA993483-4141-49A9-B020-3BD1951C42B9}"/>
    <cellStyle name="Normal 8 4 2 9" xfId="8937" xr:uid="{B425CDA4-C1C1-4A6C-AB85-CE28E324A88F}"/>
    <cellStyle name="Normal 8 4 2 9 2" xfId="18260" xr:uid="{6F25667C-706F-4F06-A76C-EA8CF1775062}"/>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4B941CD6-2BB9-49ED-A014-892E587C9CA8}"/>
    <cellStyle name="Normal 8 4 3 2 2 3" xfId="12538" xr:uid="{B33460D7-D474-4A6F-82B1-EB572767C353}"/>
    <cellStyle name="Normal 8 4 3 2 3" xfId="5284" xr:uid="{00000000-0005-0000-0000-0000FC1D0000}"/>
    <cellStyle name="Normal 8 4 3 2 3 2" xfId="14610" xr:uid="{C87588B0-2F26-408F-8582-42D4D8A03137}"/>
    <cellStyle name="Normal 8 4 3 2 4" xfId="9466" xr:uid="{4C42748F-6D34-4D0D-8AE2-FFD5C0CBE26F}"/>
    <cellStyle name="Normal 8 4 3 2 4 2" xfId="18779" xr:uid="{FF6FF2D3-2AA5-43DB-8071-20BEAD0442BA}"/>
    <cellStyle name="Normal 8 4 3 2 5" xfId="10393" xr:uid="{DA595F1B-35E3-4BCF-8B18-2E8936A8DAAC}"/>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4B60ECA5-F89E-46B3-80F8-D2D7B70CD69B}"/>
    <cellStyle name="Normal 8 4 3 3 2 3" xfId="12951" xr:uid="{F5FF2EA2-83C2-44F8-8FE1-783B7CE587B5}"/>
    <cellStyle name="Normal 8 4 3 3 3" xfId="5697" xr:uid="{00000000-0005-0000-0000-0000001E0000}"/>
    <cellStyle name="Normal 8 4 3 3 3 2" xfId="15023" xr:uid="{81E61F35-829F-464F-9028-1DC97C9A6C0F}"/>
    <cellStyle name="Normal 8 4 3 3 4" xfId="10806" xr:uid="{689C6D3D-F73F-48B9-8594-A66F26592E1D}"/>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1F172F52-9F91-46A9-A723-45642432CD7E}"/>
    <cellStyle name="Normal 8 4 3 4 2 3" xfId="13364" xr:uid="{52CFD2E9-072C-40F8-8070-62579CAB3DC5}"/>
    <cellStyle name="Normal 8 4 3 4 3" xfId="6110" xr:uid="{00000000-0005-0000-0000-0000041E0000}"/>
    <cellStyle name="Normal 8 4 3 4 3 2" xfId="15436" xr:uid="{E92C8D92-B088-4D39-8719-021064C84FED}"/>
    <cellStyle name="Normal 8 4 3 4 4" xfId="11219" xr:uid="{FC11B43E-4494-4E43-99AF-A7483A50B48C}"/>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9082AAAF-F699-4276-A758-AE5FCAAC7566}"/>
    <cellStyle name="Normal 8 4 3 5 2 3" xfId="13777" xr:uid="{08D2CF4D-0557-4855-B973-95E4618355AE}"/>
    <cellStyle name="Normal 8 4 3 5 3" xfId="6523" xr:uid="{00000000-0005-0000-0000-0000081E0000}"/>
    <cellStyle name="Normal 8 4 3 5 3 2" xfId="15849" xr:uid="{130E07CC-C032-4349-8EA5-2D05D532D428}"/>
    <cellStyle name="Normal 8 4 3 5 4" xfId="11632" xr:uid="{40089E0E-0592-496C-A6C7-20963E0B3CA7}"/>
    <cellStyle name="Normal 8 4 3 6" xfId="2653" xr:uid="{00000000-0005-0000-0000-0000091E0000}"/>
    <cellStyle name="Normal 8 4 3 6 2" xfId="6936" xr:uid="{00000000-0005-0000-0000-00000A1E0000}"/>
    <cellStyle name="Normal 8 4 3 6 2 2" xfId="16262" xr:uid="{C508AE97-4A99-414D-9C3B-697C94CCF804}"/>
    <cellStyle name="Normal 8 4 3 6 3" xfId="12045" xr:uid="{C6641A6F-E404-4165-8BC2-F1D4F755DB0E}"/>
    <cellStyle name="Normal 8 4 3 7" xfId="4871" xr:uid="{00000000-0005-0000-0000-00000B1E0000}"/>
    <cellStyle name="Normal 8 4 3 7 2" xfId="14197" xr:uid="{35E3044F-3C62-4FA0-9EFD-0818AEDD0472}"/>
    <cellStyle name="Normal 8 4 3 8" xfId="9041" xr:uid="{3EA15F1E-D38A-4BB8-BEC6-98D9A94BB79B}"/>
    <cellStyle name="Normal 8 4 3 8 2" xfId="18364" xr:uid="{BD95F201-8E6B-4507-927E-7731AE9BB99B}"/>
    <cellStyle name="Normal 8 4 3 9" xfId="9980" xr:uid="{5EECE2C4-5658-4D88-BA7A-17A78A5E177A}"/>
    <cellStyle name="Normal 8 4 4" xfId="970" xr:uid="{00000000-0005-0000-0000-00000C1E0000}"/>
    <cellStyle name="Normal 8 4 4 2" xfId="3204" xr:uid="{00000000-0005-0000-0000-00000D1E0000}"/>
    <cellStyle name="Normal 8 4 4 2 2" xfId="7426" xr:uid="{00000000-0005-0000-0000-00000E1E0000}"/>
    <cellStyle name="Normal 8 4 4 2 2 2" xfId="16752" xr:uid="{0C721588-B949-4990-95C5-153679B06699}"/>
    <cellStyle name="Normal 8 4 4 2 3" xfId="12535" xr:uid="{AD553617-3CEE-4928-9865-B790B8758D21}"/>
    <cellStyle name="Normal 8 4 4 3" xfId="5281" xr:uid="{00000000-0005-0000-0000-00000F1E0000}"/>
    <cellStyle name="Normal 8 4 4 3 2" xfId="14607" xr:uid="{5784CB52-710E-4C0F-9E8A-0EF93C8F7C68}"/>
    <cellStyle name="Normal 8 4 4 4" xfId="9259" xr:uid="{45904BAA-3C39-482B-A2B6-0FB84C0B889C}"/>
    <cellStyle name="Normal 8 4 4 4 2" xfId="18572" xr:uid="{BD3CA1AA-DEEC-43FA-845E-461DE9DD393D}"/>
    <cellStyle name="Normal 8 4 4 5" xfId="10390" xr:uid="{F361B45D-E52F-4BE9-AD55-C179870288AA}"/>
    <cellStyle name="Normal 8 4 5" xfId="1387" xr:uid="{00000000-0005-0000-0000-0000101E0000}"/>
    <cellStyle name="Normal 8 4 5 2" xfId="3617" xr:uid="{00000000-0005-0000-0000-0000111E0000}"/>
    <cellStyle name="Normal 8 4 5 2 2" xfId="7839" xr:uid="{00000000-0005-0000-0000-0000121E0000}"/>
    <cellStyle name="Normal 8 4 5 2 2 2" xfId="17165" xr:uid="{B09EC833-FF61-46DE-A75C-2614EB316C7A}"/>
    <cellStyle name="Normal 8 4 5 2 3" xfId="12948" xr:uid="{8E9DAF22-54F0-4696-BDBB-EB23D28AF41D}"/>
    <cellStyle name="Normal 8 4 5 3" xfId="5694" xr:uid="{00000000-0005-0000-0000-0000131E0000}"/>
    <cellStyle name="Normal 8 4 5 3 2" xfId="15020" xr:uid="{1E54ABF6-844E-428F-BA44-2B4C375879B7}"/>
    <cellStyle name="Normal 8 4 5 4" xfId="10803" xr:uid="{EA4ED2B5-28D6-4ADE-9C6A-F05F4807A479}"/>
    <cellStyle name="Normal 8 4 6" xfId="1800" xr:uid="{00000000-0005-0000-0000-0000141E0000}"/>
    <cellStyle name="Normal 8 4 6 2" xfId="4030" xr:uid="{00000000-0005-0000-0000-0000151E0000}"/>
    <cellStyle name="Normal 8 4 6 2 2" xfId="8252" xr:uid="{00000000-0005-0000-0000-0000161E0000}"/>
    <cellStyle name="Normal 8 4 6 2 2 2" xfId="17578" xr:uid="{C22E2916-7F19-443C-B81A-63AD32C1A242}"/>
    <cellStyle name="Normal 8 4 6 2 3" xfId="13361" xr:uid="{7B4B8243-4D39-4FD4-8FA5-4D6560CC6D37}"/>
    <cellStyle name="Normal 8 4 6 3" xfId="6107" xr:uid="{00000000-0005-0000-0000-0000171E0000}"/>
    <cellStyle name="Normal 8 4 6 3 2" xfId="15433" xr:uid="{47CB55F1-1235-4764-AE08-861B5ACA5695}"/>
    <cellStyle name="Normal 8 4 6 4" xfId="11216" xr:uid="{65DC899A-B7F7-4F9F-90E8-BC784C1EEB85}"/>
    <cellStyle name="Normal 8 4 7" xfId="2214" xr:uid="{00000000-0005-0000-0000-0000181E0000}"/>
    <cellStyle name="Normal 8 4 7 2" xfId="4443" xr:uid="{00000000-0005-0000-0000-0000191E0000}"/>
    <cellStyle name="Normal 8 4 7 2 2" xfId="8665" xr:uid="{00000000-0005-0000-0000-00001A1E0000}"/>
    <cellStyle name="Normal 8 4 7 2 2 2" xfId="17991" xr:uid="{31DA7F58-370A-4E85-9929-4BAD9AEBFD0E}"/>
    <cellStyle name="Normal 8 4 7 2 3" xfId="13774" xr:uid="{17B374E1-3726-4832-940F-54F8823A6A74}"/>
    <cellStyle name="Normal 8 4 7 3" xfId="6520" xr:uid="{00000000-0005-0000-0000-00001B1E0000}"/>
    <cellStyle name="Normal 8 4 7 3 2" xfId="15846" xr:uid="{CE3D552B-D783-4A17-8089-829AB03CC20F}"/>
    <cellStyle name="Normal 8 4 7 4" xfId="11629" xr:uid="{ACBFAEF4-B568-49C9-A62D-A8DE9ECBCF05}"/>
    <cellStyle name="Normal 8 4 8" xfId="2650" xr:uid="{00000000-0005-0000-0000-00001C1E0000}"/>
    <cellStyle name="Normal 8 4 8 2" xfId="6933" xr:uid="{00000000-0005-0000-0000-00001D1E0000}"/>
    <cellStyle name="Normal 8 4 8 2 2" xfId="16259" xr:uid="{1FDEE84F-3CF9-4DBB-90C7-0428A31A5161}"/>
    <cellStyle name="Normal 8 4 8 3" xfId="12042" xr:uid="{08867A8B-0544-4EA0-AB62-ED7C8ECDEBD4}"/>
    <cellStyle name="Normal 8 4 9" xfId="4868" xr:uid="{00000000-0005-0000-0000-00001E1E0000}"/>
    <cellStyle name="Normal 8 4 9 2" xfId="14194" xr:uid="{EF2F9196-9C9E-4798-8FB2-91BF653DC5C3}"/>
    <cellStyle name="Normal 8 5" xfId="507" xr:uid="{00000000-0005-0000-0000-00001F1E0000}"/>
    <cellStyle name="Normal 8 5 10" xfId="9981" xr:uid="{20D10185-D49D-4AFF-A5F7-1E859AE02E1D}"/>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CCD73E36-027F-44B7-B1B5-1B465E2B9CAA}"/>
    <cellStyle name="Normal 8 5 2 2 2 3" xfId="12540" xr:uid="{BCFBA01A-CA7C-45C9-881D-289F1455F4DF}"/>
    <cellStyle name="Normal 8 5 2 2 3" xfId="5286" xr:uid="{00000000-0005-0000-0000-0000241E0000}"/>
    <cellStyle name="Normal 8 5 2 2 3 2" xfId="14612" xr:uid="{5EFB644D-FA47-4668-9036-CEFE4FFFC4E4}"/>
    <cellStyle name="Normal 8 5 2 2 4" xfId="9477" xr:uid="{62ED1F43-6081-4B0B-94C3-5999D37D11C7}"/>
    <cellStyle name="Normal 8 5 2 2 4 2" xfId="18790" xr:uid="{550229D3-D807-4F1C-BFB1-E43FE20EC6DD}"/>
    <cellStyle name="Normal 8 5 2 2 5" xfId="10395" xr:uid="{2F47BF80-0C54-4C3A-BFA5-2AE2C011D89A}"/>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485B2C56-4330-4FFC-9021-1F39B03E0198}"/>
    <cellStyle name="Normal 8 5 2 3 2 3" xfId="12953" xr:uid="{36EB8A72-0A8B-427F-9337-5EE526CAC595}"/>
    <cellStyle name="Normal 8 5 2 3 3" xfId="5699" xr:uid="{00000000-0005-0000-0000-0000281E0000}"/>
    <cellStyle name="Normal 8 5 2 3 3 2" xfId="15025" xr:uid="{0DDF7395-74B0-4CA5-BE00-35C38A84CEEE}"/>
    <cellStyle name="Normal 8 5 2 3 4" xfId="10808" xr:uid="{65814835-DFBA-4E74-B491-0B400E25B277}"/>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9AF5AE5D-6C69-4F4E-A811-9198D028821B}"/>
    <cellStyle name="Normal 8 5 2 4 2 3" xfId="13366" xr:uid="{FF5B102E-C869-4E61-9173-4516792C4A37}"/>
    <cellStyle name="Normal 8 5 2 4 3" xfId="6112" xr:uid="{00000000-0005-0000-0000-00002C1E0000}"/>
    <cellStyle name="Normal 8 5 2 4 3 2" xfId="15438" xr:uid="{879A327E-60DF-4F79-B8F8-FB8F386B94FE}"/>
    <cellStyle name="Normal 8 5 2 4 4" xfId="11221" xr:uid="{B3CD5A4D-4897-493A-976B-8A3901467003}"/>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2569B8F9-6A71-4BB1-9CE1-3BCF7F021300}"/>
    <cellStyle name="Normal 8 5 2 5 2 3" xfId="13779" xr:uid="{2A5D6B75-BD78-490A-901E-EFAF4C9D1CDD}"/>
    <cellStyle name="Normal 8 5 2 5 3" xfId="6525" xr:uid="{00000000-0005-0000-0000-0000301E0000}"/>
    <cellStyle name="Normal 8 5 2 5 3 2" xfId="15851" xr:uid="{5D239322-3CE6-40F4-8665-29C6F0477E86}"/>
    <cellStyle name="Normal 8 5 2 5 4" xfId="11634" xr:uid="{9C79E0F2-D19A-4E8C-B81F-EF6B319F7265}"/>
    <cellStyle name="Normal 8 5 2 6" xfId="2655" xr:uid="{00000000-0005-0000-0000-0000311E0000}"/>
    <cellStyle name="Normal 8 5 2 6 2" xfId="6938" xr:uid="{00000000-0005-0000-0000-0000321E0000}"/>
    <cellStyle name="Normal 8 5 2 6 2 2" xfId="16264" xr:uid="{069F42DF-1978-4A3F-A3FE-0B6D490862CD}"/>
    <cellStyle name="Normal 8 5 2 6 3" xfId="12047" xr:uid="{EA84A495-27AF-4E95-9108-2FEA3FEC1668}"/>
    <cellStyle name="Normal 8 5 2 7" xfId="4873" xr:uid="{00000000-0005-0000-0000-0000331E0000}"/>
    <cellStyle name="Normal 8 5 2 7 2" xfId="14199" xr:uid="{E1706F68-75B8-4BEB-9CF3-26E97E54D781}"/>
    <cellStyle name="Normal 8 5 2 8" xfId="9052" xr:uid="{D754D15A-EECE-4975-9542-AF3C340304E3}"/>
    <cellStyle name="Normal 8 5 2 8 2" xfId="18375" xr:uid="{DF03A951-AA21-4856-AC80-23F535CAE687}"/>
    <cellStyle name="Normal 8 5 2 9" xfId="9982" xr:uid="{12DEA78A-9E50-47DC-BAC3-2205FB9E721F}"/>
    <cellStyle name="Normal 8 5 3" xfId="974" xr:uid="{00000000-0005-0000-0000-0000341E0000}"/>
    <cellStyle name="Normal 8 5 3 2" xfId="3208" xr:uid="{00000000-0005-0000-0000-0000351E0000}"/>
    <cellStyle name="Normal 8 5 3 2 2" xfId="7430" xr:uid="{00000000-0005-0000-0000-0000361E0000}"/>
    <cellStyle name="Normal 8 5 3 2 2 2" xfId="16756" xr:uid="{82E4AEDD-C105-4085-AD2A-2761312638DC}"/>
    <cellStyle name="Normal 8 5 3 2 3" xfId="12539" xr:uid="{EE9BB00B-A808-4464-9355-3812D1D4E087}"/>
    <cellStyle name="Normal 8 5 3 3" xfId="5285" xr:uid="{00000000-0005-0000-0000-0000371E0000}"/>
    <cellStyle name="Normal 8 5 3 3 2" xfId="14611" xr:uid="{F533C38F-7C54-4AA2-B660-299D8AEBEB7A}"/>
    <cellStyle name="Normal 8 5 3 4" xfId="9270" xr:uid="{88F9D262-71F2-4DD2-A7F6-B0DCE74ABD45}"/>
    <cellStyle name="Normal 8 5 3 4 2" xfId="18583" xr:uid="{C75E454B-2435-4F12-A195-C79A3EDEFE7F}"/>
    <cellStyle name="Normal 8 5 3 5" xfId="10394" xr:uid="{9CF73587-C831-4AB9-A7E1-010A4EF615EC}"/>
    <cellStyle name="Normal 8 5 4" xfId="1391" xr:uid="{00000000-0005-0000-0000-0000381E0000}"/>
    <cellStyle name="Normal 8 5 4 2" xfId="3621" xr:uid="{00000000-0005-0000-0000-0000391E0000}"/>
    <cellStyle name="Normal 8 5 4 2 2" xfId="7843" xr:uid="{00000000-0005-0000-0000-00003A1E0000}"/>
    <cellStyle name="Normal 8 5 4 2 2 2" xfId="17169" xr:uid="{4590A677-4A40-4FA8-BEF6-E8A2F1C6F2A5}"/>
    <cellStyle name="Normal 8 5 4 2 3" xfId="12952" xr:uid="{6FD4CC35-3518-48C1-A2CA-4E709C1B8A92}"/>
    <cellStyle name="Normal 8 5 4 3" xfId="5698" xr:uid="{00000000-0005-0000-0000-00003B1E0000}"/>
    <cellStyle name="Normal 8 5 4 3 2" xfId="15024" xr:uid="{C741C1CB-A2BE-4FAA-A5F4-6C6D83A114C5}"/>
    <cellStyle name="Normal 8 5 4 4" xfId="10807" xr:uid="{31A2E33C-DD66-4223-B258-18B8F2AB07F3}"/>
    <cellStyle name="Normal 8 5 5" xfId="1804" xr:uid="{00000000-0005-0000-0000-00003C1E0000}"/>
    <cellStyle name="Normal 8 5 5 2" xfId="4034" xr:uid="{00000000-0005-0000-0000-00003D1E0000}"/>
    <cellStyle name="Normal 8 5 5 2 2" xfId="8256" xr:uid="{00000000-0005-0000-0000-00003E1E0000}"/>
    <cellStyle name="Normal 8 5 5 2 2 2" xfId="17582" xr:uid="{7FBBC908-8BE0-4443-99BA-1E4F6004D162}"/>
    <cellStyle name="Normal 8 5 5 2 3" xfId="13365" xr:uid="{CAAC28D3-DC6A-4DCE-BB9B-63D802B94188}"/>
    <cellStyle name="Normal 8 5 5 3" xfId="6111" xr:uid="{00000000-0005-0000-0000-00003F1E0000}"/>
    <cellStyle name="Normal 8 5 5 3 2" xfId="15437" xr:uid="{1A6ECF52-67FD-401E-8851-8E0573ED8C6F}"/>
    <cellStyle name="Normal 8 5 5 4" xfId="11220" xr:uid="{AB61DF95-456C-4A38-A031-ADDA41DD27F0}"/>
    <cellStyle name="Normal 8 5 6" xfId="2218" xr:uid="{00000000-0005-0000-0000-0000401E0000}"/>
    <cellStyle name="Normal 8 5 6 2" xfId="4447" xr:uid="{00000000-0005-0000-0000-0000411E0000}"/>
    <cellStyle name="Normal 8 5 6 2 2" xfId="8669" xr:uid="{00000000-0005-0000-0000-0000421E0000}"/>
    <cellStyle name="Normal 8 5 6 2 2 2" xfId="17995" xr:uid="{E82239C2-D19E-4D12-BB5D-89DD1DF292C9}"/>
    <cellStyle name="Normal 8 5 6 2 3" xfId="13778" xr:uid="{F9620CAB-37E8-4C1A-AC6F-A2580ADAAEB5}"/>
    <cellStyle name="Normal 8 5 6 3" xfId="6524" xr:uid="{00000000-0005-0000-0000-0000431E0000}"/>
    <cellStyle name="Normal 8 5 6 3 2" xfId="15850" xr:uid="{81477F8C-6D62-4E6F-8667-A346EEE03905}"/>
    <cellStyle name="Normal 8 5 6 4" xfId="11633" xr:uid="{916BC6ED-9AC1-4FD2-B108-56A2AB6BC6B2}"/>
    <cellStyle name="Normal 8 5 7" xfId="2654" xr:uid="{00000000-0005-0000-0000-0000441E0000}"/>
    <cellStyle name="Normal 8 5 7 2" xfId="6937" xr:uid="{00000000-0005-0000-0000-0000451E0000}"/>
    <cellStyle name="Normal 8 5 7 2 2" xfId="16263" xr:uid="{131B5B35-E331-43AB-A0FA-91AB9242AFDC}"/>
    <cellStyle name="Normal 8 5 7 3" xfId="12046" xr:uid="{6C98C3FD-1F07-4807-9D1A-5C25A954A622}"/>
    <cellStyle name="Normal 8 5 8" xfId="4872" xr:uid="{00000000-0005-0000-0000-0000461E0000}"/>
    <cellStyle name="Normal 8 5 8 2" xfId="14198" xr:uid="{7E762B7D-72E6-4231-95B6-29CB7B2A90A0}"/>
    <cellStyle name="Normal 8 5 9" xfId="8845" xr:uid="{C8167C67-59BC-42DE-816D-718433EFB28C}"/>
    <cellStyle name="Normal 8 5 9 2" xfId="18168" xr:uid="{720454CF-C4F0-4E25-A2D8-EA1357CC58B4}"/>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F3E9635F-58FA-4E8F-9656-41FDBCA4C40D}"/>
    <cellStyle name="Normal 8 6 2 2 3" xfId="12541" xr:uid="{73988D2D-1259-40B0-9605-FC7F147D3B4D}"/>
    <cellStyle name="Normal 8 6 2 3" xfId="5287" xr:uid="{00000000-0005-0000-0000-00004B1E0000}"/>
    <cellStyle name="Normal 8 6 2 3 2" xfId="14613" xr:uid="{D560982F-D121-46A6-8C0C-5F66EE96878F}"/>
    <cellStyle name="Normal 8 6 2 4" xfId="9386" xr:uid="{45A5CE0D-B006-45BB-A53E-22B23F4367E3}"/>
    <cellStyle name="Normal 8 6 2 4 2" xfId="18699" xr:uid="{C06757CC-9286-4841-8E14-185869B16B3A}"/>
    <cellStyle name="Normal 8 6 2 5" xfId="10396" xr:uid="{0C9D80DF-0C44-435F-864E-3D5459EE0234}"/>
    <cellStyle name="Normal 8 6 3" xfId="1393" xr:uid="{00000000-0005-0000-0000-00004C1E0000}"/>
    <cellStyle name="Normal 8 6 3 2" xfId="3623" xr:uid="{00000000-0005-0000-0000-00004D1E0000}"/>
    <cellStyle name="Normal 8 6 3 2 2" xfId="7845" xr:uid="{00000000-0005-0000-0000-00004E1E0000}"/>
    <cellStyle name="Normal 8 6 3 2 2 2" xfId="17171" xr:uid="{8507F4C6-7068-4C52-A4E1-8E04B470BCB8}"/>
    <cellStyle name="Normal 8 6 3 2 3" xfId="12954" xr:uid="{4723869B-6B39-411E-A291-375846C2716D}"/>
    <cellStyle name="Normal 8 6 3 3" xfId="5700" xr:uid="{00000000-0005-0000-0000-00004F1E0000}"/>
    <cellStyle name="Normal 8 6 3 3 2" xfId="15026" xr:uid="{472BF99E-2D7B-4806-9976-CD8B27664D2D}"/>
    <cellStyle name="Normal 8 6 3 4" xfId="10809" xr:uid="{F06ED372-0014-4B9B-967A-131287038CF3}"/>
    <cellStyle name="Normal 8 6 4" xfId="1806" xr:uid="{00000000-0005-0000-0000-0000501E0000}"/>
    <cellStyle name="Normal 8 6 4 2" xfId="4036" xr:uid="{00000000-0005-0000-0000-0000511E0000}"/>
    <cellStyle name="Normal 8 6 4 2 2" xfId="8258" xr:uid="{00000000-0005-0000-0000-0000521E0000}"/>
    <cellStyle name="Normal 8 6 4 2 2 2" xfId="17584" xr:uid="{42CFA36A-6B60-4EB3-A0CE-D9CAE413AB88}"/>
    <cellStyle name="Normal 8 6 4 2 3" xfId="13367" xr:uid="{AF0087A0-DE17-4FDD-8D4A-6C21D91ABFAC}"/>
    <cellStyle name="Normal 8 6 4 3" xfId="6113" xr:uid="{00000000-0005-0000-0000-0000531E0000}"/>
    <cellStyle name="Normal 8 6 4 3 2" xfId="15439" xr:uid="{0923FCA1-F356-45E0-9A9E-A5072C713DCF}"/>
    <cellStyle name="Normal 8 6 4 4" xfId="11222" xr:uid="{C3405EBF-90A8-42A8-B21F-ACEDC81C1D4D}"/>
    <cellStyle name="Normal 8 6 5" xfId="2220" xr:uid="{00000000-0005-0000-0000-0000541E0000}"/>
    <cellStyle name="Normal 8 6 5 2" xfId="4449" xr:uid="{00000000-0005-0000-0000-0000551E0000}"/>
    <cellStyle name="Normal 8 6 5 2 2" xfId="8671" xr:uid="{00000000-0005-0000-0000-0000561E0000}"/>
    <cellStyle name="Normal 8 6 5 2 2 2" xfId="17997" xr:uid="{503CDEC6-8A53-413A-AC58-F130A0BD3B02}"/>
    <cellStyle name="Normal 8 6 5 2 3" xfId="13780" xr:uid="{4A38DACD-C321-44FA-99DB-26C354D204A4}"/>
    <cellStyle name="Normal 8 6 5 3" xfId="6526" xr:uid="{00000000-0005-0000-0000-0000571E0000}"/>
    <cellStyle name="Normal 8 6 5 3 2" xfId="15852" xr:uid="{72937083-BC79-4053-8A6B-CF7CD252BF9F}"/>
    <cellStyle name="Normal 8 6 5 4" xfId="11635" xr:uid="{3F89BCBC-2809-48DC-A46D-E444E991D4BE}"/>
    <cellStyle name="Normal 8 6 6" xfId="2656" xr:uid="{00000000-0005-0000-0000-0000581E0000}"/>
    <cellStyle name="Normal 8 6 6 2" xfId="6939" xr:uid="{00000000-0005-0000-0000-0000591E0000}"/>
    <cellStyle name="Normal 8 6 6 2 2" xfId="16265" xr:uid="{E4C164B5-DD85-4925-9A6B-27EB7FB416F8}"/>
    <cellStyle name="Normal 8 6 6 3" xfId="12048" xr:uid="{75033BC5-3020-4DB9-8E99-DAE9693F9B42}"/>
    <cellStyle name="Normal 8 6 7" xfId="4874" xr:uid="{00000000-0005-0000-0000-00005A1E0000}"/>
    <cellStyle name="Normal 8 6 7 2" xfId="14200" xr:uid="{32718DDC-F60D-438E-B8EC-F30E0BBF8130}"/>
    <cellStyle name="Normal 8 6 8" xfId="8961" xr:uid="{36060843-7B38-46C3-B2F1-7172ECB11EEE}"/>
    <cellStyle name="Normal 8 6 8 2" xfId="18284" xr:uid="{18C3C99F-3ACD-42BE-9813-9EB8EF0BCD15}"/>
    <cellStyle name="Normal 8 6 9" xfId="9983" xr:uid="{D052A04E-4147-4F44-A2D8-9F89CC8F5769}"/>
    <cellStyle name="Normal 8 7" xfId="945" xr:uid="{00000000-0005-0000-0000-00005B1E0000}"/>
    <cellStyle name="Normal 8 7 2" xfId="3179" xr:uid="{00000000-0005-0000-0000-00005C1E0000}"/>
    <cellStyle name="Normal 8 7 2 2" xfId="7401" xr:uid="{00000000-0005-0000-0000-00005D1E0000}"/>
    <cellStyle name="Normal 8 7 2 2 2" xfId="16727" xr:uid="{15086394-7D65-43EC-910C-EAAD94DD0DB4}"/>
    <cellStyle name="Normal 8 7 2 3" xfId="12510" xr:uid="{992847B0-E073-4B29-9929-E3D4C871830E}"/>
    <cellStyle name="Normal 8 7 3" xfId="5256" xr:uid="{00000000-0005-0000-0000-00005E1E0000}"/>
    <cellStyle name="Normal 8 7 3 2" xfId="14582" xr:uid="{40300B6C-827B-40C2-990B-BD80677A34AC}"/>
    <cellStyle name="Normal 8 7 4" xfId="9164" xr:uid="{EA2ADDDA-E9AC-4FF8-B08B-61B1D6489A46}"/>
    <cellStyle name="Normal 8 7 4 2" xfId="18480" xr:uid="{A563622A-9137-495F-A131-D0C228E0C282}"/>
    <cellStyle name="Normal 8 7 5" xfId="10365" xr:uid="{64A0C2DC-F39F-47A8-854D-BA5DC3DCCE73}"/>
    <cellStyle name="Normal 8 8" xfId="1362" xr:uid="{00000000-0005-0000-0000-00005F1E0000}"/>
    <cellStyle name="Normal 8 8 2" xfId="3592" xr:uid="{00000000-0005-0000-0000-0000601E0000}"/>
    <cellStyle name="Normal 8 8 2 2" xfId="7814" xr:uid="{00000000-0005-0000-0000-0000611E0000}"/>
    <cellStyle name="Normal 8 8 2 2 2" xfId="17140" xr:uid="{11796EC2-1890-4ABA-9FA3-D7F89D0BC910}"/>
    <cellStyle name="Normal 8 8 2 3" xfId="12923" xr:uid="{1B914A76-A751-41F7-BCE6-FE573889B134}"/>
    <cellStyle name="Normal 8 8 3" xfId="5669" xr:uid="{00000000-0005-0000-0000-0000621E0000}"/>
    <cellStyle name="Normal 8 8 3 2" xfId="14995" xr:uid="{6FAE4B92-2B04-430A-B7C9-B6B29D2A4D96}"/>
    <cellStyle name="Normal 8 8 4" xfId="10778" xr:uid="{AE582163-BFD3-4198-BFBD-DCE401DEDCA5}"/>
    <cellStyle name="Normal 8 9" xfId="1775" xr:uid="{00000000-0005-0000-0000-0000631E0000}"/>
    <cellStyle name="Normal 8 9 2" xfId="4005" xr:uid="{00000000-0005-0000-0000-0000641E0000}"/>
    <cellStyle name="Normal 8 9 2 2" xfId="8227" xr:uid="{00000000-0005-0000-0000-0000651E0000}"/>
    <cellStyle name="Normal 8 9 2 2 2" xfId="17553" xr:uid="{487E8B6C-91B7-4A5F-9DEE-1AC72CFD599E}"/>
    <cellStyle name="Normal 8 9 2 3" xfId="13336" xr:uid="{BCF30FEF-95C2-47B4-80B8-A9A2AC57FF4A}"/>
    <cellStyle name="Normal 8 9 3" xfId="6082" xr:uid="{00000000-0005-0000-0000-0000661E0000}"/>
    <cellStyle name="Normal 8 9 3 2" xfId="15408" xr:uid="{7F31D78F-9D71-4C78-992E-727ADD1ABF32}"/>
    <cellStyle name="Normal 8 9 4" xfId="11191" xr:uid="{3EB28FB4-391B-4596-ACA5-7BCF206703F4}"/>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55425707-CEAF-47F1-9FF8-182FE0AB6867}"/>
    <cellStyle name="Normal 9 2 10 3" xfId="12049" xr:uid="{7824C895-4049-4285-BDDA-7D1FCBB9B203}"/>
    <cellStyle name="Normal 9 2 11" xfId="4875" xr:uid="{00000000-0005-0000-0000-00006B1E0000}"/>
    <cellStyle name="Normal 9 2 11 2" xfId="14201" xr:uid="{2A2CF76C-AE64-4EC0-B7AD-97488DEC1065}"/>
    <cellStyle name="Normal 9 2 12" xfId="8754" xr:uid="{9024D06A-4C5F-4C89-BCDB-29B8C924FF52}"/>
    <cellStyle name="Normal 9 2 12 2" xfId="18077" xr:uid="{EA8D0349-DB02-4712-93BD-99E277E54A79}"/>
    <cellStyle name="Normal 9 2 13" xfId="9984" xr:uid="{32BFBE19-C46E-4304-87EE-6303C4C961C8}"/>
    <cellStyle name="Normal 9 2 2" xfId="512" xr:uid="{00000000-0005-0000-0000-00006C1E0000}"/>
    <cellStyle name="Normal 9 2 2 10" xfId="4876" xr:uid="{00000000-0005-0000-0000-00006D1E0000}"/>
    <cellStyle name="Normal 9 2 2 10 2" xfId="14202" xr:uid="{B8374B3C-A4C6-4BB4-916C-47C7292FBB1A}"/>
    <cellStyle name="Normal 9 2 2 11" xfId="8785" xr:uid="{3048542E-ED39-45ED-9C91-0140D2CF60D9}"/>
    <cellStyle name="Normal 9 2 2 11 2" xfId="18108" xr:uid="{073662AA-1C4E-41F3-80E3-1FF6C86D5D53}"/>
    <cellStyle name="Normal 9 2 2 12" xfId="9985" xr:uid="{06849206-79A4-4FFD-B72E-25F7D1EC8DDD}"/>
    <cellStyle name="Normal 9 2 2 2" xfId="513" xr:uid="{00000000-0005-0000-0000-00006E1E0000}"/>
    <cellStyle name="Normal 9 2 2 2 10" xfId="8839" xr:uid="{3B2DC7F4-4F49-4AE2-9279-EFD4857A149B}"/>
    <cellStyle name="Normal 9 2 2 2 10 2" xfId="18162" xr:uid="{84FE0A19-F11B-4D61-895D-E9B091D7B751}"/>
    <cellStyle name="Normal 9 2 2 2 11" xfId="9986" xr:uid="{C3B08855-6CDD-44FD-AAB6-92E70927528B}"/>
    <cellStyle name="Normal 9 2 2 2 2" xfId="514" xr:uid="{00000000-0005-0000-0000-00006F1E0000}"/>
    <cellStyle name="Normal 9 2 2 2 2 10" xfId="9987" xr:uid="{7EC44A20-88DC-40ED-9FA4-380FF75859FE}"/>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D7D55395-2D87-42C8-B625-72D41B022D1D}"/>
    <cellStyle name="Normal 9 2 2 2 2 2 2 2 3" xfId="12546" xr:uid="{F472C71D-BB9A-4915-9979-2A590BBD8F36}"/>
    <cellStyle name="Normal 9 2 2 2 2 2 2 3" xfId="5292" xr:uid="{00000000-0005-0000-0000-0000741E0000}"/>
    <cellStyle name="Normal 9 2 2 2 2 2 2 3 2" xfId="14618" xr:uid="{9208E417-BF86-4BB7-8F40-1C9B2DBBFADE}"/>
    <cellStyle name="Normal 9 2 2 2 2 2 2 4" xfId="9574" xr:uid="{00EB170D-8A20-4280-B781-E452C3590555}"/>
    <cellStyle name="Normal 9 2 2 2 2 2 2 4 2" xfId="18887" xr:uid="{A02874CE-C906-4A50-A214-8434B2FD5346}"/>
    <cellStyle name="Normal 9 2 2 2 2 2 2 5" xfId="10401" xr:uid="{F8FA17FC-24B3-4696-A8C7-CD005881981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560300E5-CB72-488D-8BA5-CAF4E54E154E}"/>
    <cellStyle name="Normal 9 2 2 2 2 2 3 2 3" xfId="12959" xr:uid="{002EE2A5-0293-4C1F-8E38-9B52327E5FB5}"/>
    <cellStyle name="Normal 9 2 2 2 2 2 3 3" xfId="5705" xr:uid="{00000000-0005-0000-0000-0000781E0000}"/>
    <cellStyle name="Normal 9 2 2 2 2 2 3 3 2" xfId="15031" xr:uid="{D9B2D8B4-F8DF-4E55-9CFF-4768411D37D9}"/>
    <cellStyle name="Normal 9 2 2 2 2 2 3 4" xfId="10814" xr:uid="{005D534F-022E-49CE-9633-8E32F6281187}"/>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B61FA860-69DD-453F-B47B-419431F6DCE3}"/>
    <cellStyle name="Normal 9 2 2 2 2 2 4 2 3" xfId="13372" xr:uid="{C5886EFC-5153-4360-801B-2B0B0C9B36CC}"/>
    <cellStyle name="Normal 9 2 2 2 2 2 4 3" xfId="6118" xr:uid="{00000000-0005-0000-0000-00007C1E0000}"/>
    <cellStyle name="Normal 9 2 2 2 2 2 4 3 2" xfId="15444" xr:uid="{56C1F6A6-2FDF-40D6-AFD8-6A15FDB3B0E7}"/>
    <cellStyle name="Normal 9 2 2 2 2 2 4 4" xfId="11227" xr:uid="{91A28D17-0067-4CBC-9FDB-A0563C8E1B0B}"/>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D1D86E96-6B47-4990-B3D3-44CCB4CD6E09}"/>
    <cellStyle name="Normal 9 2 2 2 2 2 5 2 3" xfId="13785" xr:uid="{2A38E817-619C-46DA-9893-BC65550C2FC0}"/>
    <cellStyle name="Normal 9 2 2 2 2 2 5 3" xfId="6531" xr:uid="{00000000-0005-0000-0000-0000801E0000}"/>
    <cellStyle name="Normal 9 2 2 2 2 2 5 3 2" xfId="15857" xr:uid="{284F0F19-7E48-46E7-B959-6A23833B4779}"/>
    <cellStyle name="Normal 9 2 2 2 2 2 5 4" xfId="11640" xr:uid="{801A600E-14B8-4C1A-AFA0-0227AC2F6C14}"/>
    <cellStyle name="Normal 9 2 2 2 2 2 6" xfId="2661" xr:uid="{00000000-0005-0000-0000-0000811E0000}"/>
    <cellStyle name="Normal 9 2 2 2 2 2 6 2" xfId="6944" xr:uid="{00000000-0005-0000-0000-0000821E0000}"/>
    <cellStyle name="Normal 9 2 2 2 2 2 6 2 2" xfId="16270" xr:uid="{11F43054-3770-4650-B515-783D5C134EBE}"/>
    <cellStyle name="Normal 9 2 2 2 2 2 6 3" xfId="12053" xr:uid="{7D0074A0-A524-4C03-AD8A-69941D3EED91}"/>
    <cellStyle name="Normal 9 2 2 2 2 2 7" xfId="4879" xr:uid="{00000000-0005-0000-0000-0000831E0000}"/>
    <cellStyle name="Normal 9 2 2 2 2 2 7 2" xfId="14205" xr:uid="{B1EB60BE-95EA-4FF2-B106-423BAC7EA343}"/>
    <cellStyle name="Normal 9 2 2 2 2 2 8" xfId="9149" xr:uid="{6C0BEC1E-EE3B-4956-830C-8775C93DB46A}"/>
    <cellStyle name="Normal 9 2 2 2 2 2 8 2" xfId="18472" xr:uid="{D539AE6B-20A4-428D-B99C-D30C57EB5778}"/>
    <cellStyle name="Normal 9 2 2 2 2 2 9" xfId="9988" xr:uid="{D1CF19DF-358F-4E59-8F27-C735B7B27FD6}"/>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14776FEE-6830-4BF0-A324-C29E20229DE0}"/>
    <cellStyle name="Normal 9 2 2 2 2 3 2 3" xfId="12545" xr:uid="{6703594D-1C04-437E-8EF9-992A27A914F6}"/>
    <cellStyle name="Normal 9 2 2 2 2 3 3" xfId="5291" xr:uid="{00000000-0005-0000-0000-0000871E0000}"/>
    <cellStyle name="Normal 9 2 2 2 2 3 3 2" xfId="14617" xr:uid="{B377B707-B0D2-4196-9462-954DED22ECD7}"/>
    <cellStyle name="Normal 9 2 2 2 2 3 4" xfId="9367" xr:uid="{4A654E22-020A-4B0F-8753-639C44EA908A}"/>
    <cellStyle name="Normal 9 2 2 2 2 3 4 2" xfId="18680" xr:uid="{31385D9C-C8CE-4D3B-8D58-C9EDFE6557D3}"/>
    <cellStyle name="Normal 9 2 2 2 2 3 5" xfId="10400" xr:uid="{DFB627E0-BF2E-4941-B92B-DCCC0E4DA0B2}"/>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13353C13-CF55-4B28-8E05-9A455ED8B9B3}"/>
    <cellStyle name="Normal 9 2 2 2 2 4 2 3" xfId="12958" xr:uid="{75E5BB6B-0F8D-4461-A0A3-903C7774031C}"/>
    <cellStyle name="Normal 9 2 2 2 2 4 3" xfId="5704" xr:uid="{00000000-0005-0000-0000-00008B1E0000}"/>
    <cellStyle name="Normal 9 2 2 2 2 4 3 2" xfId="15030" xr:uid="{A36C3AD9-DFF8-4694-A8C6-37FE7970469C}"/>
    <cellStyle name="Normal 9 2 2 2 2 4 4" xfId="10813" xr:uid="{A434BFDF-6ABD-4B73-80FD-2FFB308ACB95}"/>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38E1ABD0-7E5F-4289-8599-0B295ACF623C}"/>
    <cellStyle name="Normal 9 2 2 2 2 5 2 3" xfId="13371" xr:uid="{69B9865A-3500-4D7D-A737-E53EB8B8E9F0}"/>
    <cellStyle name="Normal 9 2 2 2 2 5 3" xfId="6117" xr:uid="{00000000-0005-0000-0000-00008F1E0000}"/>
    <cellStyle name="Normal 9 2 2 2 2 5 3 2" xfId="15443" xr:uid="{54930F3F-34BD-4FC8-86E2-61A9DA5EAD69}"/>
    <cellStyle name="Normal 9 2 2 2 2 5 4" xfId="11226" xr:uid="{72E546E3-671B-4C14-8E6A-77D54A0C6041}"/>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7E93E5CF-5DB2-45BC-97B3-61A72ECDA6E0}"/>
    <cellStyle name="Normal 9 2 2 2 2 6 2 3" xfId="13784" xr:uid="{F3774DDD-C3F6-45E5-8132-EC6E96747889}"/>
    <cellStyle name="Normal 9 2 2 2 2 6 3" xfId="6530" xr:uid="{00000000-0005-0000-0000-0000931E0000}"/>
    <cellStyle name="Normal 9 2 2 2 2 6 3 2" xfId="15856" xr:uid="{2B99FC17-3F50-4381-9ADB-BA4FC99E182B}"/>
    <cellStyle name="Normal 9 2 2 2 2 6 4" xfId="11639" xr:uid="{500C01E4-663C-48CF-AA4E-CFCB1C98C5FF}"/>
    <cellStyle name="Normal 9 2 2 2 2 7" xfId="2660" xr:uid="{00000000-0005-0000-0000-0000941E0000}"/>
    <cellStyle name="Normal 9 2 2 2 2 7 2" xfId="6943" xr:uid="{00000000-0005-0000-0000-0000951E0000}"/>
    <cellStyle name="Normal 9 2 2 2 2 7 2 2" xfId="16269" xr:uid="{07623E53-0E0F-4947-ABD4-09A6BCAC5DAA}"/>
    <cellStyle name="Normal 9 2 2 2 2 7 3" xfId="12052" xr:uid="{99FFA10B-A551-4B98-9726-4996186DBB33}"/>
    <cellStyle name="Normal 9 2 2 2 2 8" xfId="4878" xr:uid="{00000000-0005-0000-0000-0000961E0000}"/>
    <cellStyle name="Normal 9 2 2 2 2 8 2" xfId="14204" xr:uid="{02FBAC43-D897-4A38-AAC0-DBE1F5490BA5}"/>
    <cellStyle name="Normal 9 2 2 2 2 9" xfId="8942" xr:uid="{0DE8A022-819C-4D6A-B102-31C1C7F429A5}"/>
    <cellStyle name="Normal 9 2 2 2 2 9 2" xfId="18265" xr:uid="{6F3E2066-00CD-4417-9403-0B0030CA06EF}"/>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75B7D5D7-B22D-4BFE-9333-5BB676C6EC86}"/>
    <cellStyle name="Normal 9 2 2 2 3 2 2 3" xfId="12547" xr:uid="{AF84D1E8-F418-4AA4-B340-0DBDE1AEEC57}"/>
    <cellStyle name="Normal 9 2 2 2 3 2 3" xfId="5293" xr:uid="{00000000-0005-0000-0000-00009B1E0000}"/>
    <cellStyle name="Normal 9 2 2 2 3 2 3 2" xfId="14619" xr:uid="{F889810D-69C0-4014-8B1A-2836F7A218A5}"/>
    <cellStyle name="Normal 9 2 2 2 3 2 4" xfId="9471" xr:uid="{E472D827-532E-42C0-B781-9E63FEBCFCF5}"/>
    <cellStyle name="Normal 9 2 2 2 3 2 4 2" xfId="18784" xr:uid="{B082293F-C305-4DB8-B491-F4C0BB3E1CC6}"/>
    <cellStyle name="Normal 9 2 2 2 3 2 5" xfId="10402" xr:uid="{190158BB-0817-41F3-80BF-F1CE5D03437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FD37A8CA-A26F-4419-9AB9-62822C0D7BF4}"/>
    <cellStyle name="Normal 9 2 2 2 3 3 2 3" xfId="12960" xr:uid="{C3164608-9E81-4ED0-B45B-0974A64B80A6}"/>
    <cellStyle name="Normal 9 2 2 2 3 3 3" xfId="5706" xr:uid="{00000000-0005-0000-0000-00009F1E0000}"/>
    <cellStyle name="Normal 9 2 2 2 3 3 3 2" xfId="15032" xr:uid="{8A473776-1F29-41FC-BB60-91DA3A6CB6B3}"/>
    <cellStyle name="Normal 9 2 2 2 3 3 4" xfId="10815" xr:uid="{7D72B8E6-F1B3-4E30-B9BA-55B9287F27D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BE49079F-FB6D-40D7-8765-7222BA01E90C}"/>
    <cellStyle name="Normal 9 2 2 2 3 4 2 3" xfId="13373" xr:uid="{B5CE6EEF-FA3C-45F2-9F2A-45AE1D026FAB}"/>
    <cellStyle name="Normal 9 2 2 2 3 4 3" xfId="6119" xr:uid="{00000000-0005-0000-0000-0000A31E0000}"/>
    <cellStyle name="Normal 9 2 2 2 3 4 3 2" xfId="15445" xr:uid="{7EE7568F-5EED-45D0-9D25-AF39760E95C8}"/>
    <cellStyle name="Normal 9 2 2 2 3 4 4" xfId="11228" xr:uid="{799739C8-ED29-4B7A-9242-EBB36DCD1316}"/>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2B7A1CF7-273F-4BFA-8FA7-D98706D91626}"/>
    <cellStyle name="Normal 9 2 2 2 3 5 2 3" xfId="13786" xr:uid="{632AA6EB-005D-4566-8DF2-5B02423D8427}"/>
    <cellStyle name="Normal 9 2 2 2 3 5 3" xfId="6532" xr:uid="{00000000-0005-0000-0000-0000A71E0000}"/>
    <cellStyle name="Normal 9 2 2 2 3 5 3 2" xfId="15858" xr:uid="{84314C57-9116-420F-BAF6-9B454F55FC79}"/>
    <cellStyle name="Normal 9 2 2 2 3 5 4" xfId="11641" xr:uid="{F99CCC84-2C29-4FB9-BD42-B953C4348D6A}"/>
    <cellStyle name="Normal 9 2 2 2 3 6" xfId="2662" xr:uid="{00000000-0005-0000-0000-0000A81E0000}"/>
    <cellStyle name="Normal 9 2 2 2 3 6 2" xfId="6945" xr:uid="{00000000-0005-0000-0000-0000A91E0000}"/>
    <cellStyle name="Normal 9 2 2 2 3 6 2 2" xfId="16271" xr:uid="{AA13C475-4376-44D0-B1FE-DED76D20F524}"/>
    <cellStyle name="Normal 9 2 2 2 3 6 3" xfId="12054" xr:uid="{1EE8BB91-4466-4218-B07B-5800F3999F32}"/>
    <cellStyle name="Normal 9 2 2 2 3 7" xfId="4880" xr:uid="{00000000-0005-0000-0000-0000AA1E0000}"/>
    <cellStyle name="Normal 9 2 2 2 3 7 2" xfId="14206" xr:uid="{21C25053-B244-4236-8909-D01D0A95CA94}"/>
    <cellStyle name="Normal 9 2 2 2 3 8" xfId="9046" xr:uid="{6B7E07C7-E90B-4AE9-8FE8-76EF28E8FC85}"/>
    <cellStyle name="Normal 9 2 2 2 3 8 2" xfId="18369" xr:uid="{AC469681-273D-489E-A83A-41F355C80F0F}"/>
    <cellStyle name="Normal 9 2 2 2 3 9" xfId="9989" xr:uid="{F3BB9631-206E-45D1-B71A-AABC18392DAE}"/>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B5218A2F-24B3-4650-992F-9BF900B6D2AB}"/>
    <cellStyle name="Normal 9 2 2 2 4 2 3" xfId="12544" xr:uid="{1898D2A0-BD27-48F1-9D79-2D19F07BB937}"/>
    <cellStyle name="Normal 9 2 2 2 4 3" xfId="5290" xr:uid="{00000000-0005-0000-0000-0000AE1E0000}"/>
    <cellStyle name="Normal 9 2 2 2 4 3 2" xfId="14616" xr:uid="{32017BE6-DD95-4F07-936F-26009045E31E}"/>
    <cellStyle name="Normal 9 2 2 2 4 4" xfId="9264" xr:uid="{0137E036-48D9-4B3B-9B73-0002A19DDE9E}"/>
    <cellStyle name="Normal 9 2 2 2 4 4 2" xfId="18577" xr:uid="{820989C9-AF04-4B14-998A-A75285DF250B}"/>
    <cellStyle name="Normal 9 2 2 2 4 5" xfId="10399" xr:uid="{A1D80FEE-7533-47AC-B34E-8C4AC62E3245}"/>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7A19A394-CB25-42A2-80D0-2729914E2CFB}"/>
    <cellStyle name="Normal 9 2 2 2 5 2 3" xfId="12957" xr:uid="{E5D38E7D-6BF7-4A16-9E5D-BB42E5F7ECD7}"/>
    <cellStyle name="Normal 9 2 2 2 5 3" xfId="5703" xr:uid="{00000000-0005-0000-0000-0000B21E0000}"/>
    <cellStyle name="Normal 9 2 2 2 5 3 2" xfId="15029" xr:uid="{0596D501-E8C3-4E59-AE2E-4F89BA0BAADD}"/>
    <cellStyle name="Normal 9 2 2 2 5 4" xfId="10812" xr:uid="{C163D728-A48C-4107-A0D0-FB982C8D8F17}"/>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3602B077-0034-4DC0-AE19-DC10BAD37F52}"/>
    <cellStyle name="Normal 9 2 2 2 6 2 3" xfId="13370" xr:uid="{576AACB6-A263-4048-BE5C-DBC9813CC644}"/>
    <cellStyle name="Normal 9 2 2 2 6 3" xfId="6116" xr:uid="{00000000-0005-0000-0000-0000B61E0000}"/>
    <cellStyle name="Normal 9 2 2 2 6 3 2" xfId="15442" xr:uid="{265112D2-C0B7-44D4-BB26-DB77D0F007FB}"/>
    <cellStyle name="Normal 9 2 2 2 6 4" xfId="11225" xr:uid="{17D3F390-A4D8-4E9E-8AC3-DBC03E8973F8}"/>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CC2FA945-C3ED-4FBA-B7F1-1C42EFF1DA42}"/>
    <cellStyle name="Normal 9 2 2 2 7 2 3" xfId="13783" xr:uid="{158357A5-9F80-439D-9C32-84344F56CEBA}"/>
    <cellStyle name="Normal 9 2 2 2 7 3" xfId="6529" xr:uid="{00000000-0005-0000-0000-0000BA1E0000}"/>
    <cellStyle name="Normal 9 2 2 2 7 3 2" xfId="15855" xr:uid="{7AE424BC-0C08-4C99-9B5A-CF217B5DA860}"/>
    <cellStyle name="Normal 9 2 2 2 7 4" xfId="11638" xr:uid="{D36D34B6-D284-42CE-B62E-0F4BB8E054AC}"/>
    <cellStyle name="Normal 9 2 2 2 8" xfId="2659" xr:uid="{00000000-0005-0000-0000-0000BB1E0000}"/>
    <cellStyle name="Normal 9 2 2 2 8 2" xfId="6942" xr:uid="{00000000-0005-0000-0000-0000BC1E0000}"/>
    <cellStyle name="Normal 9 2 2 2 8 2 2" xfId="16268" xr:uid="{439A04B4-11B9-4BC7-AD86-A35C977ED968}"/>
    <cellStyle name="Normal 9 2 2 2 8 3" xfId="12051" xr:uid="{88257259-54B2-4A1F-B3FA-459E851D9408}"/>
    <cellStyle name="Normal 9 2 2 2 9" xfId="4877" xr:uid="{00000000-0005-0000-0000-0000BD1E0000}"/>
    <cellStyle name="Normal 9 2 2 2 9 2" xfId="14203" xr:uid="{43A4F109-6889-4C40-B0BD-B8BAD8D95EDD}"/>
    <cellStyle name="Normal 9 2 2 3" xfId="517" xr:uid="{00000000-0005-0000-0000-0000BE1E0000}"/>
    <cellStyle name="Normal 9 2 2 3 10" xfId="9990" xr:uid="{1C25453F-032A-42C6-94A2-B7C77F460331}"/>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0BAB90F6-43BF-43A2-BE56-916F2EC9C558}"/>
    <cellStyle name="Normal 9 2 2 3 2 2 2 3" xfId="12549" xr:uid="{921747B0-27B2-4D89-9F84-099F87251B9D}"/>
    <cellStyle name="Normal 9 2 2 3 2 2 3" xfId="5295" xr:uid="{00000000-0005-0000-0000-0000C31E0000}"/>
    <cellStyle name="Normal 9 2 2 3 2 2 3 2" xfId="14621" xr:uid="{14D8772D-D433-4F5A-AABD-0CDDD4E78253}"/>
    <cellStyle name="Normal 9 2 2 3 2 2 4" xfId="9520" xr:uid="{57CFBD10-691F-4DF8-8020-B75E98FF60DD}"/>
    <cellStyle name="Normal 9 2 2 3 2 2 4 2" xfId="18833" xr:uid="{9CEA9074-0A3C-41FD-853C-60568BEABEED}"/>
    <cellStyle name="Normal 9 2 2 3 2 2 5" xfId="10404" xr:uid="{29493975-5CC9-4D98-8D66-0C575B553908}"/>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E8DCEBC5-8FA3-41C1-91AE-99D54366C88D}"/>
    <cellStyle name="Normal 9 2 2 3 2 3 2 3" xfId="12962" xr:uid="{FCA2D67E-CD72-49E8-9DF3-9EE7E347521F}"/>
    <cellStyle name="Normal 9 2 2 3 2 3 3" xfId="5708" xr:uid="{00000000-0005-0000-0000-0000C71E0000}"/>
    <cellStyle name="Normal 9 2 2 3 2 3 3 2" xfId="15034" xr:uid="{5F9C184A-B358-4396-BC81-ADD232989C10}"/>
    <cellStyle name="Normal 9 2 2 3 2 3 4" xfId="10817" xr:uid="{38EAB4BC-D504-45CC-91D6-B0672D602706}"/>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1DBD0110-E496-43DB-874A-D457E1130DDB}"/>
    <cellStyle name="Normal 9 2 2 3 2 4 2 3" xfId="13375" xr:uid="{A6C67B0E-CA31-49FD-BA11-6AE67A5EE04D}"/>
    <cellStyle name="Normal 9 2 2 3 2 4 3" xfId="6121" xr:uid="{00000000-0005-0000-0000-0000CB1E0000}"/>
    <cellStyle name="Normal 9 2 2 3 2 4 3 2" xfId="15447" xr:uid="{83622896-66A1-4B52-8556-4082A1B70157}"/>
    <cellStyle name="Normal 9 2 2 3 2 4 4" xfId="11230" xr:uid="{A7C124F8-959B-4C1D-9280-ABB788411539}"/>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7340274E-8102-4E44-85CE-76D2E0A992C4}"/>
    <cellStyle name="Normal 9 2 2 3 2 5 2 3" xfId="13788" xr:uid="{99398413-4011-4A4C-BF37-DE14CB162B18}"/>
    <cellStyle name="Normal 9 2 2 3 2 5 3" xfId="6534" xr:uid="{00000000-0005-0000-0000-0000CF1E0000}"/>
    <cellStyle name="Normal 9 2 2 3 2 5 3 2" xfId="15860" xr:uid="{8621BA29-6E01-4F36-ABDB-352AB519B84A}"/>
    <cellStyle name="Normal 9 2 2 3 2 5 4" xfId="11643" xr:uid="{2E52934E-1141-4812-A063-B687DE7DDDCD}"/>
    <cellStyle name="Normal 9 2 2 3 2 6" xfId="2664" xr:uid="{00000000-0005-0000-0000-0000D01E0000}"/>
    <cellStyle name="Normal 9 2 2 3 2 6 2" xfId="6947" xr:uid="{00000000-0005-0000-0000-0000D11E0000}"/>
    <cellStyle name="Normal 9 2 2 3 2 6 2 2" xfId="16273" xr:uid="{5A1E01D9-431C-4E63-9584-744FD59E8D53}"/>
    <cellStyle name="Normal 9 2 2 3 2 6 3" xfId="12056" xr:uid="{ABAB4D00-7067-4715-926D-E68B41DEF14B}"/>
    <cellStyle name="Normal 9 2 2 3 2 7" xfId="4882" xr:uid="{00000000-0005-0000-0000-0000D21E0000}"/>
    <cellStyle name="Normal 9 2 2 3 2 7 2" xfId="14208" xr:uid="{26B62106-C803-43C4-B55D-95032E7569E8}"/>
    <cellStyle name="Normal 9 2 2 3 2 8" xfId="9095" xr:uid="{D95088B7-D227-4E97-A9B9-DA61436DD386}"/>
    <cellStyle name="Normal 9 2 2 3 2 8 2" xfId="18418" xr:uid="{F1C47496-71DF-481A-BBA3-EF7BFF54EF6E}"/>
    <cellStyle name="Normal 9 2 2 3 2 9" xfId="9991" xr:uid="{E11DCC5D-B5AF-448B-A263-CDBA9556DF88}"/>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202EB47B-6519-4EB8-9E13-4AE3955D325F}"/>
    <cellStyle name="Normal 9 2 2 3 3 2 3" xfId="12548" xr:uid="{FECF30C3-0212-4E0F-8090-62861A62DEAC}"/>
    <cellStyle name="Normal 9 2 2 3 3 3" xfId="5294" xr:uid="{00000000-0005-0000-0000-0000D61E0000}"/>
    <cellStyle name="Normal 9 2 2 3 3 3 2" xfId="14620" xr:uid="{3F42D270-D1C3-452E-ABE6-5C4E526A9355}"/>
    <cellStyle name="Normal 9 2 2 3 3 4" xfId="9313" xr:uid="{FDDC600D-FDDD-4FFC-9820-DFD7E0768F33}"/>
    <cellStyle name="Normal 9 2 2 3 3 4 2" xfId="18626" xr:uid="{FC04DEB7-AA4C-47BF-8106-DABE47F894A2}"/>
    <cellStyle name="Normal 9 2 2 3 3 5" xfId="10403" xr:uid="{431F31CA-8D73-49E9-BC6B-14371C0F25B5}"/>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F0978F00-6A2E-4B80-AF43-36C95A992F04}"/>
    <cellStyle name="Normal 9 2 2 3 4 2 3" xfId="12961" xr:uid="{E91B4488-0DE7-4863-B8B1-BB15E10F66E1}"/>
    <cellStyle name="Normal 9 2 2 3 4 3" xfId="5707" xr:uid="{00000000-0005-0000-0000-0000DA1E0000}"/>
    <cellStyle name="Normal 9 2 2 3 4 3 2" xfId="15033" xr:uid="{9264B5F1-FC8F-44BC-A6AB-3359FF8F6A2D}"/>
    <cellStyle name="Normal 9 2 2 3 4 4" xfId="10816" xr:uid="{CA9A53DF-A291-4720-A52D-E0169984B4C0}"/>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36859C08-4EBC-4A33-98FA-B4660D8D86B8}"/>
    <cellStyle name="Normal 9 2 2 3 5 2 3" xfId="13374" xr:uid="{BA4ADEC5-A80F-4113-8EA9-40DFBB0719B7}"/>
    <cellStyle name="Normal 9 2 2 3 5 3" xfId="6120" xr:uid="{00000000-0005-0000-0000-0000DE1E0000}"/>
    <cellStyle name="Normal 9 2 2 3 5 3 2" xfId="15446" xr:uid="{BD065D81-F7BA-4C49-9D55-F501A3D23D30}"/>
    <cellStyle name="Normal 9 2 2 3 5 4" xfId="11229" xr:uid="{80A3B637-60C5-40B1-99C4-4D170A3CB548}"/>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F16EC88F-C71A-458F-AEF0-951AB2D9F41E}"/>
    <cellStyle name="Normal 9 2 2 3 6 2 3" xfId="13787" xr:uid="{AE52E346-C631-42F8-9ACB-61F557E2487F}"/>
    <cellStyle name="Normal 9 2 2 3 6 3" xfId="6533" xr:uid="{00000000-0005-0000-0000-0000E21E0000}"/>
    <cellStyle name="Normal 9 2 2 3 6 3 2" xfId="15859" xr:uid="{39F3395D-B9A4-4750-9B30-DA8FFA12F64F}"/>
    <cellStyle name="Normal 9 2 2 3 6 4" xfId="11642" xr:uid="{D5BC9FDB-6C9E-471D-ABCD-2A142691D908}"/>
    <cellStyle name="Normal 9 2 2 3 7" xfId="2663" xr:uid="{00000000-0005-0000-0000-0000E31E0000}"/>
    <cellStyle name="Normal 9 2 2 3 7 2" xfId="6946" xr:uid="{00000000-0005-0000-0000-0000E41E0000}"/>
    <cellStyle name="Normal 9 2 2 3 7 2 2" xfId="16272" xr:uid="{6A7A122E-9F8B-4874-9A90-8A1B477A1B3B}"/>
    <cellStyle name="Normal 9 2 2 3 7 3" xfId="12055" xr:uid="{B547CAC0-2EC4-41F9-B1FD-13A0F1D28084}"/>
    <cellStyle name="Normal 9 2 2 3 8" xfId="4881" xr:uid="{00000000-0005-0000-0000-0000E51E0000}"/>
    <cellStyle name="Normal 9 2 2 3 8 2" xfId="14207" xr:uid="{E46AD205-B7F7-4206-9176-C5B26F4C76B3}"/>
    <cellStyle name="Normal 9 2 2 3 9" xfId="8888" xr:uid="{47457178-62A7-4ACA-95A1-433BF4FD3D65}"/>
    <cellStyle name="Normal 9 2 2 3 9 2" xfId="18211" xr:uid="{1B38B30F-3665-4275-B162-FF57AB8A3006}"/>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0D9FD87F-FB72-48F9-AE6D-4879A1069198}"/>
    <cellStyle name="Normal 9 2 2 4 2 2 3" xfId="12550" xr:uid="{71BF91C6-197D-40F8-BAF4-1B683E04F096}"/>
    <cellStyle name="Normal 9 2 2 4 2 3" xfId="5296" xr:uid="{00000000-0005-0000-0000-0000EA1E0000}"/>
    <cellStyle name="Normal 9 2 2 4 2 3 2" xfId="14622" xr:uid="{B750E48A-DE5F-44A2-A779-D818CDB7E877}"/>
    <cellStyle name="Normal 9 2 2 4 2 4" xfId="9417" xr:uid="{FDB8A679-B5B8-4E9B-808D-E68F6CA01958}"/>
    <cellStyle name="Normal 9 2 2 4 2 4 2" xfId="18730" xr:uid="{AD2E5C84-77C5-4B1C-8838-1A5B4CD66F61}"/>
    <cellStyle name="Normal 9 2 2 4 2 5" xfId="10405" xr:uid="{4783292E-E5C8-49F0-91A4-5D94D4F17732}"/>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2DBD84C0-52E8-4D24-976A-F34288A9550C}"/>
    <cellStyle name="Normal 9 2 2 4 3 2 3" xfId="12963" xr:uid="{2E82AE77-BB00-4BB2-8A21-DC9D0DC2D6CF}"/>
    <cellStyle name="Normal 9 2 2 4 3 3" xfId="5709" xr:uid="{00000000-0005-0000-0000-0000EE1E0000}"/>
    <cellStyle name="Normal 9 2 2 4 3 3 2" xfId="15035" xr:uid="{2BB89FD8-D326-49D5-9E7B-E8A0417134BD}"/>
    <cellStyle name="Normal 9 2 2 4 3 4" xfId="10818" xr:uid="{4C71C2FF-2F32-4FEE-80EA-966A9FEF6A22}"/>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CBB34BA5-571D-43E6-A488-BD564C53E299}"/>
    <cellStyle name="Normal 9 2 2 4 4 2 3" xfId="13376" xr:uid="{DC41840C-160E-4B6D-8107-7126ED5B6A51}"/>
    <cellStyle name="Normal 9 2 2 4 4 3" xfId="6122" xr:uid="{00000000-0005-0000-0000-0000F21E0000}"/>
    <cellStyle name="Normal 9 2 2 4 4 3 2" xfId="15448" xr:uid="{C7F0190B-988F-4330-B023-AA2F44E2F6C7}"/>
    <cellStyle name="Normal 9 2 2 4 4 4" xfId="11231" xr:uid="{72163B35-7956-4D8A-9291-566DA7AEA69C}"/>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1F9E28D9-F945-4D36-A811-5A55F904D396}"/>
    <cellStyle name="Normal 9 2 2 4 5 2 3" xfId="13789" xr:uid="{6516937C-6A0E-4265-8672-A87FE286655C}"/>
    <cellStyle name="Normal 9 2 2 4 5 3" xfId="6535" xr:uid="{00000000-0005-0000-0000-0000F61E0000}"/>
    <cellStyle name="Normal 9 2 2 4 5 3 2" xfId="15861" xr:uid="{2DE40254-B7F5-444A-A288-11CA3A2F88A6}"/>
    <cellStyle name="Normal 9 2 2 4 5 4" xfId="11644" xr:uid="{C12B7C00-E0FA-444E-9F50-01CAB9ACBC64}"/>
    <cellStyle name="Normal 9 2 2 4 6" xfId="2665" xr:uid="{00000000-0005-0000-0000-0000F71E0000}"/>
    <cellStyle name="Normal 9 2 2 4 6 2" xfId="6948" xr:uid="{00000000-0005-0000-0000-0000F81E0000}"/>
    <cellStyle name="Normal 9 2 2 4 6 2 2" xfId="16274" xr:uid="{53D55613-4F0B-4267-A209-DB6B980A1151}"/>
    <cellStyle name="Normal 9 2 2 4 6 3" xfId="12057" xr:uid="{883FAF42-DC24-4902-BFF9-47AF82BE16B6}"/>
    <cellStyle name="Normal 9 2 2 4 7" xfId="4883" xr:uid="{00000000-0005-0000-0000-0000F91E0000}"/>
    <cellStyle name="Normal 9 2 2 4 7 2" xfId="14209" xr:uid="{141181D8-1336-4862-8A8D-0B53E9369AE8}"/>
    <cellStyle name="Normal 9 2 2 4 8" xfId="8992" xr:uid="{8AFFF8AD-8552-4B33-AAFF-7DACAE25085E}"/>
    <cellStyle name="Normal 9 2 2 4 8 2" xfId="18315" xr:uid="{4012D254-BE70-4D16-854E-0AB7F3522CEF}"/>
    <cellStyle name="Normal 9 2 2 4 9" xfId="9992" xr:uid="{202CA2C4-C15A-451E-B7BE-D9D778D13AA2}"/>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FF448318-1E48-4DE1-876C-F8C84B5893E8}"/>
    <cellStyle name="Normal 9 2 2 5 2 3" xfId="12543" xr:uid="{2F986B64-4D98-4755-8EB9-337AD8D6FBD3}"/>
    <cellStyle name="Normal 9 2 2 5 3" xfId="5289" xr:uid="{00000000-0005-0000-0000-0000FD1E0000}"/>
    <cellStyle name="Normal 9 2 2 5 3 2" xfId="14615" xr:uid="{5B7A617F-21CA-430D-95E9-D906C3BDC05D}"/>
    <cellStyle name="Normal 9 2 2 5 4" xfId="9209" xr:uid="{66E66B93-842C-41D8-A807-A065C03CFEBD}"/>
    <cellStyle name="Normal 9 2 2 5 4 2" xfId="18523" xr:uid="{B58BE11D-00E9-43AE-A47A-66D606AC9158}"/>
    <cellStyle name="Normal 9 2 2 5 5" xfId="10398" xr:uid="{C4843342-E81C-43F8-A18D-2A99D9CEEC46}"/>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6BFD77E8-73A7-4118-AA50-350FBABEF071}"/>
    <cellStyle name="Normal 9 2 2 6 2 3" xfId="12956" xr:uid="{E1D25155-65A5-4DDB-A418-41583E3C5696}"/>
    <cellStyle name="Normal 9 2 2 6 3" xfId="5702" xr:uid="{00000000-0005-0000-0000-0000011F0000}"/>
    <cellStyle name="Normal 9 2 2 6 3 2" xfId="15028" xr:uid="{1FDC78B6-BAF3-4539-A548-B5F4B6C39C08}"/>
    <cellStyle name="Normal 9 2 2 6 4" xfId="10811" xr:uid="{B3CD3877-F621-42D0-9074-FD0674ACB8F9}"/>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99D2C2FA-BC66-4123-BFEB-7B601190FD5E}"/>
    <cellStyle name="Normal 9 2 2 7 2 3" xfId="13369" xr:uid="{E635E0E1-CF62-46FE-A918-BDCE42EA5583}"/>
    <cellStyle name="Normal 9 2 2 7 3" xfId="6115" xr:uid="{00000000-0005-0000-0000-0000051F0000}"/>
    <cellStyle name="Normal 9 2 2 7 3 2" xfId="15441" xr:uid="{C4DD1DC2-4E87-4BDF-9557-FA2210261354}"/>
    <cellStyle name="Normal 9 2 2 7 4" xfId="11224" xr:uid="{D4008287-A652-4ECE-A4F8-04E914CD4639}"/>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3C370FD4-C6F9-4BBC-9D80-11561A50E748}"/>
    <cellStyle name="Normal 9 2 2 8 2 3" xfId="13782" xr:uid="{58E360B8-D874-4FEB-B32E-28FA8AD27D31}"/>
    <cellStyle name="Normal 9 2 2 8 3" xfId="6528" xr:uid="{00000000-0005-0000-0000-0000091F0000}"/>
    <cellStyle name="Normal 9 2 2 8 3 2" xfId="15854" xr:uid="{0B4DB854-D67C-476F-B1C6-5B5C184C3A13}"/>
    <cellStyle name="Normal 9 2 2 8 4" xfId="11637" xr:uid="{69FD8EC0-0CEC-4798-B926-0A42B0050A47}"/>
    <cellStyle name="Normal 9 2 2 9" xfId="2658" xr:uid="{00000000-0005-0000-0000-00000A1F0000}"/>
    <cellStyle name="Normal 9 2 2 9 2" xfId="6941" xr:uid="{00000000-0005-0000-0000-00000B1F0000}"/>
    <cellStyle name="Normal 9 2 2 9 2 2" xfId="16267" xr:uid="{1B766D37-4BB8-4E17-BDDB-AF6F69FBBFF3}"/>
    <cellStyle name="Normal 9 2 2 9 3" xfId="12050" xr:uid="{7442D5D2-CA48-465C-BFE6-2B6DEB95194B}"/>
    <cellStyle name="Normal 9 2 3" xfId="520" xr:uid="{00000000-0005-0000-0000-00000C1F0000}"/>
    <cellStyle name="Normal 9 2 3 10" xfId="8838" xr:uid="{3F59BADF-95CF-4831-9CE1-8ACBDD585DF1}"/>
    <cellStyle name="Normal 9 2 3 10 2" xfId="18161" xr:uid="{B510A40D-69E6-4799-B824-02D1EAE37CB4}"/>
    <cellStyle name="Normal 9 2 3 11" xfId="9993" xr:uid="{63E412AE-9903-43B9-BE29-AC1082DE965D}"/>
    <cellStyle name="Normal 9 2 3 2" xfId="521" xr:uid="{00000000-0005-0000-0000-00000D1F0000}"/>
    <cellStyle name="Normal 9 2 3 2 10" xfId="9994" xr:uid="{86363461-45C5-4BB1-9D4C-498F6E91AFAF}"/>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D5083EC9-0CEE-4DA8-8F47-43097BACEC52}"/>
    <cellStyle name="Normal 9 2 3 2 2 2 2 3" xfId="12553" xr:uid="{B9688220-430D-4CB1-9C82-74DB245A3F41}"/>
    <cellStyle name="Normal 9 2 3 2 2 2 3" xfId="5299" xr:uid="{00000000-0005-0000-0000-0000121F0000}"/>
    <cellStyle name="Normal 9 2 3 2 2 2 3 2" xfId="14625" xr:uid="{FFDD6916-09BF-4466-BF4A-B0734E76F960}"/>
    <cellStyle name="Normal 9 2 3 2 2 2 4" xfId="9573" xr:uid="{376F8566-2407-40B8-9531-D3E757BE7A23}"/>
    <cellStyle name="Normal 9 2 3 2 2 2 4 2" xfId="18886" xr:uid="{7A06BE25-A269-408C-B1D6-868E6A9E827B}"/>
    <cellStyle name="Normal 9 2 3 2 2 2 5" xfId="10408" xr:uid="{2EA3998F-DE2B-4807-92D8-FC71EADD6BDD}"/>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15AA54D2-F992-470D-A99E-C3A7777DC1A0}"/>
    <cellStyle name="Normal 9 2 3 2 2 3 2 3" xfId="12966" xr:uid="{9CE39582-FEF5-42ED-815B-7E6D4D2EA66D}"/>
    <cellStyle name="Normal 9 2 3 2 2 3 3" xfId="5712" xr:uid="{00000000-0005-0000-0000-0000161F0000}"/>
    <cellStyle name="Normal 9 2 3 2 2 3 3 2" xfId="15038" xr:uid="{ACBEF993-299E-4A97-8172-27C6E6D8361E}"/>
    <cellStyle name="Normal 9 2 3 2 2 3 4" xfId="10821" xr:uid="{AB73CDC4-7E0B-4A31-AC74-207463FB8792}"/>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C27CC29D-94F6-4474-9925-C71403ADA662}"/>
    <cellStyle name="Normal 9 2 3 2 2 4 2 3" xfId="13379" xr:uid="{5F8D3DCF-5F20-44FA-B1BC-EC8F6537B607}"/>
    <cellStyle name="Normal 9 2 3 2 2 4 3" xfId="6125" xr:uid="{00000000-0005-0000-0000-00001A1F0000}"/>
    <cellStyle name="Normal 9 2 3 2 2 4 3 2" xfId="15451" xr:uid="{D71E74B1-B10E-40E3-AF60-3EAE93ED5E44}"/>
    <cellStyle name="Normal 9 2 3 2 2 4 4" xfId="11234" xr:uid="{78F89EAD-CD80-4A72-A2A2-50758AC22A16}"/>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7CA1CB4C-9055-4AA7-8953-D0496207F49F}"/>
    <cellStyle name="Normal 9 2 3 2 2 5 2 3" xfId="13792" xr:uid="{EAE31143-2434-4B5A-AF1F-670773574590}"/>
    <cellStyle name="Normal 9 2 3 2 2 5 3" xfId="6538" xr:uid="{00000000-0005-0000-0000-00001E1F0000}"/>
    <cellStyle name="Normal 9 2 3 2 2 5 3 2" xfId="15864" xr:uid="{9B6965F1-E86F-40BC-829D-CDFC8F2DE0B6}"/>
    <cellStyle name="Normal 9 2 3 2 2 5 4" xfId="11647" xr:uid="{FE081FB7-69FD-4F5D-A2FC-342AE4AFF0A6}"/>
    <cellStyle name="Normal 9 2 3 2 2 6" xfId="2668" xr:uid="{00000000-0005-0000-0000-00001F1F0000}"/>
    <cellStyle name="Normal 9 2 3 2 2 6 2" xfId="6951" xr:uid="{00000000-0005-0000-0000-0000201F0000}"/>
    <cellStyle name="Normal 9 2 3 2 2 6 2 2" xfId="16277" xr:uid="{A784E400-A0D4-4882-AF35-4D16C4064E2F}"/>
    <cellStyle name="Normal 9 2 3 2 2 6 3" xfId="12060" xr:uid="{362D61C6-ECF5-4CD8-B307-9A704E9EDB0F}"/>
    <cellStyle name="Normal 9 2 3 2 2 7" xfId="4886" xr:uid="{00000000-0005-0000-0000-0000211F0000}"/>
    <cellStyle name="Normal 9 2 3 2 2 7 2" xfId="14212" xr:uid="{2DFC4A1A-26ED-41AD-8325-62CD8E6266E2}"/>
    <cellStyle name="Normal 9 2 3 2 2 8" xfId="9148" xr:uid="{E1A2F3F0-C8EA-47FA-BB37-18F117041A87}"/>
    <cellStyle name="Normal 9 2 3 2 2 8 2" xfId="18471" xr:uid="{A9EDCC80-3454-4B86-91BA-D464565F55D3}"/>
    <cellStyle name="Normal 9 2 3 2 2 9" xfId="9995" xr:uid="{9D2D1EEA-1C5E-47E7-B1C9-30938D3B43E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3151B950-3426-469D-9FE3-BCBD44A2E1A9}"/>
    <cellStyle name="Normal 9 2 3 2 3 2 3" xfId="12552" xr:uid="{47E6F499-E0DD-48DE-B429-D4858254F92F}"/>
    <cellStyle name="Normal 9 2 3 2 3 3" xfId="5298" xr:uid="{00000000-0005-0000-0000-0000251F0000}"/>
    <cellStyle name="Normal 9 2 3 2 3 3 2" xfId="14624" xr:uid="{26341B03-6CF1-40D0-92DA-2EECBCD1FBF4}"/>
    <cellStyle name="Normal 9 2 3 2 3 4" xfId="9366" xr:uid="{136A6B94-9CAA-4F6C-B09D-7385900FCA38}"/>
    <cellStyle name="Normal 9 2 3 2 3 4 2" xfId="18679" xr:uid="{4CF91AF8-E096-4868-B578-24412C342A7A}"/>
    <cellStyle name="Normal 9 2 3 2 3 5" xfId="10407" xr:uid="{29D59295-B7F7-44BC-8C06-46E8448B15B1}"/>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137CEFE3-933C-4F69-B96B-688FB0F9D6B1}"/>
    <cellStyle name="Normal 9 2 3 2 4 2 3" xfId="12965" xr:uid="{95FE76B9-3004-4543-9B0A-7655AA396583}"/>
    <cellStyle name="Normal 9 2 3 2 4 3" xfId="5711" xr:uid="{00000000-0005-0000-0000-0000291F0000}"/>
    <cellStyle name="Normal 9 2 3 2 4 3 2" xfId="15037" xr:uid="{DEB4BA07-FCFF-4B35-9F44-E41200FEFA3B}"/>
    <cellStyle name="Normal 9 2 3 2 4 4" xfId="10820" xr:uid="{174D9811-48BE-420E-B190-D09D7845B48C}"/>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A14E0941-C06F-4620-828B-135D51D5F758}"/>
    <cellStyle name="Normal 9 2 3 2 5 2 3" xfId="13378" xr:uid="{C1ECD9BF-E9E0-4B9A-B2E5-D84F9561B668}"/>
    <cellStyle name="Normal 9 2 3 2 5 3" xfId="6124" xr:uid="{00000000-0005-0000-0000-00002D1F0000}"/>
    <cellStyle name="Normal 9 2 3 2 5 3 2" xfId="15450" xr:uid="{BF9C5104-464E-47CB-8D9F-4BAB8B954CD7}"/>
    <cellStyle name="Normal 9 2 3 2 5 4" xfId="11233" xr:uid="{5B52B92F-D6A9-4699-8F80-F1112987F8E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6F01FC62-1730-49CA-8FBF-33C813CFDA90}"/>
    <cellStyle name="Normal 9 2 3 2 6 2 3" xfId="13791" xr:uid="{4AC9F25F-A823-4C1B-A770-2EAADE5B0B79}"/>
    <cellStyle name="Normal 9 2 3 2 6 3" xfId="6537" xr:uid="{00000000-0005-0000-0000-0000311F0000}"/>
    <cellStyle name="Normal 9 2 3 2 6 3 2" xfId="15863" xr:uid="{8714C185-64D2-4540-8AC8-9955A2AA4440}"/>
    <cellStyle name="Normal 9 2 3 2 6 4" xfId="11646" xr:uid="{79120CE8-1379-47EB-8D95-BC7E5A5B277D}"/>
    <cellStyle name="Normal 9 2 3 2 7" xfId="2667" xr:uid="{00000000-0005-0000-0000-0000321F0000}"/>
    <cellStyle name="Normal 9 2 3 2 7 2" xfId="6950" xr:uid="{00000000-0005-0000-0000-0000331F0000}"/>
    <cellStyle name="Normal 9 2 3 2 7 2 2" xfId="16276" xr:uid="{8430C269-49D2-45F6-87BE-69898007EA42}"/>
    <cellStyle name="Normal 9 2 3 2 7 3" xfId="12059" xr:uid="{7C3DDC62-DC90-4669-80E7-212974A7A95B}"/>
    <cellStyle name="Normal 9 2 3 2 8" xfId="4885" xr:uid="{00000000-0005-0000-0000-0000341F0000}"/>
    <cellStyle name="Normal 9 2 3 2 8 2" xfId="14211" xr:uid="{AD280B3A-9FA9-4A13-8566-03BEA5A05EF0}"/>
    <cellStyle name="Normal 9 2 3 2 9" xfId="8941" xr:uid="{DDA1E375-E708-45D0-9119-207D493A75BA}"/>
    <cellStyle name="Normal 9 2 3 2 9 2" xfId="18264" xr:uid="{9E86A1D3-E9BA-4918-AAC4-5B1750AF2D64}"/>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2CA57FC4-437F-4718-99F6-8B611800DA68}"/>
    <cellStyle name="Normal 9 2 3 3 2 2 3" xfId="12554" xr:uid="{E556D941-BEE5-435E-B90F-9F63995B8355}"/>
    <cellStyle name="Normal 9 2 3 3 2 3" xfId="5300" xr:uid="{00000000-0005-0000-0000-0000391F0000}"/>
    <cellStyle name="Normal 9 2 3 3 2 3 2" xfId="14626" xr:uid="{B8AD3B09-5F86-4034-9EDF-AB377A97B934}"/>
    <cellStyle name="Normal 9 2 3 3 2 4" xfId="9470" xr:uid="{B46EA5E7-4A9D-405A-94B0-2C155F0DE1F1}"/>
    <cellStyle name="Normal 9 2 3 3 2 4 2" xfId="18783" xr:uid="{1C974B90-D097-467E-BA83-EAC9C632BABF}"/>
    <cellStyle name="Normal 9 2 3 3 2 5" xfId="10409" xr:uid="{48573394-BE85-438E-A43C-47692C966CE2}"/>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B12526C3-C691-4067-A8C2-AA803C30A4FE}"/>
    <cellStyle name="Normal 9 2 3 3 3 2 3" xfId="12967" xr:uid="{69F720BA-A259-4E5E-9418-12AD918F80B2}"/>
    <cellStyle name="Normal 9 2 3 3 3 3" xfId="5713" xr:uid="{00000000-0005-0000-0000-00003D1F0000}"/>
    <cellStyle name="Normal 9 2 3 3 3 3 2" xfId="15039" xr:uid="{E8370610-B692-4002-A11F-79A2A01C6E6E}"/>
    <cellStyle name="Normal 9 2 3 3 3 4" xfId="10822" xr:uid="{98FDF0F3-17DC-4B2C-9891-AC6258787EF2}"/>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25CD57CC-7181-4A65-9BD7-09E11EC4A8E4}"/>
    <cellStyle name="Normal 9 2 3 3 4 2 3" xfId="13380" xr:uid="{5B9F9418-D379-4823-AD77-ED9CC80D2FFF}"/>
    <cellStyle name="Normal 9 2 3 3 4 3" xfId="6126" xr:uid="{00000000-0005-0000-0000-0000411F0000}"/>
    <cellStyle name="Normal 9 2 3 3 4 3 2" xfId="15452" xr:uid="{5D55D1C9-CB8E-4CA3-9C40-16D8B05A1FA4}"/>
    <cellStyle name="Normal 9 2 3 3 4 4" xfId="11235" xr:uid="{60507D79-AAFC-45BA-A711-FB716BDBB024}"/>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57E20B4A-36F6-4471-A9A4-20A04FA4D642}"/>
    <cellStyle name="Normal 9 2 3 3 5 2 3" xfId="13793" xr:uid="{6B454B26-18E2-430D-A62B-EDCB1E51EE34}"/>
    <cellStyle name="Normal 9 2 3 3 5 3" xfId="6539" xr:uid="{00000000-0005-0000-0000-0000451F0000}"/>
    <cellStyle name="Normal 9 2 3 3 5 3 2" xfId="15865" xr:uid="{40B24920-543C-4573-966F-0A61DB485EC2}"/>
    <cellStyle name="Normal 9 2 3 3 5 4" xfId="11648" xr:uid="{32A32C83-CB8B-454D-A502-2C2337D82E56}"/>
    <cellStyle name="Normal 9 2 3 3 6" xfId="2669" xr:uid="{00000000-0005-0000-0000-0000461F0000}"/>
    <cellStyle name="Normal 9 2 3 3 6 2" xfId="6952" xr:uid="{00000000-0005-0000-0000-0000471F0000}"/>
    <cellStyle name="Normal 9 2 3 3 6 2 2" xfId="16278" xr:uid="{D12B8838-62C3-4106-973B-C72A1777CD98}"/>
    <cellStyle name="Normal 9 2 3 3 6 3" xfId="12061" xr:uid="{291DF808-4671-452D-9943-6296B3C0BD01}"/>
    <cellStyle name="Normal 9 2 3 3 7" xfId="4887" xr:uid="{00000000-0005-0000-0000-0000481F0000}"/>
    <cellStyle name="Normal 9 2 3 3 7 2" xfId="14213" xr:uid="{BCE87799-F7D4-40B3-9739-D2B4187D9992}"/>
    <cellStyle name="Normal 9 2 3 3 8" xfId="9045" xr:uid="{CD23D75F-FCE1-471A-A55A-DAC6FB15D069}"/>
    <cellStyle name="Normal 9 2 3 3 8 2" xfId="18368" xr:uid="{2CFB333C-E6B8-4A63-89DA-C4261534E89A}"/>
    <cellStyle name="Normal 9 2 3 3 9" xfId="9996" xr:uid="{508C9EDF-8CAE-44A2-A943-DDECBB1917AE}"/>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2E961317-8386-4555-A8FE-4FBFFA87DACB}"/>
    <cellStyle name="Normal 9 2 3 4 2 3" xfId="12551" xr:uid="{854BD557-77BB-4D2D-8D02-C70C02B2009B}"/>
    <cellStyle name="Normal 9 2 3 4 3" xfId="5297" xr:uid="{00000000-0005-0000-0000-00004C1F0000}"/>
    <cellStyle name="Normal 9 2 3 4 3 2" xfId="14623" xr:uid="{1346CE17-27AA-4CC3-BA35-575C3F56D2B2}"/>
    <cellStyle name="Normal 9 2 3 4 4" xfId="9263" xr:uid="{8E7B719A-F76B-4A2B-A5A7-1A883FD6976F}"/>
    <cellStyle name="Normal 9 2 3 4 4 2" xfId="18576" xr:uid="{373D9E7F-99CD-4FC0-9491-AA2D0F026303}"/>
    <cellStyle name="Normal 9 2 3 4 5" xfId="10406" xr:uid="{BD63509D-C852-43FC-BF45-76F7EE963A5B}"/>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DC821B8E-88C8-4275-ACC3-25EB221659D2}"/>
    <cellStyle name="Normal 9 2 3 5 2 3" xfId="12964" xr:uid="{7025A3BB-1C71-42EA-9EF8-63C157A0C46E}"/>
    <cellStyle name="Normal 9 2 3 5 3" xfId="5710" xr:uid="{00000000-0005-0000-0000-0000501F0000}"/>
    <cellStyle name="Normal 9 2 3 5 3 2" xfId="15036" xr:uid="{A74E072C-C264-4655-BF50-A3827730993D}"/>
    <cellStyle name="Normal 9 2 3 5 4" xfId="10819" xr:uid="{F2FED78B-0A7D-49EE-AF96-69F139824FF2}"/>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9109481D-57D4-4363-95EE-5CBB330C3025}"/>
    <cellStyle name="Normal 9 2 3 6 2 3" xfId="13377" xr:uid="{EF08F2C3-9980-4068-92E3-0C2FCEED6BA8}"/>
    <cellStyle name="Normal 9 2 3 6 3" xfId="6123" xr:uid="{00000000-0005-0000-0000-0000541F0000}"/>
    <cellStyle name="Normal 9 2 3 6 3 2" xfId="15449" xr:uid="{671FF550-BD80-4E1A-A183-8ACF52C64D1B}"/>
    <cellStyle name="Normal 9 2 3 6 4" xfId="11232" xr:uid="{6233C912-F9ED-4FDD-A561-1FB82E3A7C53}"/>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42FC06D7-A5BA-4335-AA56-FFC432FFC5D8}"/>
    <cellStyle name="Normal 9 2 3 7 2 3" xfId="13790" xr:uid="{B0903DA4-9AAA-4110-AABB-D23BAC2B1FC7}"/>
    <cellStyle name="Normal 9 2 3 7 3" xfId="6536" xr:uid="{00000000-0005-0000-0000-0000581F0000}"/>
    <cellStyle name="Normal 9 2 3 7 3 2" xfId="15862" xr:uid="{23B460EB-1D92-415A-BCEA-B73BD3A61093}"/>
    <cellStyle name="Normal 9 2 3 7 4" xfId="11645" xr:uid="{C7DAB2CF-7AC4-4535-823E-20042A64824B}"/>
    <cellStyle name="Normal 9 2 3 8" xfId="2666" xr:uid="{00000000-0005-0000-0000-0000591F0000}"/>
    <cellStyle name="Normal 9 2 3 8 2" xfId="6949" xr:uid="{00000000-0005-0000-0000-00005A1F0000}"/>
    <cellStyle name="Normal 9 2 3 8 2 2" xfId="16275" xr:uid="{366CF586-DDEE-4151-BE3A-E6534A860859}"/>
    <cellStyle name="Normal 9 2 3 8 3" xfId="12058" xr:uid="{AC2F08C3-2BAB-485C-8355-E2EC1CEFA65E}"/>
    <cellStyle name="Normal 9 2 3 9" xfId="4884" xr:uid="{00000000-0005-0000-0000-00005B1F0000}"/>
    <cellStyle name="Normal 9 2 3 9 2" xfId="14210" xr:uid="{B4EBCB3D-DC93-4A82-AB1B-CDDCA4BDA52A}"/>
    <cellStyle name="Normal 9 2 4" xfId="524" xr:uid="{00000000-0005-0000-0000-00005C1F0000}"/>
    <cellStyle name="Normal 9 2 4 10" xfId="9997" xr:uid="{0070117E-1B10-4D37-B3C1-EDA3ED95391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EDF8FBDC-58B4-484A-94E2-895A29580F5D}"/>
    <cellStyle name="Normal 9 2 4 2 2 2 3" xfId="12556" xr:uid="{8F935CA2-83AE-425E-BF9D-FDDCAE9D20D0}"/>
    <cellStyle name="Normal 9 2 4 2 2 3" xfId="5302" xr:uid="{00000000-0005-0000-0000-0000611F0000}"/>
    <cellStyle name="Normal 9 2 4 2 2 3 2" xfId="14628" xr:uid="{F6C1FFFF-0F30-4BCB-AC19-65C71D4F3323}"/>
    <cellStyle name="Normal 9 2 4 2 2 4" xfId="9489" xr:uid="{4BA9DC16-58A7-4D6B-90A6-6BB0C51A0279}"/>
    <cellStyle name="Normal 9 2 4 2 2 4 2" xfId="18802" xr:uid="{F5EC571D-9C63-4661-94D2-D908B28D362A}"/>
    <cellStyle name="Normal 9 2 4 2 2 5" xfId="10411" xr:uid="{80B1210A-03FC-4B0B-8120-6C480C4F037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2A037CF7-6B3F-4967-8406-7EB33492F0AC}"/>
    <cellStyle name="Normal 9 2 4 2 3 2 3" xfId="12969" xr:uid="{0E1E96FF-8C56-434E-A87B-28C88A7A51F4}"/>
    <cellStyle name="Normal 9 2 4 2 3 3" xfId="5715" xr:uid="{00000000-0005-0000-0000-0000651F0000}"/>
    <cellStyle name="Normal 9 2 4 2 3 3 2" xfId="15041" xr:uid="{26608EDD-CABA-45E5-9C4F-436C663D31E5}"/>
    <cellStyle name="Normal 9 2 4 2 3 4" xfId="10824" xr:uid="{36BA5F68-594A-4196-87D3-33218EEACEA6}"/>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ED9C1AD9-E68F-4319-B663-C97E92002BAF}"/>
    <cellStyle name="Normal 9 2 4 2 4 2 3" xfId="13382" xr:uid="{515B96D3-A64A-4E70-90B4-9E530795823C}"/>
    <cellStyle name="Normal 9 2 4 2 4 3" xfId="6128" xr:uid="{00000000-0005-0000-0000-0000691F0000}"/>
    <cellStyle name="Normal 9 2 4 2 4 3 2" xfId="15454" xr:uid="{9782EDF4-C52F-4949-8C6C-2FC71BD4722B}"/>
    <cellStyle name="Normal 9 2 4 2 4 4" xfId="11237" xr:uid="{A03A4DE6-6B7A-45D4-8830-E89689189B6B}"/>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29E4D3A2-8EAC-4D98-A6ED-A7020AB1D4F0}"/>
    <cellStyle name="Normal 9 2 4 2 5 2 3" xfId="13795" xr:uid="{A553450D-7C20-4681-AD06-03C8D236828C}"/>
    <cellStyle name="Normal 9 2 4 2 5 3" xfId="6541" xr:uid="{00000000-0005-0000-0000-00006D1F0000}"/>
    <cellStyle name="Normal 9 2 4 2 5 3 2" xfId="15867" xr:uid="{827224A9-889D-47CF-B9F1-48FD625E53BA}"/>
    <cellStyle name="Normal 9 2 4 2 5 4" xfId="11650" xr:uid="{19CC4C3D-5CC9-4777-95E4-A93ABA52A053}"/>
    <cellStyle name="Normal 9 2 4 2 6" xfId="2671" xr:uid="{00000000-0005-0000-0000-00006E1F0000}"/>
    <cellStyle name="Normal 9 2 4 2 6 2" xfId="6954" xr:uid="{00000000-0005-0000-0000-00006F1F0000}"/>
    <cellStyle name="Normal 9 2 4 2 6 2 2" xfId="16280" xr:uid="{23A87805-1DEC-439A-B04C-E29B2C250E6F}"/>
    <cellStyle name="Normal 9 2 4 2 6 3" xfId="12063" xr:uid="{6112FA83-7557-4FC9-BD8D-A2A65503F63A}"/>
    <cellStyle name="Normal 9 2 4 2 7" xfId="4889" xr:uid="{00000000-0005-0000-0000-0000701F0000}"/>
    <cellStyle name="Normal 9 2 4 2 7 2" xfId="14215" xr:uid="{90CA88A2-1CD8-43B3-989E-59D2D03AA9F6}"/>
    <cellStyle name="Normal 9 2 4 2 8" xfId="9064" xr:uid="{7D4090C3-C767-4FFF-8A1F-282B2C8BAE68}"/>
    <cellStyle name="Normal 9 2 4 2 8 2" xfId="18387" xr:uid="{6C68F490-9846-4F04-AD3D-783A8B0F17E5}"/>
    <cellStyle name="Normal 9 2 4 2 9" xfId="9998" xr:uid="{B356CAA5-ECF4-48C8-9666-FC391E81B7FA}"/>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D1180071-F11D-4C0E-8E70-34A61BE9535A}"/>
    <cellStyle name="Normal 9 2 4 3 2 3" xfId="12555" xr:uid="{6CBC6D82-6A2C-485B-BFE7-0E02294F3475}"/>
    <cellStyle name="Normal 9 2 4 3 3" xfId="5301" xr:uid="{00000000-0005-0000-0000-0000741F0000}"/>
    <cellStyle name="Normal 9 2 4 3 3 2" xfId="14627" xr:uid="{58BED0EC-C96D-48C5-A5F0-A5DC7A23CC47}"/>
    <cellStyle name="Normal 9 2 4 3 4" xfId="9282" xr:uid="{2471E5AC-3D06-4E90-9462-C54FACA9B22B}"/>
    <cellStyle name="Normal 9 2 4 3 4 2" xfId="18595" xr:uid="{96DDFB7C-7E83-4DA9-95AC-9B939BC39029}"/>
    <cellStyle name="Normal 9 2 4 3 5" xfId="10410" xr:uid="{59558588-ADDA-4BE5-B4CF-A784379E742B}"/>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9519E8B2-BA44-4251-AEEB-AD5C20B1270B}"/>
    <cellStyle name="Normal 9 2 4 4 2 3" xfId="12968" xr:uid="{B6738C93-17CE-4623-ACDC-61B0EF32D68D}"/>
    <cellStyle name="Normal 9 2 4 4 3" xfId="5714" xr:uid="{00000000-0005-0000-0000-0000781F0000}"/>
    <cellStyle name="Normal 9 2 4 4 3 2" xfId="15040" xr:uid="{52188573-7CA7-4A15-A6D7-ECCFB2F4A179}"/>
    <cellStyle name="Normal 9 2 4 4 4" xfId="10823" xr:uid="{81587DF2-35B0-4548-B649-517B61B2E307}"/>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9D32E82F-AC17-4E2A-A989-24CC9779BE48}"/>
    <cellStyle name="Normal 9 2 4 5 2 3" xfId="13381" xr:uid="{D4F73F0F-F6C3-468C-9205-B48F1A196106}"/>
    <cellStyle name="Normal 9 2 4 5 3" xfId="6127" xr:uid="{00000000-0005-0000-0000-00007C1F0000}"/>
    <cellStyle name="Normal 9 2 4 5 3 2" xfId="15453" xr:uid="{0F25326B-309E-44CC-AA88-9313F37D1DC8}"/>
    <cellStyle name="Normal 9 2 4 5 4" xfId="11236" xr:uid="{882B7A27-6860-4CD7-84AB-E98F7C8A398B}"/>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46585260-9D94-4660-AD9D-1531F0254ABA}"/>
    <cellStyle name="Normal 9 2 4 6 2 3" xfId="13794" xr:uid="{2D75CC8C-C409-421F-8089-7BFA5C72EC86}"/>
    <cellStyle name="Normal 9 2 4 6 3" xfId="6540" xr:uid="{00000000-0005-0000-0000-0000801F0000}"/>
    <cellStyle name="Normal 9 2 4 6 3 2" xfId="15866" xr:uid="{A2050D57-54B3-4398-94E9-4B94FDA4DA09}"/>
    <cellStyle name="Normal 9 2 4 6 4" xfId="11649" xr:uid="{BE75290B-C431-4EC2-9FAA-1F5A777B5E58}"/>
    <cellStyle name="Normal 9 2 4 7" xfId="2670" xr:uid="{00000000-0005-0000-0000-0000811F0000}"/>
    <cellStyle name="Normal 9 2 4 7 2" xfId="6953" xr:uid="{00000000-0005-0000-0000-0000821F0000}"/>
    <cellStyle name="Normal 9 2 4 7 2 2" xfId="16279" xr:uid="{C84DDE98-1CA0-4271-9687-2BE615DB0777}"/>
    <cellStyle name="Normal 9 2 4 7 3" xfId="12062" xr:uid="{50BA8C2C-DDA1-4D5E-A569-B9F460B0AB0E}"/>
    <cellStyle name="Normal 9 2 4 8" xfId="4888" xr:uid="{00000000-0005-0000-0000-0000831F0000}"/>
    <cellStyle name="Normal 9 2 4 8 2" xfId="14214" xr:uid="{6F67551E-2DF6-4DFC-9B4A-36D9FB842164}"/>
    <cellStyle name="Normal 9 2 4 9" xfId="8857" xr:uid="{D785C0E6-B403-4CCC-AB0B-78E822EF1E40}"/>
    <cellStyle name="Normal 9 2 4 9 2" xfId="18180" xr:uid="{8B1CEB3E-A5FB-4E6C-8E0F-5DFE1C78ACB2}"/>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17A55424-BBA2-4A48-AE47-89575BE62156}"/>
    <cellStyle name="Normal 9 2 5 2 2 3" xfId="12557" xr:uid="{DCE6266D-BD19-48A7-90A8-F74674B03DAA}"/>
    <cellStyle name="Normal 9 2 5 2 3" xfId="5303" xr:uid="{00000000-0005-0000-0000-0000881F0000}"/>
    <cellStyle name="Normal 9 2 5 2 3 2" xfId="14629" xr:uid="{BA4390D5-53CA-421F-A224-FF9C6912819E}"/>
    <cellStyle name="Normal 9 2 5 2 4" xfId="9398" xr:uid="{5B2A416E-986C-4898-8893-9EAFDDDBCDD4}"/>
    <cellStyle name="Normal 9 2 5 2 4 2" xfId="18711" xr:uid="{D76B8399-B216-4652-A22F-10DC54A64F74}"/>
    <cellStyle name="Normal 9 2 5 2 5" xfId="10412" xr:uid="{6014CF8A-5911-4594-BF81-27EE34EE6FC1}"/>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409709C2-6B66-4F8E-995A-E0FAE9C7DAD0}"/>
    <cellStyle name="Normal 9 2 5 3 2 3" xfId="12970" xr:uid="{7A683C1B-33E0-4F52-9ED0-F2BC52CFB67F}"/>
    <cellStyle name="Normal 9 2 5 3 3" xfId="5716" xr:uid="{00000000-0005-0000-0000-00008C1F0000}"/>
    <cellStyle name="Normal 9 2 5 3 3 2" xfId="15042" xr:uid="{2E0E7577-93A2-46D8-B81C-6B8361BFFE8A}"/>
    <cellStyle name="Normal 9 2 5 3 4" xfId="10825" xr:uid="{0CF833EA-5505-4E81-AC15-47A82990BB32}"/>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41F0EFE7-BA65-4070-813D-4AB0773456BA}"/>
    <cellStyle name="Normal 9 2 5 4 2 3" xfId="13383" xr:uid="{9B5A3F68-17A1-468E-98B9-5521F2101898}"/>
    <cellStyle name="Normal 9 2 5 4 3" xfId="6129" xr:uid="{00000000-0005-0000-0000-0000901F0000}"/>
    <cellStyle name="Normal 9 2 5 4 3 2" xfId="15455" xr:uid="{0073EFD3-9B62-4F11-8DFC-962B7343A2E8}"/>
    <cellStyle name="Normal 9 2 5 4 4" xfId="11238" xr:uid="{2F01DB2C-D55B-48CA-809E-0AC34C72E2F7}"/>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8C45DF31-1560-49FB-885C-AF1A6D5828E7}"/>
    <cellStyle name="Normal 9 2 5 5 2 3" xfId="13796" xr:uid="{7B378F14-A1B4-4302-8593-CFEE29BF4862}"/>
    <cellStyle name="Normal 9 2 5 5 3" xfId="6542" xr:uid="{00000000-0005-0000-0000-0000941F0000}"/>
    <cellStyle name="Normal 9 2 5 5 3 2" xfId="15868" xr:uid="{B0B7FF15-2C2C-4361-A399-366C6483A7A4}"/>
    <cellStyle name="Normal 9 2 5 5 4" xfId="11651" xr:uid="{D40B38A5-059B-4361-AFDA-9D13F7F8930D}"/>
    <cellStyle name="Normal 9 2 5 6" xfId="2672" xr:uid="{00000000-0005-0000-0000-0000951F0000}"/>
    <cellStyle name="Normal 9 2 5 6 2" xfId="6955" xr:uid="{00000000-0005-0000-0000-0000961F0000}"/>
    <cellStyle name="Normal 9 2 5 6 2 2" xfId="16281" xr:uid="{75C025FE-4152-43FA-80CF-5A6A3DAE34B7}"/>
    <cellStyle name="Normal 9 2 5 6 3" xfId="12064" xr:uid="{A64FEF49-E637-49C6-9361-3491EAB4FAB4}"/>
    <cellStyle name="Normal 9 2 5 7" xfId="4890" xr:uid="{00000000-0005-0000-0000-0000971F0000}"/>
    <cellStyle name="Normal 9 2 5 7 2" xfId="14216" xr:uid="{C8A2590D-D3FC-49D8-B1E9-BB07C67FEEA7}"/>
    <cellStyle name="Normal 9 2 5 8" xfId="8973" xr:uid="{BA9464C2-72F7-4B38-B1BD-6986FFA433D9}"/>
    <cellStyle name="Normal 9 2 5 8 2" xfId="18296" xr:uid="{AFB84A63-3757-4C39-B63D-53CC1DE4ECA8}"/>
    <cellStyle name="Normal 9 2 5 9" xfId="9999" xr:uid="{FCF38BC2-EBB0-46DD-8FF4-A277A28D8EC0}"/>
    <cellStyle name="Normal 9 2 6" xfId="978" xr:uid="{00000000-0005-0000-0000-0000981F0000}"/>
    <cellStyle name="Normal 9 2 6 2" xfId="3211" xr:uid="{00000000-0005-0000-0000-0000991F0000}"/>
    <cellStyle name="Normal 9 2 6 2 2" xfId="7433" xr:uid="{00000000-0005-0000-0000-00009A1F0000}"/>
    <cellStyle name="Normal 9 2 6 2 2 2" xfId="16759" xr:uid="{850244BD-C267-4BAA-ADB6-51F19D14E8A7}"/>
    <cellStyle name="Normal 9 2 6 2 3" xfId="12542" xr:uid="{98D4104C-AE2D-4D16-9D68-1EED09B59670}"/>
    <cellStyle name="Normal 9 2 6 3" xfId="5288" xr:uid="{00000000-0005-0000-0000-00009B1F0000}"/>
    <cellStyle name="Normal 9 2 6 3 2" xfId="14614" xr:uid="{DFC49F84-D945-4509-8802-F7557029F285}"/>
    <cellStyle name="Normal 9 2 6 4" xfId="9176" xr:uid="{F3933A08-5B20-47C9-B0FC-7B73F4B0BA7D}"/>
    <cellStyle name="Normal 9 2 6 4 2" xfId="18492" xr:uid="{41FA7224-BA39-4682-97F7-F3DD17F20735}"/>
    <cellStyle name="Normal 9 2 6 5" xfId="10397" xr:uid="{1F6A5E36-C9AD-457D-ACC2-7A8F514318CA}"/>
    <cellStyle name="Normal 9 2 7" xfId="1394" xr:uid="{00000000-0005-0000-0000-00009C1F0000}"/>
    <cellStyle name="Normal 9 2 7 2" xfId="3624" xr:uid="{00000000-0005-0000-0000-00009D1F0000}"/>
    <cellStyle name="Normal 9 2 7 2 2" xfId="7846" xr:uid="{00000000-0005-0000-0000-00009E1F0000}"/>
    <cellStyle name="Normal 9 2 7 2 2 2" xfId="17172" xr:uid="{09AA069A-D885-465B-90E5-FCAA911FDD2C}"/>
    <cellStyle name="Normal 9 2 7 2 3" xfId="12955" xr:uid="{7B506394-FCAD-4F75-8929-EBDF645340FF}"/>
    <cellStyle name="Normal 9 2 7 3" xfId="5701" xr:uid="{00000000-0005-0000-0000-00009F1F0000}"/>
    <cellStyle name="Normal 9 2 7 3 2" xfId="15027" xr:uid="{1E268316-1D60-46A7-9A68-7F7FE3A37D00}"/>
    <cellStyle name="Normal 9 2 7 4" xfId="10810" xr:uid="{54750A84-FE6F-4269-BDD1-E26C617C9030}"/>
    <cellStyle name="Normal 9 2 8" xfId="1807" xr:uid="{00000000-0005-0000-0000-0000A01F0000}"/>
    <cellStyle name="Normal 9 2 8 2" xfId="4037" xr:uid="{00000000-0005-0000-0000-0000A11F0000}"/>
    <cellStyle name="Normal 9 2 8 2 2" xfId="8259" xr:uid="{00000000-0005-0000-0000-0000A21F0000}"/>
    <cellStyle name="Normal 9 2 8 2 2 2" xfId="17585" xr:uid="{0989CC3F-B94C-4CA4-8CF4-1B47E43E85E9}"/>
    <cellStyle name="Normal 9 2 8 2 3" xfId="13368" xr:uid="{51C8BEA1-D8F3-4DCF-8683-365F03BC65DA}"/>
    <cellStyle name="Normal 9 2 8 3" xfId="6114" xr:uid="{00000000-0005-0000-0000-0000A31F0000}"/>
    <cellStyle name="Normal 9 2 8 3 2" xfId="15440" xr:uid="{7AD57227-3077-4553-9F4D-EACBA068B2E5}"/>
    <cellStyle name="Normal 9 2 8 4" xfId="11223" xr:uid="{850F3AA0-04DF-44EB-A2D7-1A726F9286AC}"/>
    <cellStyle name="Normal 9 2 9" xfId="2221" xr:uid="{00000000-0005-0000-0000-0000A41F0000}"/>
    <cellStyle name="Normal 9 2 9 2" xfId="4450" xr:uid="{00000000-0005-0000-0000-0000A51F0000}"/>
    <cellStyle name="Normal 9 2 9 2 2" xfId="8672" xr:uid="{00000000-0005-0000-0000-0000A61F0000}"/>
    <cellStyle name="Normal 9 2 9 2 2 2" xfId="17998" xr:uid="{198DD16A-A0B8-4A2E-B2EF-9EDCFB0B18B3}"/>
    <cellStyle name="Normal 9 2 9 2 3" xfId="13781" xr:uid="{E7EDB33D-1F70-4E06-A6C6-3ECC672F6673}"/>
    <cellStyle name="Normal 9 2 9 3" xfId="6527" xr:uid="{00000000-0005-0000-0000-0000A71F0000}"/>
    <cellStyle name="Normal 9 2 9 3 2" xfId="15853" xr:uid="{F5ECE7D1-E0AC-4D32-B41B-9EDE0D9AFEAD}"/>
    <cellStyle name="Normal 9 2 9 4" xfId="11636" xr:uid="{3BDA9403-DBF1-4238-9C6B-9AAE2C04D91E}"/>
    <cellStyle name="Normal 9 3" xfId="527" xr:uid="{00000000-0005-0000-0000-0000A81F0000}"/>
    <cellStyle name="Normal 9 3 10" xfId="4891" xr:uid="{00000000-0005-0000-0000-0000A91F0000}"/>
    <cellStyle name="Normal 9 3 10 2" xfId="14217" xr:uid="{166456CA-C557-4DE3-9C77-B78CFFC7AB20}"/>
    <cellStyle name="Normal 9 3 11" xfId="8777" xr:uid="{1F3D7E21-FC22-4F0C-9371-3D8250746BB7}"/>
    <cellStyle name="Normal 9 3 11 2" xfId="18100" xr:uid="{D9D7F180-544D-4C71-9D67-065237CB6272}"/>
    <cellStyle name="Normal 9 3 12" xfId="10000" xr:uid="{2E2B9FBD-949B-4B2F-A760-0DE9120DD5B2}"/>
    <cellStyle name="Normal 9 3 2" xfId="528" xr:uid="{00000000-0005-0000-0000-0000AA1F0000}"/>
    <cellStyle name="Normal 9 3 2 10" xfId="8840" xr:uid="{94797BE2-1721-4871-A768-79D4D45F48BB}"/>
    <cellStyle name="Normal 9 3 2 10 2" xfId="18163" xr:uid="{BBFC3AFC-AE89-4AFC-99A9-F71FD443E4E2}"/>
    <cellStyle name="Normal 9 3 2 11" xfId="10001" xr:uid="{7BCABE66-11C4-430F-81C2-9A87F052EA8E}"/>
    <cellStyle name="Normal 9 3 2 2" xfId="529" xr:uid="{00000000-0005-0000-0000-0000AB1F0000}"/>
    <cellStyle name="Normal 9 3 2 2 10" xfId="10002" xr:uid="{998726A7-6EC6-4ED1-BCC2-3B87F9EE3193}"/>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302DD1B7-281A-4423-B717-42E1F4433067}"/>
    <cellStyle name="Normal 9 3 2 2 2 2 2 3" xfId="12561" xr:uid="{C12CA150-7816-4D01-A8AA-857F7CCFAA7C}"/>
    <cellStyle name="Normal 9 3 2 2 2 2 3" xfId="5307" xr:uid="{00000000-0005-0000-0000-0000B01F0000}"/>
    <cellStyle name="Normal 9 3 2 2 2 2 3 2" xfId="14633" xr:uid="{7D35C468-0650-4065-8CBE-C6BB839D4895}"/>
    <cellStyle name="Normal 9 3 2 2 2 2 4" xfId="9575" xr:uid="{DA05DE06-1987-4B8E-8439-C692853FF296}"/>
    <cellStyle name="Normal 9 3 2 2 2 2 4 2" xfId="18888" xr:uid="{6FBBEB69-0F8F-4FC9-A3D1-0655F6CA428D}"/>
    <cellStyle name="Normal 9 3 2 2 2 2 5" xfId="10416" xr:uid="{9141094E-425A-476C-907A-1C356F42BF11}"/>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46EBDA6B-56AF-4CFE-BF31-0BA966B6D4C8}"/>
    <cellStyle name="Normal 9 3 2 2 2 3 2 3" xfId="12974" xr:uid="{22455481-25FF-4CAB-8D22-766975A79C8A}"/>
    <cellStyle name="Normal 9 3 2 2 2 3 3" xfId="5720" xr:uid="{00000000-0005-0000-0000-0000B41F0000}"/>
    <cellStyle name="Normal 9 3 2 2 2 3 3 2" xfId="15046" xr:uid="{C24FC160-1E9E-40F6-9A75-6438D3494844}"/>
    <cellStyle name="Normal 9 3 2 2 2 3 4" xfId="10829" xr:uid="{27EFB89D-963C-4A78-B626-384AFF00043D}"/>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3A7721DA-7D30-4098-94D3-4EDC4B0F1689}"/>
    <cellStyle name="Normal 9 3 2 2 2 4 2 3" xfId="13387" xr:uid="{2CC1B249-981B-4037-BF98-9CCE8011DD94}"/>
    <cellStyle name="Normal 9 3 2 2 2 4 3" xfId="6133" xr:uid="{00000000-0005-0000-0000-0000B81F0000}"/>
    <cellStyle name="Normal 9 3 2 2 2 4 3 2" xfId="15459" xr:uid="{AA4006F2-5C40-4D4E-9199-1B877B57EA3E}"/>
    <cellStyle name="Normal 9 3 2 2 2 4 4" xfId="11242" xr:uid="{A9C9382F-A2BC-4BC8-AE2C-AC9517844998}"/>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75018814-A38E-442A-8C0A-F9FE7A629153}"/>
    <cellStyle name="Normal 9 3 2 2 2 5 2 3" xfId="13800" xr:uid="{18CFDAB9-9399-43C0-8C50-4D4EC3E68CF1}"/>
    <cellStyle name="Normal 9 3 2 2 2 5 3" xfId="6546" xr:uid="{00000000-0005-0000-0000-0000BC1F0000}"/>
    <cellStyle name="Normal 9 3 2 2 2 5 3 2" xfId="15872" xr:uid="{46D05137-44E2-4148-99D7-1DB850C4909F}"/>
    <cellStyle name="Normal 9 3 2 2 2 5 4" xfId="11655" xr:uid="{9E32B925-F7AB-46BE-A733-C09D201A7FF8}"/>
    <cellStyle name="Normal 9 3 2 2 2 6" xfId="2676" xr:uid="{00000000-0005-0000-0000-0000BD1F0000}"/>
    <cellStyle name="Normal 9 3 2 2 2 6 2" xfId="6959" xr:uid="{00000000-0005-0000-0000-0000BE1F0000}"/>
    <cellStyle name="Normal 9 3 2 2 2 6 2 2" xfId="16285" xr:uid="{87851CA3-2C42-4085-84CC-895FB73A089B}"/>
    <cellStyle name="Normal 9 3 2 2 2 6 3" xfId="12068" xr:uid="{2C6B86A6-411A-42C0-A3FE-A7E2AEB74A21}"/>
    <cellStyle name="Normal 9 3 2 2 2 7" xfId="4894" xr:uid="{00000000-0005-0000-0000-0000BF1F0000}"/>
    <cellStyle name="Normal 9 3 2 2 2 7 2" xfId="14220" xr:uid="{6259647B-D7F2-444C-AD0B-799F989E9016}"/>
    <cellStyle name="Normal 9 3 2 2 2 8" xfId="9150" xr:uid="{F54F74BE-A583-4C94-A198-8E0D27AD7F4F}"/>
    <cellStyle name="Normal 9 3 2 2 2 8 2" xfId="18473" xr:uid="{B9B3A462-9A18-40D1-BFAB-55A909625563}"/>
    <cellStyle name="Normal 9 3 2 2 2 9" xfId="10003" xr:uid="{95E963D5-79E0-4FFC-9E15-F750E04D79A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76E1634C-E19D-4BFA-8B0B-850A0B0FF43A}"/>
    <cellStyle name="Normal 9 3 2 2 3 2 3" xfId="12560" xr:uid="{0319B324-D6D1-49B8-B20E-7711A84A6B75}"/>
    <cellStyle name="Normal 9 3 2 2 3 3" xfId="5306" xr:uid="{00000000-0005-0000-0000-0000C31F0000}"/>
    <cellStyle name="Normal 9 3 2 2 3 3 2" xfId="14632" xr:uid="{00C73A97-8ABE-4D54-9694-1E90BD0DE925}"/>
    <cellStyle name="Normal 9 3 2 2 3 4" xfId="9368" xr:uid="{B3189122-1774-442D-BD5B-8DA329618536}"/>
    <cellStyle name="Normal 9 3 2 2 3 4 2" xfId="18681" xr:uid="{9F6C252A-4BC5-4EE0-8B43-772CA69D526A}"/>
    <cellStyle name="Normal 9 3 2 2 3 5" xfId="10415" xr:uid="{BD979241-08EF-43C6-8C20-0DBD17938B48}"/>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0C92B775-3DD0-4377-9248-8C4A72C3BDC5}"/>
    <cellStyle name="Normal 9 3 2 2 4 2 3" xfId="12973" xr:uid="{3A54212E-3BCC-4AAE-99C8-0225B7E5EFB8}"/>
    <cellStyle name="Normal 9 3 2 2 4 3" xfId="5719" xr:uid="{00000000-0005-0000-0000-0000C71F0000}"/>
    <cellStyle name="Normal 9 3 2 2 4 3 2" xfId="15045" xr:uid="{6FF90E32-D474-4867-82E8-9CE842B85D9C}"/>
    <cellStyle name="Normal 9 3 2 2 4 4" xfId="10828" xr:uid="{723463AA-345B-4D15-A329-74AD20BDD388}"/>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86AFE5A5-D783-49EE-9FE6-D1DC0241848E}"/>
    <cellStyle name="Normal 9 3 2 2 5 2 3" xfId="13386" xr:uid="{D61EEE0A-4ED5-44D6-B221-093E3E8797EF}"/>
    <cellStyle name="Normal 9 3 2 2 5 3" xfId="6132" xr:uid="{00000000-0005-0000-0000-0000CB1F0000}"/>
    <cellStyle name="Normal 9 3 2 2 5 3 2" xfId="15458" xr:uid="{8FE0C4A7-7891-47A9-8671-F52520F784BB}"/>
    <cellStyle name="Normal 9 3 2 2 5 4" xfId="11241" xr:uid="{F98EDBEF-EAB5-492C-93C8-29C049C0BFC8}"/>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894AF8F6-5986-4678-B7FB-171388D2BDF0}"/>
    <cellStyle name="Normal 9 3 2 2 6 2 3" xfId="13799" xr:uid="{316ED0CD-598E-4C4F-A80A-279F9DE7333C}"/>
    <cellStyle name="Normal 9 3 2 2 6 3" xfId="6545" xr:uid="{00000000-0005-0000-0000-0000CF1F0000}"/>
    <cellStyle name="Normal 9 3 2 2 6 3 2" xfId="15871" xr:uid="{A152DB6B-735F-4FE0-B59C-98039B11F113}"/>
    <cellStyle name="Normal 9 3 2 2 6 4" xfId="11654" xr:uid="{5F2B181B-41C1-481E-8B70-F19F28AACDF4}"/>
    <cellStyle name="Normal 9 3 2 2 7" xfId="2675" xr:uid="{00000000-0005-0000-0000-0000D01F0000}"/>
    <cellStyle name="Normal 9 3 2 2 7 2" xfId="6958" xr:uid="{00000000-0005-0000-0000-0000D11F0000}"/>
    <cellStyle name="Normal 9 3 2 2 7 2 2" xfId="16284" xr:uid="{436F9793-C591-4BC5-B50F-16F629977036}"/>
    <cellStyle name="Normal 9 3 2 2 7 3" xfId="12067" xr:uid="{F6AFFFA8-5BCB-43AB-AA37-9A8B86BD8530}"/>
    <cellStyle name="Normal 9 3 2 2 8" xfId="4893" xr:uid="{00000000-0005-0000-0000-0000D21F0000}"/>
    <cellStyle name="Normal 9 3 2 2 8 2" xfId="14219" xr:uid="{8582A77B-F1A5-4A73-AEEB-73F8A44C98E7}"/>
    <cellStyle name="Normal 9 3 2 2 9" xfId="8943" xr:uid="{1E59706A-169E-45B8-A6E4-1A0514B9DDBD}"/>
    <cellStyle name="Normal 9 3 2 2 9 2" xfId="18266" xr:uid="{167525B7-E2F3-4C96-854C-D4CF3CABE078}"/>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1E6F5FFC-068F-4988-8790-DDFC404BB38F}"/>
    <cellStyle name="Normal 9 3 2 3 2 2 3" xfId="12562" xr:uid="{784AD267-4B8D-439B-B75A-088DECBB6984}"/>
    <cellStyle name="Normal 9 3 2 3 2 3" xfId="5308" xr:uid="{00000000-0005-0000-0000-0000D71F0000}"/>
    <cellStyle name="Normal 9 3 2 3 2 3 2" xfId="14634" xr:uid="{97932BED-CE89-417A-ABCE-576B5F513867}"/>
    <cellStyle name="Normal 9 3 2 3 2 4" xfId="9472" xr:uid="{427A8E71-9BC4-47C0-A855-6886AF96C97E}"/>
    <cellStyle name="Normal 9 3 2 3 2 4 2" xfId="18785" xr:uid="{3BE90025-298E-4F2A-9FC7-8671F4323191}"/>
    <cellStyle name="Normal 9 3 2 3 2 5" xfId="10417" xr:uid="{0E5C04C7-587D-47D0-8218-A562CC68DE9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87A12289-EFFB-4EEC-B070-D7A40E2E67A4}"/>
    <cellStyle name="Normal 9 3 2 3 3 2 3" xfId="12975" xr:uid="{28DDB0A8-C7F2-409B-8314-BBF87F4BD816}"/>
    <cellStyle name="Normal 9 3 2 3 3 3" xfId="5721" xr:uid="{00000000-0005-0000-0000-0000DB1F0000}"/>
    <cellStyle name="Normal 9 3 2 3 3 3 2" xfId="15047" xr:uid="{EE590432-9F63-4F39-9CC6-0D41A3CB91A2}"/>
    <cellStyle name="Normal 9 3 2 3 3 4" xfId="10830" xr:uid="{01435296-B75F-46F1-8C8E-D5095F7D473E}"/>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A3D2AA7C-2A68-4F12-B4EE-0E648437D0AE}"/>
    <cellStyle name="Normal 9 3 2 3 4 2 3" xfId="13388" xr:uid="{2DD20363-23A6-4D68-A5A6-3F0F1FD37158}"/>
    <cellStyle name="Normal 9 3 2 3 4 3" xfId="6134" xr:uid="{00000000-0005-0000-0000-0000DF1F0000}"/>
    <cellStyle name="Normal 9 3 2 3 4 3 2" xfId="15460" xr:uid="{AC8F64F2-DD25-4E88-9FF4-E1703ED74552}"/>
    <cellStyle name="Normal 9 3 2 3 4 4" xfId="11243" xr:uid="{5F11A77F-6B11-43C7-86AC-B1F218D8B414}"/>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80CF1C87-EC90-4441-A008-E304EF4D0509}"/>
    <cellStyle name="Normal 9 3 2 3 5 2 3" xfId="13801" xr:uid="{CEF04303-AABE-4A6F-BEAB-6EA28EB416CE}"/>
    <cellStyle name="Normal 9 3 2 3 5 3" xfId="6547" xr:uid="{00000000-0005-0000-0000-0000E31F0000}"/>
    <cellStyle name="Normal 9 3 2 3 5 3 2" xfId="15873" xr:uid="{C12A0063-50EF-44F1-960F-60EAEBDE4840}"/>
    <cellStyle name="Normal 9 3 2 3 5 4" xfId="11656" xr:uid="{5A2F5F62-9388-4553-A57F-2D1A11C36644}"/>
    <cellStyle name="Normal 9 3 2 3 6" xfId="2677" xr:uid="{00000000-0005-0000-0000-0000E41F0000}"/>
    <cellStyle name="Normal 9 3 2 3 6 2" xfId="6960" xr:uid="{00000000-0005-0000-0000-0000E51F0000}"/>
    <cellStyle name="Normal 9 3 2 3 6 2 2" xfId="16286" xr:uid="{BDE770E0-3E8D-4CFB-A52B-AD7AFD985471}"/>
    <cellStyle name="Normal 9 3 2 3 6 3" xfId="12069" xr:uid="{B7C68FF1-198A-4A0F-B8F7-6A86DF74A3D3}"/>
    <cellStyle name="Normal 9 3 2 3 7" xfId="4895" xr:uid="{00000000-0005-0000-0000-0000E61F0000}"/>
    <cellStyle name="Normal 9 3 2 3 7 2" xfId="14221" xr:uid="{B76E8271-526A-4B20-84DE-91EF3D1D2765}"/>
    <cellStyle name="Normal 9 3 2 3 8" xfId="9047" xr:uid="{4CBBBE80-D24B-484D-910E-0072EA0E95DD}"/>
    <cellStyle name="Normal 9 3 2 3 8 2" xfId="18370" xr:uid="{F4BE8CE5-DD7F-4EE1-8F59-AE730F8C0854}"/>
    <cellStyle name="Normal 9 3 2 3 9" xfId="10004" xr:uid="{519BE5A8-E996-42B9-9EA9-9C8BFE6E49C3}"/>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F072E5AE-F7C3-49B2-A81E-24DF7DD00F30}"/>
    <cellStyle name="Normal 9 3 2 4 2 3" xfId="12559" xr:uid="{49D7E9F3-2F7B-46BF-BCE8-534E9D06F29A}"/>
    <cellStyle name="Normal 9 3 2 4 3" xfId="5305" xr:uid="{00000000-0005-0000-0000-0000EA1F0000}"/>
    <cellStyle name="Normal 9 3 2 4 3 2" xfId="14631" xr:uid="{CB100E78-DFF4-4196-A343-BB5F694815FC}"/>
    <cellStyle name="Normal 9 3 2 4 4" xfId="9265" xr:uid="{BF00A9B8-67BA-48F6-8D48-0E4380D60577}"/>
    <cellStyle name="Normal 9 3 2 4 4 2" xfId="18578" xr:uid="{0213256B-D28B-48B5-B6C7-E0E5EB8F7D0F}"/>
    <cellStyle name="Normal 9 3 2 4 5" xfId="10414" xr:uid="{0539AD1F-9D75-414D-B0F5-E3C476421DAD}"/>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9D92AE5F-D6C9-4F0E-80AC-6555D07C769E}"/>
    <cellStyle name="Normal 9 3 2 5 2 3" xfId="12972" xr:uid="{7CF26836-CD78-40B1-BA46-96BCC3DD2CE9}"/>
    <cellStyle name="Normal 9 3 2 5 3" xfId="5718" xr:uid="{00000000-0005-0000-0000-0000EE1F0000}"/>
    <cellStyle name="Normal 9 3 2 5 3 2" xfId="15044" xr:uid="{AF4DFF51-6C80-423E-BD9B-AEBA892F4923}"/>
    <cellStyle name="Normal 9 3 2 5 4" xfId="10827" xr:uid="{330C8AE2-D8ED-4187-9CB5-D7393085D013}"/>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10FFD13E-E1BA-4D63-89B5-FB5A4A315933}"/>
    <cellStyle name="Normal 9 3 2 6 2 3" xfId="13385" xr:uid="{13CF4B44-AA31-4055-B976-73B028CF9E54}"/>
    <cellStyle name="Normal 9 3 2 6 3" xfId="6131" xr:uid="{00000000-0005-0000-0000-0000F21F0000}"/>
    <cellStyle name="Normal 9 3 2 6 3 2" xfId="15457" xr:uid="{506F5193-5CA7-4ED1-B40E-184EE232984A}"/>
    <cellStyle name="Normal 9 3 2 6 4" xfId="11240" xr:uid="{EA34C4BE-8E8D-44A5-8C64-5BFB174E227D}"/>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F2DBAE78-6C31-41A7-B98C-F537E778EC3A}"/>
    <cellStyle name="Normal 9 3 2 7 2 3" xfId="13798" xr:uid="{0443EB2F-6321-4C22-80C7-419E7496FACB}"/>
    <cellStyle name="Normal 9 3 2 7 3" xfId="6544" xr:uid="{00000000-0005-0000-0000-0000F61F0000}"/>
    <cellStyle name="Normal 9 3 2 7 3 2" xfId="15870" xr:uid="{739D3BBF-2F0B-43B6-91BA-72A55C3B5083}"/>
    <cellStyle name="Normal 9 3 2 7 4" xfId="11653" xr:uid="{52146C6B-2A6F-4D53-9EE9-19F929A8E57F}"/>
    <cellStyle name="Normal 9 3 2 8" xfId="2674" xr:uid="{00000000-0005-0000-0000-0000F71F0000}"/>
    <cellStyle name="Normal 9 3 2 8 2" xfId="6957" xr:uid="{00000000-0005-0000-0000-0000F81F0000}"/>
    <cellStyle name="Normal 9 3 2 8 2 2" xfId="16283" xr:uid="{D1382D6A-0A7A-4670-B024-A83F6436C26E}"/>
    <cellStyle name="Normal 9 3 2 8 3" xfId="12066" xr:uid="{3003D920-7217-4C56-8FDF-CD28662C8E55}"/>
    <cellStyle name="Normal 9 3 2 9" xfId="4892" xr:uid="{00000000-0005-0000-0000-0000F91F0000}"/>
    <cellStyle name="Normal 9 3 2 9 2" xfId="14218" xr:uid="{7E1AC13A-A1AD-41EC-9E09-F39EC50A7783}"/>
    <cellStyle name="Normal 9 3 3" xfId="532" xr:uid="{00000000-0005-0000-0000-0000FA1F0000}"/>
    <cellStyle name="Normal 9 3 3 10" xfId="10005" xr:uid="{D48F03E8-5ECF-42DD-8AF0-6F01CD31266D}"/>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0B876267-7081-4120-8867-39BDFD3A7620}"/>
    <cellStyle name="Normal 9 3 3 2 2 2 3" xfId="12564" xr:uid="{7513BE46-0EF4-4BFE-88F1-CC8F2B8088D9}"/>
    <cellStyle name="Normal 9 3 3 2 2 3" xfId="5310" xr:uid="{00000000-0005-0000-0000-0000FF1F0000}"/>
    <cellStyle name="Normal 9 3 3 2 2 3 2" xfId="14636" xr:uid="{1FF92A53-1782-4FE9-A27A-B07C6E2BAF2E}"/>
    <cellStyle name="Normal 9 3 3 2 2 4" xfId="9512" xr:uid="{2D87B26D-94B2-43FF-B3AD-59DF0A117D21}"/>
    <cellStyle name="Normal 9 3 3 2 2 4 2" xfId="18825" xr:uid="{7894E914-6BF6-48F4-A705-D6BDC741E5C8}"/>
    <cellStyle name="Normal 9 3 3 2 2 5" xfId="10419" xr:uid="{4BE25F2A-3D13-4C7E-9899-2B0AA82FE5F5}"/>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EA881175-24BD-472C-A385-4C6E3E30F7E1}"/>
    <cellStyle name="Normal 9 3 3 2 3 2 3" xfId="12977" xr:uid="{B9A5DA3B-6A12-4AA9-93D8-888DF7F35714}"/>
    <cellStyle name="Normal 9 3 3 2 3 3" xfId="5723" xr:uid="{00000000-0005-0000-0000-000003200000}"/>
    <cellStyle name="Normal 9 3 3 2 3 3 2" xfId="15049" xr:uid="{E81DCFA1-8E74-473A-BE62-910C84C7DCD3}"/>
    <cellStyle name="Normal 9 3 3 2 3 4" xfId="10832" xr:uid="{A55BA0A7-1FA8-4AF3-8449-5EFBF0665A2E}"/>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91EB4A9D-862D-4CED-94B2-E25E5F131ED6}"/>
    <cellStyle name="Normal 9 3 3 2 4 2 3" xfId="13390" xr:uid="{3D1ADBD6-B228-4B13-BB76-BD9BCAA652F5}"/>
    <cellStyle name="Normal 9 3 3 2 4 3" xfId="6136" xr:uid="{00000000-0005-0000-0000-000007200000}"/>
    <cellStyle name="Normal 9 3 3 2 4 3 2" xfId="15462" xr:uid="{BC2B29D5-846A-4038-A430-AC492244D96E}"/>
    <cellStyle name="Normal 9 3 3 2 4 4" xfId="11245" xr:uid="{82879FF9-602A-4D74-8FBE-48D4F6DAB0F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2A4E61A0-B206-4B75-8844-7D0EB761E385}"/>
    <cellStyle name="Normal 9 3 3 2 5 2 3" xfId="13803" xr:uid="{459A791A-1F90-475A-B016-7F189996EB6F}"/>
    <cellStyle name="Normal 9 3 3 2 5 3" xfId="6549" xr:uid="{00000000-0005-0000-0000-00000B200000}"/>
    <cellStyle name="Normal 9 3 3 2 5 3 2" xfId="15875" xr:uid="{8F682D4F-A035-4FDD-9529-8E99EC9D7605}"/>
    <cellStyle name="Normal 9 3 3 2 5 4" xfId="11658" xr:uid="{F90DEE66-37A5-41FD-9579-2FEDC2F3A4E8}"/>
    <cellStyle name="Normal 9 3 3 2 6" xfId="2679" xr:uid="{00000000-0005-0000-0000-00000C200000}"/>
    <cellStyle name="Normal 9 3 3 2 6 2" xfId="6962" xr:uid="{00000000-0005-0000-0000-00000D200000}"/>
    <cellStyle name="Normal 9 3 3 2 6 2 2" xfId="16288" xr:uid="{D101AF63-866E-458C-B0DE-8F45AE27B97A}"/>
    <cellStyle name="Normal 9 3 3 2 6 3" xfId="12071" xr:uid="{E5502653-5A86-4CE3-BE01-D8EC32CACDEA}"/>
    <cellStyle name="Normal 9 3 3 2 7" xfId="4897" xr:uid="{00000000-0005-0000-0000-00000E200000}"/>
    <cellStyle name="Normal 9 3 3 2 7 2" xfId="14223" xr:uid="{70EA4377-FFDB-4EFB-9273-F95CD36C3935}"/>
    <cellStyle name="Normal 9 3 3 2 8" xfId="9087" xr:uid="{B1C8DB1F-59B6-4D6A-B3E7-0CFC4D29D9A9}"/>
    <cellStyle name="Normal 9 3 3 2 8 2" xfId="18410" xr:uid="{31CBA3BE-7CEA-4581-8FD6-1F629A40E4E9}"/>
    <cellStyle name="Normal 9 3 3 2 9" xfId="10006" xr:uid="{A22F016A-F1A6-491E-9BF6-2EB28EA47076}"/>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AA0EC429-B89C-4ED3-9FF6-851B73AF58DE}"/>
    <cellStyle name="Normal 9 3 3 3 2 3" xfId="12563" xr:uid="{E5882088-BE5B-4D34-8CED-737723D10741}"/>
    <cellStyle name="Normal 9 3 3 3 3" xfId="5309" xr:uid="{00000000-0005-0000-0000-000012200000}"/>
    <cellStyle name="Normal 9 3 3 3 3 2" xfId="14635" xr:uid="{FEAB1FE3-BED8-4D23-A5CF-21CCE47BBA4D}"/>
    <cellStyle name="Normal 9 3 3 3 4" xfId="9305" xr:uid="{F54F3A88-B268-4905-B4D1-34B996B920C6}"/>
    <cellStyle name="Normal 9 3 3 3 4 2" xfId="18618" xr:uid="{91D8F8EE-2AC4-4EFD-AF5B-2BB87A866E99}"/>
    <cellStyle name="Normal 9 3 3 3 5" xfId="10418" xr:uid="{DB0D970F-0E7F-4DDE-8EDE-77ED9C15A5DD}"/>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FFCF690B-2C29-4306-B62B-FAB5EF2EA81D}"/>
    <cellStyle name="Normal 9 3 3 4 2 3" xfId="12976" xr:uid="{853B881C-87A3-4F3E-B910-A9A48FB17B40}"/>
    <cellStyle name="Normal 9 3 3 4 3" xfId="5722" xr:uid="{00000000-0005-0000-0000-000016200000}"/>
    <cellStyle name="Normal 9 3 3 4 3 2" xfId="15048" xr:uid="{EBB3F495-CB54-4612-A4F7-C5B3040D83BF}"/>
    <cellStyle name="Normal 9 3 3 4 4" xfId="10831" xr:uid="{3293885C-9EDE-434F-B98C-1A747AA01BA4}"/>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D5463343-CD3E-497D-AE1F-02CCD708AB92}"/>
    <cellStyle name="Normal 9 3 3 5 2 3" xfId="13389" xr:uid="{4FA559BC-C5E5-4875-9515-F5DE1D62BD2F}"/>
    <cellStyle name="Normal 9 3 3 5 3" xfId="6135" xr:uid="{00000000-0005-0000-0000-00001A200000}"/>
    <cellStyle name="Normal 9 3 3 5 3 2" xfId="15461" xr:uid="{C4C6372A-5D50-42F7-81D3-D08956799A8B}"/>
    <cellStyle name="Normal 9 3 3 5 4" xfId="11244" xr:uid="{A139D4B0-69A8-4F27-8B4B-0269CC2F0062}"/>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4B290D1B-AFF5-490B-94FB-B0640884F9BF}"/>
    <cellStyle name="Normal 9 3 3 6 2 3" xfId="13802" xr:uid="{B6B25D9A-4DB5-44C8-8141-7E54B629E6C0}"/>
    <cellStyle name="Normal 9 3 3 6 3" xfId="6548" xr:uid="{00000000-0005-0000-0000-00001E200000}"/>
    <cellStyle name="Normal 9 3 3 6 3 2" xfId="15874" xr:uid="{86BBD8F4-6E2B-4CDE-869B-67545A3B8147}"/>
    <cellStyle name="Normal 9 3 3 6 4" xfId="11657" xr:uid="{F798DEC6-C8BB-4F57-AF99-4A8E276704AD}"/>
    <cellStyle name="Normal 9 3 3 7" xfId="2678" xr:uid="{00000000-0005-0000-0000-00001F200000}"/>
    <cellStyle name="Normal 9 3 3 7 2" xfId="6961" xr:uid="{00000000-0005-0000-0000-000020200000}"/>
    <cellStyle name="Normal 9 3 3 7 2 2" xfId="16287" xr:uid="{6E3E023F-28B6-477D-BBD3-74A8D9ED3FA9}"/>
    <cellStyle name="Normal 9 3 3 7 3" xfId="12070" xr:uid="{D60E3CB4-ADE6-410E-A543-ABDCC1D11186}"/>
    <cellStyle name="Normal 9 3 3 8" xfId="4896" xr:uid="{00000000-0005-0000-0000-000021200000}"/>
    <cellStyle name="Normal 9 3 3 8 2" xfId="14222" xr:uid="{EBF0DC00-A67C-41D5-AAA4-469E4944727B}"/>
    <cellStyle name="Normal 9 3 3 9" xfId="8880" xr:uid="{36521590-FD5B-45F7-80A9-41BA557EA820}"/>
    <cellStyle name="Normal 9 3 3 9 2" xfId="18203" xr:uid="{ED023B2D-20FA-4537-880C-15E776DFB603}"/>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683D988F-96FA-4B9A-8F6C-A428681A3340}"/>
    <cellStyle name="Normal 9 3 4 2 2 3" xfId="12565" xr:uid="{E5A5811B-2614-45E6-B24A-BAD3D7A762E8}"/>
    <cellStyle name="Normal 9 3 4 2 3" xfId="5311" xr:uid="{00000000-0005-0000-0000-000026200000}"/>
    <cellStyle name="Normal 9 3 4 2 3 2" xfId="14637" xr:uid="{7CD8A4A5-78F0-49AD-A603-A64AC4D0D9EC}"/>
    <cellStyle name="Normal 9 3 4 2 4" xfId="9409" xr:uid="{F8EFC02C-357C-44AD-9BF7-6459F3C595DA}"/>
    <cellStyle name="Normal 9 3 4 2 4 2" xfId="18722" xr:uid="{BA2ACFCD-36B4-4EAA-A0A1-31017A6FA816}"/>
    <cellStyle name="Normal 9 3 4 2 5" xfId="10420" xr:uid="{666AAB23-1C6B-4173-965C-E179216BB707}"/>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DF7352D0-83FC-420C-90B8-E2DDBB8DE5B1}"/>
    <cellStyle name="Normal 9 3 4 3 2 3" xfId="12978" xr:uid="{A0BE8494-A4B9-4BBD-B593-E64E9F9E80FC}"/>
    <cellStyle name="Normal 9 3 4 3 3" xfId="5724" xr:uid="{00000000-0005-0000-0000-00002A200000}"/>
    <cellStyle name="Normal 9 3 4 3 3 2" xfId="15050" xr:uid="{3D1BC1B3-D99E-4F5E-9540-74E37C124079}"/>
    <cellStyle name="Normal 9 3 4 3 4" xfId="10833" xr:uid="{E7C612FA-3F18-4699-8FAB-F7B2CAD0FA66}"/>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BE3CB9EA-BDC8-45AB-BF3C-B74C5E661358}"/>
    <cellStyle name="Normal 9 3 4 4 2 3" xfId="13391" xr:uid="{EFA93A00-4703-4948-B2EF-3D7FA6C3A428}"/>
    <cellStyle name="Normal 9 3 4 4 3" xfId="6137" xr:uid="{00000000-0005-0000-0000-00002E200000}"/>
    <cellStyle name="Normal 9 3 4 4 3 2" xfId="15463" xr:uid="{FBFA4C48-8416-4297-B38B-6CD732E9C885}"/>
    <cellStyle name="Normal 9 3 4 4 4" xfId="11246" xr:uid="{FA61AA10-9811-42D5-93F0-7F05460EF5AC}"/>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676D2D46-E188-41F8-B054-D18E514BE9B3}"/>
    <cellStyle name="Normal 9 3 4 5 2 3" xfId="13804" xr:uid="{319FDA53-1DD0-455D-9198-ABA5934E4C4A}"/>
    <cellStyle name="Normal 9 3 4 5 3" xfId="6550" xr:uid="{00000000-0005-0000-0000-000032200000}"/>
    <cellStyle name="Normal 9 3 4 5 3 2" xfId="15876" xr:uid="{5D799AAC-AF68-4FF2-B11D-0B6C3BFBD14D}"/>
    <cellStyle name="Normal 9 3 4 5 4" xfId="11659" xr:uid="{D5533491-AA74-498D-B9F8-E0921DD7404B}"/>
    <cellStyle name="Normal 9 3 4 6" xfId="2680" xr:uid="{00000000-0005-0000-0000-000033200000}"/>
    <cellStyle name="Normal 9 3 4 6 2" xfId="6963" xr:uid="{00000000-0005-0000-0000-000034200000}"/>
    <cellStyle name="Normal 9 3 4 6 2 2" xfId="16289" xr:uid="{6E091725-8747-455A-B93C-B67965BDF7AB}"/>
    <cellStyle name="Normal 9 3 4 6 3" xfId="12072" xr:uid="{77D775D7-6E6A-49CE-AF28-64DBE530198E}"/>
    <cellStyle name="Normal 9 3 4 7" xfId="4898" xr:uid="{00000000-0005-0000-0000-000035200000}"/>
    <cellStyle name="Normal 9 3 4 7 2" xfId="14224" xr:uid="{BECDC2A5-EF48-4EF8-A7D0-4CFA1DC6A45C}"/>
    <cellStyle name="Normal 9 3 4 8" xfId="8984" xr:uid="{A39B104A-EAEF-4D5B-B504-6104111E924B}"/>
    <cellStyle name="Normal 9 3 4 8 2" xfId="18307" xr:uid="{F86C0E53-182A-4222-BC69-02B08D227C77}"/>
    <cellStyle name="Normal 9 3 4 9" xfId="10007" xr:uid="{557EE2B9-DE4B-46A0-A41F-5F1D1C792D7D}"/>
    <cellStyle name="Normal 9 3 5" xfId="994" xr:uid="{00000000-0005-0000-0000-000036200000}"/>
    <cellStyle name="Normal 9 3 5 2" xfId="3227" xr:uid="{00000000-0005-0000-0000-000037200000}"/>
    <cellStyle name="Normal 9 3 5 2 2" xfId="7449" xr:uid="{00000000-0005-0000-0000-000038200000}"/>
    <cellStyle name="Normal 9 3 5 2 2 2" xfId="16775" xr:uid="{7D16BC94-9703-4C77-8629-7931F82FC6B5}"/>
    <cellStyle name="Normal 9 3 5 2 3" xfId="12558" xr:uid="{8578C1C5-CCC5-407F-84DA-1830CA5BA8A0}"/>
    <cellStyle name="Normal 9 3 5 3" xfId="5304" xr:uid="{00000000-0005-0000-0000-000039200000}"/>
    <cellStyle name="Normal 9 3 5 3 2" xfId="14630" xr:uid="{27D3FBAD-8E09-4E4E-A6A9-BBD89520820A}"/>
    <cellStyle name="Normal 9 3 5 4" xfId="9201" xr:uid="{46D523D7-8DEB-46FB-8F1C-8CE8C2FC3AD3}"/>
    <cellStyle name="Normal 9 3 5 4 2" xfId="18515" xr:uid="{CAB71733-2C5A-4B08-8835-ED98B3887172}"/>
    <cellStyle name="Normal 9 3 5 5" xfId="10413" xr:uid="{7702F1AF-B916-4D9F-9B34-C873F05F9456}"/>
    <cellStyle name="Normal 9 3 6" xfId="1410" xr:uid="{00000000-0005-0000-0000-00003A200000}"/>
    <cellStyle name="Normal 9 3 6 2" xfId="3640" xr:uid="{00000000-0005-0000-0000-00003B200000}"/>
    <cellStyle name="Normal 9 3 6 2 2" xfId="7862" xr:uid="{00000000-0005-0000-0000-00003C200000}"/>
    <cellStyle name="Normal 9 3 6 2 2 2" xfId="17188" xr:uid="{5735ED67-3D4B-4324-B3B5-54C13A984AF6}"/>
    <cellStyle name="Normal 9 3 6 2 3" xfId="12971" xr:uid="{715B039B-6491-416E-9C31-71DAEA983A49}"/>
    <cellStyle name="Normal 9 3 6 3" xfId="5717" xr:uid="{00000000-0005-0000-0000-00003D200000}"/>
    <cellStyle name="Normal 9 3 6 3 2" xfId="15043" xr:uid="{CB2DB3D6-66D1-4F9B-82AB-7F1C0035CF73}"/>
    <cellStyle name="Normal 9 3 6 4" xfId="10826" xr:uid="{683C68A2-ABB8-4517-9EE9-799AFDEFE99E}"/>
    <cellStyle name="Normal 9 3 7" xfId="1823" xr:uid="{00000000-0005-0000-0000-00003E200000}"/>
    <cellStyle name="Normal 9 3 7 2" xfId="4053" xr:uid="{00000000-0005-0000-0000-00003F200000}"/>
    <cellStyle name="Normal 9 3 7 2 2" xfId="8275" xr:uid="{00000000-0005-0000-0000-000040200000}"/>
    <cellStyle name="Normal 9 3 7 2 2 2" xfId="17601" xr:uid="{6F8C4162-E733-4135-8950-D4D254865C25}"/>
    <cellStyle name="Normal 9 3 7 2 3" xfId="13384" xr:uid="{C676D4C1-48E4-457E-8DCD-5E750A58CC90}"/>
    <cellStyle name="Normal 9 3 7 3" xfId="6130" xr:uid="{00000000-0005-0000-0000-000041200000}"/>
    <cellStyle name="Normal 9 3 7 3 2" xfId="15456" xr:uid="{09E4077D-1134-4115-A687-F613C3AC36DF}"/>
    <cellStyle name="Normal 9 3 7 4" xfId="11239" xr:uid="{CF5AB9F8-C94D-4C21-96CB-0353E51DB51A}"/>
    <cellStyle name="Normal 9 3 8" xfId="2237" xr:uid="{00000000-0005-0000-0000-000042200000}"/>
    <cellStyle name="Normal 9 3 8 2" xfId="4466" xr:uid="{00000000-0005-0000-0000-000043200000}"/>
    <cellStyle name="Normal 9 3 8 2 2" xfId="8688" xr:uid="{00000000-0005-0000-0000-000044200000}"/>
    <cellStyle name="Normal 9 3 8 2 2 2" xfId="18014" xr:uid="{282060F6-52DF-4027-9760-78B6577CE366}"/>
    <cellStyle name="Normal 9 3 8 2 3" xfId="13797" xr:uid="{FC747B92-0742-450C-867C-89600BDA9422}"/>
    <cellStyle name="Normal 9 3 8 3" xfId="6543" xr:uid="{00000000-0005-0000-0000-000045200000}"/>
    <cellStyle name="Normal 9 3 8 3 2" xfId="15869" xr:uid="{419290DC-FBB6-4BC6-8A1B-31B82939C73C}"/>
    <cellStyle name="Normal 9 3 8 4" xfId="11652" xr:uid="{F370BD9F-225F-433E-802A-2DB616E2A184}"/>
    <cellStyle name="Normal 9 3 9" xfId="2673" xr:uid="{00000000-0005-0000-0000-000046200000}"/>
    <cellStyle name="Normal 9 3 9 2" xfId="6956" xr:uid="{00000000-0005-0000-0000-000047200000}"/>
    <cellStyle name="Normal 9 3 9 2 2" xfId="16282" xr:uid="{5D6B095C-9770-46E7-B932-789C8A6E57AA}"/>
    <cellStyle name="Normal 9 3 9 3" xfId="12065" xr:uid="{5D66F54F-B3CC-4CAE-B999-43EF6BF0051A}"/>
    <cellStyle name="Normal 9 4" xfId="535" xr:uid="{00000000-0005-0000-0000-000048200000}"/>
    <cellStyle name="Normal 9 4 2" xfId="1002" xr:uid="{00000000-0005-0000-0000-000049200000}"/>
    <cellStyle name="Normal 9 5" xfId="536" xr:uid="{00000000-0005-0000-0000-00004A200000}"/>
    <cellStyle name="Normal 9 5 10" xfId="10008" xr:uid="{3D4D9B6E-1049-41D2-B351-53FAF618C39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71D0CEF8-598A-422F-8369-DEBAFE88BF06}"/>
    <cellStyle name="Normal 9 5 2 2 2 3" xfId="12567" xr:uid="{422FEB70-E8F1-4CDB-A267-6D75206BEE20}"/>
    <cellStyle name="Normal 9 5 2 2 3" xfId="5313" xr:uid="{00000000-0005-0000-0000-00004F200000}"/>
    <cellStyle name="Normal 9 5 2 2 3 2" xfId="14639" xr:uid="{DD186A14-5997-4DB1-9BFB-8660AE17FDC7}"/>
    <cellStyle name="Normal 9 5 2 2 4" xfId="9480" xr:uid="{BC9702BE-C2B3-450A-99DF-6FFE7C7A82FD}"/>
    <cellStyle name="Normal 9 5 2 2 4 2" xfId="18793" xr:uid="{C9A3754D-9480-4701-A694-CF000409C66E}"/>
    <cellStyle name="Normal 9 5 2 2 5" xfId="10422" xr:uid="{3A8B8352-C083-461A-A73E-F6F9F9F47256}"/>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A108F712-AAF2-4F8A-86B3-09042DA77CEC}"/>
    <cellStyle name="Normal 9 5 2 3 2 3" xfId="12980" xr:uid="{DB8F786E-6065-44B1-ACC7-62B0A7C9D466}"/>
    <cellStyle name="Normal 9 5 2 3 3" xfId="5726" xr:uid="{00000000-0005-0000-0000-000053200000}"/>
    <cellStyle name="Normal 9 5 2 3 3 2" xfId="15052" xr:uid="{042DEF90-EB92-4FEE-8296-E4B2FB1DF417}"/>
    <cellStyle name="Normal 9 5 2 3 4" xfId="10835" xr:uid="{AAFCD623-FD82-40B1-8E94-460D3984D76E}"/>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1BD2CA30-72AB-4A3C-8212-4321E8514EEE}"/>
    <cellStyle name="Normal 9 5 2 4 2 3" xfId="13393" xr:uid="{31BDFD5E-D31E-42BD-AE19-71DE3E989FF4}"/>
    <cellStyle name="Normal 9 5 2 4 3" xfId="6139" xr:uid="{00000000-0005-0000-0000-000057200000}"/>
    <cellStyle name="Normal 9 5 2 4 3 2" xfId="15465" xr:uid="{209D7B3F-5FFD-4CEC-8094-B1327D7A61CF}"/>
    <cellStyle name="Normal 9 5 2 4 4" xfId="11248" xr:uid="{6E4CA951-DEF8-488D-8F68-620287CC4A55}"/>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EC8F8ECB-619A-4514-BD14-196CA062B66C}"/>
    <cellStyle name="Normal 9 5 2 5 2 3" xfId="13806" xr:uid="{49F87670-834D-4C55-B68A-FA0A2FB54B06}"/>
    <cellStyle name="Normal 9 5 2 5 3" xfId="6552" xr:uid="{00000000-0005-0000-0000-00005B200000}"/>
    <cellStyle name="Normal 9 5 2 5 3 2" xfId="15878" xr:uid="{AF7AB14F-A185-4A09-A83E-12D3C7D06BD0}"/>
    <cellStyle name="Normal 9 5 2 5 4" xfId="11661" xr:uid="{E1475FF5-B300-4C2E-A0ED-9979A2C4A1FA}"/>
    <cellStyle name="Normal 9 5 2 6" xfId="2682" xr:uid="{00000000-0005-0000-0000-00005C200000}"/>
    <cellStyle name="Normal 9 5 2 6 2" xfId="6965" xr:uid="{00000000-0005-0000-0000-00005D200000}"/>
    <cellStyle name="Normal 9 5 2 6 2 2" xfId="16291" xr:uid="{67807948-7A97-4F27-B399-3E308315574D}"/>
    <cellStyle name="Normal 9 5 2 6 3" xfId="12074" xr:uid="{7A10C3C5-B9B7-4C05-AA75-4FC8EC365D35}"/>
    <cellStyle name="Normal 9 5 2 7" xfId="4900" xr:uid="{00000000-0005-0000-0000-00005E200000}"/>
    <cellStyle name="Normal 9 5 2 7 2" xfId="14226" xr:uid="{7F8E62E6-0A9F-4719-B972-057F3AB91C75}"/>
    <cellStyle name="Normal 9 5 2 8" xfId="9055" xr:uid="{3DD071E2-A4B3-45E3-9F20-3C2D5AEE5CB2}"/>
    <cellStyle name="Normal 9 5 2 8 2" xfId="18378" xr:uid="{0BB7B1AD-DD21-4750-8E65-EF32693D7690}"/>
    <cellStyle name="Normal 9 5 2 9" xfId="10009" xr:uid="{C18732CB-89D0-445E-B6A0-31E00444D8E2}"/>
    <cellStyle name="Normal 9 5 3" xfId="1003" xr:uid="{00000000-0005-0000-0000-00005F200000}"/>
    <cellStyle name="Normal 9 5 3 2" xfId="3235" xr:uid="{00000000-0005-0000-0000-000060200000}"/>
    <cellStyle name="Normal 9 5 3 2 2" xfId="7457" xr:uid="{00000000-0005-0000-0000-000061200000}"/>
    <cellStyle name="Normal 9 5 3 2 2 2" xfId="16783" xr:uid="{EFFE3C94-5001-44D2-B4D5-96924DB1E830}"/>
    <cellStyle name="Normal 9 5 3 2 3" xfId="12566" xr:uid="{762F4F21-B5B3-4EE2-B61C-F78640C82BDD}"/>
    <cellStyle name="Normal 9 5 3 3" xfId="5312" xr:uid="{00000000-0005-0000-0000-000062200000}"/>
    <cellStyle name="Normal 9 5 3 3 2" xfId="14638" xr:uid="{0048BC36-71A6-444D-93FE-430B557975D0}"/>
    <cellStyle name="Normal 9 5 3 4" xfId="9273" xr:uid="{AE6CB61B-02C5-436E-A328-3B2AC8AC9E53}"/>
    <cellStyle name="Normal 9 5 3 4 2" xfId="18586" xr:uid="{470E7381-91C8-45BF-B6A5-E0DFFF4B7FC7}"/>
    <cellStyle name="Normal 9 5 3 5" xfId="10421" xr:uid="{E97C52CB-2866-42D5-A1A2-105C4D98CAA6}"/>
    <cellStyle name="Normal 9 5 4" xfId="1418" xr:uid="{00000000-0005-0000-0000-000063200000}"/>
    <cellStyle name="Normal 9 5 4 2" xfId="3648" xr:uid="{00000000-0005-0000-0000-000064200000}"/>
    <cellStyle name="Normal 9 5 4 2 2" xfId="7870" xr:uid="{00000000-0005-0000-0000-000065200000}"/>
    <cellStyle name="Normal 9 5 4 2 2 2" xfId="17196" xr:uid="{FAB257B8-0625-4F7E-A471-635A7A7D7955}"/>
    <cellStyle name="Normal 9 5 4 2 3" xfId="12979" xr:uid="{2340D315-A79C-4D72-B0F4-401F1A935BED}"/>
    <cellStyle name="Normal 9 5 4 3" xfId="5725" xr:uid="{00000000-0005-0000-0000-000066200000}"/>
    <cellStyle name="Normal 9 5 4 3 2" xfId="15051" xr:uid="{D1093BCF-0C73-4E40-8834-57402F5602CB}"/>
    <cellStyle name="Normal 9 5 4 4" xfId="10834" xr:uid="{674D05F1-5259-46BB-BD89-CA5C904B2134}"/>
    <cellStyle name="Normal 9 5 5" xfId="1831" xr:uid="{00000000-0005-0000-0000-000067200000}"/>
    <cellStyle name="Normal 9 5 5 2" xfId="4061" xr:uid="{00000000-0005-0000-0000-000068200000}"/>
    <cellStyle name="Normal 9 5 5 2 2" xfId="8283" xr:uid="{00000000-0005-0000-0000-000069200000}"/>
    <cellStyle name="Normal 9 5 5 2 2 2" xfId="17609" xr:uid="{5805B7F4-A1A3-4009-9F97-C6BFCE6E2946}"/>
    <cellStyle name="Normal 9 5 5 2 3" xfId="13392" xr:uid="{1253969D-C0D5-4639-B68B-56544B40EB6F}"/>
    <cellStyle name="Normal 9 5 5 3" xfId="6138" xr:uid="{00000000-0005-0000-0000-00006A200000}"/>
    <cellStyle name="Normal 9 5 5 3 2" xfId="15464" xr:uid="{437B5CDE-FBC2-4DD7-9AD9-9F856177D16A}"/>
    <cellStyle name="Normal 9 5 5 4" xfId="11247" xr:uid="{F9FF0A63-D498-49E5-B719-0A059C02369D}"/>
    <cellStyle name="Normal 9 5 6" xfId="2245" xr:uid="{00000000-0005-0000-0000-00006B200000}"/>
    <cellStyle name="Normal 9 5 6 2" xfId="4474" xr:uid="{00000000-0005-0000-0000-00006C200000}"/>
    <cellStyle name="Normal 9 5 6 2 2" xfId="8696" xr:uid="{00000000-0005-0000-0000-00006D200000}"/>
    <cellStyle name="Normal 9 5 6 2 2 2" xfId="18022" xr:uid="{E5531102-69A5-4B99-BFDB-4A2F9F18827C}"/>
    <cellStyle name="Normal 9 5 6 2 3" xfId="13805" xr:uid="{817DEC43-A4D8-44D2-B583-06FE95A16E48}"/>
    <cellStyle name="Normal 9 5 6 3" xfId="6551" xr:uid="{00000000-0005-0000-0000-00006E200000}"/>
    <cellStyle name="Normal 9 5 6 3 2" xfId="15877" xr:uid="{7B6CB726-3B7E-4F81-BA6D-2254AFCC1770}"/>
    <cellStyle name="Normal 9 5 6 4" xfId="11660" xr:uid="{F2733A7A-5774-48BD-99E7-492A99199C77}"/>
    <cellStyle name="Normal 9 5 7" xfId="2681" xr:uid="{00000000-0005-0000-0000-00006F200000}"/>
    <cellStyle name="Normal 9 5 7 2" xfId="6964" xr:uid="{00000000-0005-0000-0000-000070200000}"/>
    <cellStyle name="Normal 9 5 7 2 2" xfId="16290" xr:uid="{87456C99-CD1B-4154-B5DC-8DE6184EA562}"/>
    <cellStyle name="Normal 9 5 7 3" xfId="12073" xr:uid="{4E989A68-FB22-48BF-99E7-12A24EFCADFB}"/>
    <cellStyle name="Normal 9 5 8" xfId="4899" xr:uid="{00000000-0005-0000-0000-000071200000}"/>
    <cellStyle name="Normal 9 5 8 2" xfId="14225" xr:uid="{06BAEBE1-6710-4E29-B3C3-6164E98914B8}"/>
    <cellStyle name="Normal 9 5 9" xfId="8848" xr:uid="{B1BE5F70-14E5-42B6-9EBA-D267F3B60A08}"/>
    <cellStyle name="Normal 9 5 9 2" xfId="18171" xr:uid="{D05A6823-5C4D-4D23-BA39-64F71FDB8F1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8ED5819B-F566-46C7-870D-3C8549D5843C}"/>
    <cellStyle name="Normal 9 6 2 2 3" xfId="12568" xr:uid="{68404353-55F1-4E92-9788-37321759BF70}"/>
    <cellStyle name="Normal 9 6 2 3" xfId="5314" xr:uid="{00000000-0005-0000-0000-000076200000}"/>
    <cellStyle name="Normal 9 6 2 3 2" xfId="14640" xr:uid="{F68F19E1-80B1-4ABF-AC46-24261204BC91}"/>
    <cellStyle name="Normal 9 6 2 4" xfId="9389" xr:uid="{2A0458F6-466A-4C3B-BA39-FF09FD770FDD}"/>
    <cellStyle name="Normal 9 6 2 4 2" xfId="18702" xr:uid="{BAC54CC0-967E-4B33-9C8B-B3AAD42B6391}"/>
    <cellStyle name="Normal 9 6 2 5" xfId="10423" xr:uid="{6AAF6AC6-42C9-40CD-BC2D-9E875DC94B9C}"/>
    <cellStyle name="Normal 9 6 3" xfId="1420" xr:uid="{00000000-0005-0000-0000-000077200000}"/>
    <cellStyle name="Normal 9 6 3 2" xfId="3650" xr:uid="{00000000-0005-0000-0000-000078200000}"/>
    <cellStyle name="Normal 9 6 3 2 2" xfId="7872" xr:uid="{00000000-0005-0000-0000-000079200000}"/>
    <cellStyle name="Normal 9 6 3 2 2 2" xfId="17198" xr:uid="{EA1DD364-1714-4F3B-B114-C5D139F357B4}"/>
    <cellStyle name="Normal 9 6 3 2 3" xfId="12981" xr:uid="{B085FA1E-14E9-4822-8FD5-5BCAB2591067}"/>
    <cellStyle name="Normal 9 6 3 3" xfId="5727" xr:uid="{00000000-0005-0000-0000-00007A200000}"/>
    <cellStyle name="Normal 9 6 3 3 2" xfId="15053" xr:uid="{3162B08E-98DE-4B27-9B16-603676186068}"/>
    <cellStyle name="Normal 9 6 3 4" xfId="10836" xr:uid="{D4C7E4EC-AF76-4E64-8159-698E060BE384}"/>
    <cellStyle name="Normal 9 6 4" xfId="1833" xr:uid="{00000000-0005-0000-0000-00007B200000}"/>
    <cellStyle name="Normal 9 6 4 2" xfId="4063" xr:uid="{00000000-0005-0000-0000-00007C200000}"/>
    <cellStyle name="Normal 9 6 4 2 2" xfId="8285" xr:uid="{00000000-0005-0000-0000-00007D200000}"/>
    <cellStyle name="Normal 9 6 4 2 2 2" xfId="17611" xr:uid="{4DCCC3D6-27D7-44C2-9AD8-F20A0C739534}"/>
    <cellStyle name="Normal 9 6 4 2 3" xfId="13394" xr:uid="{39A4149C-C205-47F6-A178-2EAA3B12C5BD}"/>
    <cellStyle name="Normal 9 6 4 3" xfId="6140" xr:uid="{00000000-0005-0000-0000-00007E200000}"/>
    <cellStyle name="Normal 9 6 4 3 2" xfId="15466" xr:uid="{4E89BA10-E0A9-4B6A-AD8C-E372E0A6776C}"/>
    <cellStyle name="Normal 9 6 4 4" xfId="11249" xr:uid="{8583D8D9-DAEF-405D-9843-43C81285FE90}"/>
    <cellStyle name="Normal 9 6 5" xfId="2247" xr:uid="{00000000-0005-0000-0000-00007F200000}"/>
    <cellStyle name="Normal 9 6 5 2" xfId="4476" xr:uid="{00000000-0005-0000-0000-000080200000}"/>
    <cellStyle name="Normal 9 6 5 2 2" xfId="8698" xr:uid="{00000000-0005-0000-0000-000081200000}"/>
    <cellStyle name="Normal 9 6 5 2 2 2" xfId="18024" xr:uid="{9A8416E3-7623-47CC-8865-369D1311260F}"/>
    <cellStyle name="Normal 9 6 5 2 3" xfId="13807" xr:uid="{AF460479-4169-488F-A8F2-2CCC1D613AD0}"/>
    <cellStyle name="Normal 9 6 5 3" xfId="6553" xr:uid="{00000000-0005-0000-0000-000082200000}"/>
    <cellStyle name="Normal 9 6 5 3 2" xfId="15879" xr:uid="{AE26E65F-D28F-4DFB-BF6F-3A7A5616F2D5}"/>
    <cellStyle name="Normal 9 6 5 4" xfId="11662" xr:uid="{F6E75120-916E-42D6-AAEA-9C9891F4021C}"/>
    <cellStyle name="Normal 9 6 6" xfId="2683" xr:uid="{00000000-0005-0000-0000-000083200000}"/>
    <cellStyle name="Normal 9 6 6 2" xfId="6966" xr:uid="{00000000-0005-0000-0000-000084200000}"/>
    <cellStyle name="Normal 9 6 6 2 2" xfId="16292" xr:uid="{1063AA7B-5093-40BB-BA25-E50F18D52565}"/>
    <cellStyle name="Normal 9 6 6 3" xfId="12075" xr:uid="{221A5E5C-EBC8-40CE-8D19-005FE44F8625}"/>
    <cellStyle name="Normal 9 6 7" xfId="4901" xr:uid="{00000000-0005-0000-0000-000085200000}"/>
    <cellStyle name="Normal 9 6 7 2" xfId="14227" xr:uid="{7EB331C3-71E0-4771-B688-D35AC9E825A3}"/>
    <cellStyle name="Normal 9 6 8" xfId="8964" xr:uid="{9BBC9C46-7A3A-4BC9-9542-DC33DFA165C2}"/>
    <cellStyle name="Normal 9 6 8 2" xfId="18287" xr:uid="{A0668831-AD49-46DE-A5E5-573A7E98CCB2}"/>
    <cellStyle name="Normal 9 6 9" xfId="10010" xr:uid="{CFDD588C-E71D-45A3-93BB-62E49544F19B}"/>
    <cellStyle name="Normal 9 7" xfId="977" xr:uid="{00000000-0005-0000-0000-000086200000}"/>
    <cellStyle name="Normal 9 7 2" xfId="9609" xr:uid="{1246D22D-2382-4FAF-A8D6-CB26E2B9F9CE}"/>
    <cellStyle name="Normal 9 7 3" xfId="9167" xr:uid="{F9EED645-1D44-43CF-99A5-77176BA4CE36}"/>
    <cellStyle name="Normal 9 7 3 2" xfId="18483" xr:uid="{85444A06-0E74-4BF6-B8A8-045289DF2E46}"/>
    <cellStyle name="Normal 9 8" xfId="8745" xr:uid="{C1852A12-4F74-491B-976C-56AD8D4478B4}"/>
    <cellStyle name="Normal 9 8 2" xfId="18068" xr:uid="{045757F9-00E4-4EB3-8089-32699013EFC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902B8EE6-5052-42EB-A610-FD391FBDC371}"/>
    <cellStyle name="Note 2 2 10 3" xfId="12156" xr:uid="{0054836F-0F9E-4101-816C-4B1BCA3D83E3}"/>
    <cellStyle name="Note 2 2 11" xfId="4902" xr:uid="{00000000-0005-0000-0000-000094200000}"/>
    <cellStyle name="Note 2 2 11 2" xfId="14228" xr:uid="{6A4B1EC1-741E-449C-A238-4A1466010C58}"/>
    <cellStyle name="Note 2 2 12" xfId="8841" xr:uid="{E94E1FD8-31C4-4718-9658-C7A587CBF323}"/>
    <cellStyle name="Note 2 2 12 2" xfId="18164" xr:uid="{12F0693E-1293-4672-8EC6-0F5972AF20FB}"/>
    <cellStyle name="Note 2 2 13" xfId="10011" xr:uid="{DEF33C26-CC25-4F41-AC20-E7A3B83F9F95}"/>
    <cellStyle name="Note 2 2 2" xfId="546" xr:uid="{00000000-0005-0000-0000-000095200000}"/>
    <cellStyle name="Note 2 2 2 10" xfId="4903" xr:uid="{00000000-0005-0000-0000-000096200000}"/>
    <cellStyle name="Note 2 2 2 10 2" xfId="14229" xr:uid="{89C187B4-7BAB-47FB-9353-B1C415C6809D}"/>
    <cellStyle name="Note 2 2 2 11" xfId="8944" xr:uid="{B75A3404-A4A3-41D6-B6C3-54560C6DD592}"/>
    <cellStyle name="Note 2 2 2 11 2" xfId="18267" xr:uid="{68C159E5-AFF9-44D8-ACCE-DCB59F6510FB}"/>
    <cellStyle name="Note 2 2 2 12" xfId="10012" xr:uid="{A906601D-7FE0-4DD0-94E3-03C4E63D954A}"/>
    <cellStyle name="Note 2 2 2 2" xfId="547" xr:uid="{00000000-0005-0000-0000-000097200000}"/>
    <cellStyle name="Note 2 2 2 2 10" xfId="9151" xr:uid="{DE810DD8-00EC-4339-9CFC-C84D5E182971}"/>
    <cellStyle name="Note 2 2 2 2 10 2" xfId="18474" xr:uid="{1679CD3B-B2D8-45C5-8A6C-D81881E2B07D}"/>
    <cellStyle name="Note 2 2 2 2 11" xfId="10013" xr:uid="{5D2E6E1C-3519-492B-BE6E-EBCEBB51CD8D}"/>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9DF4234C-07E4-4C91-B3C0-6434A551A98F}"/>
    <cellStyle name="Note 2 2 2 2 2 2 3" xfId="12571" xr:uid="{597D6632-D8F8-405F-977B-A4C622CE39B7}"/>
    <cellStyle name="Note 2 2 2 2 2 3" xfId="5317" xr:uid="{00000000-0005-0000-0000-00009B200000}"/>
    <cellStyle name="Note 2 2 2 2 2 3 2" xfId="14643" xr:uid="{521B0197-04E5-42C6-8D60-537CC059B1D0}"/>
    <cellStyle name="Note 2 2 2 2 2 4" xfId="9576" xr:uid="{375E296C-598F-454E-B7C4-9E851CE02ED2}"/>
    <cellStyle name="Note 2 2 2 2 2 4 2" xfId="18889" xr:uid="{02585D38-824F-4232-9230-4EDC97DFB657}"/>
    <cellStyle name="Note 2 2 2 2 2 5" xfId="10426" xr:uid="{0EDC8DEA-5D36-4FDC-832F-31B2A2045C82}"/>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05B31D7B-837F-443F-A144-2AFF62820D4D}"/>
    <cellStyle name="Note 2 2 2 2 3 2 3" xfId="12984" xr:uid="{0DC2965D-B3C0-40EC-A46E-ABF3549B432D}"/>
    <cellStyle name="Note 2 2 2 2 3 3" xfId="5730" xr:uid="{00000000-0005-0000-0000-00009F200000}"/>
    <cellStyle name="Note 2 2 2 2 3 3 2" xfId="15056" xr:uid="{ED9D34F8-62DA-44CB-8120-D11055A3A69A}"/>
    <cellStyle name="Note 2 2 2 2 3 4" xfId="10839" xr:uid="{69823494-3413-4916-BD2E-D6217D2CAA4B}"/>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EB4AB22B-7E88-4940-A67C-C6577AA09458}"/>
    <cellStyle name="Note 2 2 2 2 4 2 3" xfId="13397" xr:uid="{77356F35-4933-48B3-B1D4-7638BEA82DB5}"/>
    <cellStyle name="Note 2 2 2 2 4 3" xfId="6143" xr:uid="{00000000-0005-0000-0000-0000A3200000}"/>
    <cellStyle name="Note 2 2 2 2 4 3 2" xfId="15469" xr:uid="{5DFE37B2-114D-4294-934B-3AD492F40028}"/>
    <cellStyle name="Note 2 2 2 2 4 4" xfId="11252" xr:uid="{F96D6B5C-BADA-499D-8CCD-94280895944F}"/>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A2C3C408-50FB-45FF-BB49-E779430BB3BD}"/>
    <cellStyle name="Note 2 2 2 2 5 2 3" xfId="13810" xr:uid="{7FC97850-D7C1-437F-A4F2-70812B1C5099}"/>
    <cellStyle name="Note 2 2 2 2 5 3" xfId="6556" xr:uid="{00000000-0005-0000-0000-0000A7200000}"/>
    <cellStyle name="Note 2 2 2 2 5 3 2" xfId="15882" xr:uid="{EDFB7FBF-E32B-4137-8879-368B771DCE00}"/>
    <cellStyle name="Note 2 2 2 2 5 4" xfId="11665" xr:uid="{6A6A6D74-8F76-4BB5-9D74-3D2B72466EEC}"/>
    <cellStyle name="Note 2 2 2 2 6" xfId="2686" xr:uid="{00000000-0005-0000-0000-0000A8200000}"/>
    <cellStyle name="Note 2 2 2 2 6 2" xfId="6969" xr:uid="{00000000-0005-0000-0000-0000A9200000}"/>
    <cellStyle name="Note 2 2 2 2 6 2 2" xfId="16295" xr:uid="{AAB4FDC5-4352-4886-AF97-B4003FACE613}"/>
    <cellStyle name="Note 2 2 2 2 6 3" xfId="12078" xr:uid="{2C8992BA-A5F2-4AB1-AC36-BD6FF0A81C30}"/>
    <cellStyle name="Note 2 2 2 2 7" xfId="2745" xr:uid="{00000000-0005-0000-0000-0000AA200000}"/>
    <cellStyle name="Note 2 2 2 2 8" xfId="2826" xr:uid="{00000000-0005-0000-0000-0000AB200000}"/>
    <cellStyle name="Note 2 2 2 2 8 2" xfId="7049" xr:uid="{00000000-0005-0000-0000-0000AC200000}"/>
    <cellStyle name="Note 2 2 2 2 8 2 2" xfId="16375" xr:uid="{2CB9D1A6-7EE9-4770-BED1-574419DFDD60}"/>
    <cellStyle name="Note 2 2 2 2 8 3" xfId="12158" xr:uid="{028F5CF2-74FC-4F38-90AF-858DB0222E3D}"/>
    <cellStyle name="Note 2 2 2 2 9" xfId="4904" xr:uid="{00000000-0005-0000-0000-0000AD200000}"/>
    <cellStyle name="Note 2 2 2 2 9 2" xfId="14230" xr:uid="{66FBEE2F-714B-4BD1-ADF7-85B014A04B95}"/>
    <cellStyle name="Note 2 2 2 3" xfId="1007" xr:uid="{00000000-0005-0000-0000-0000AE200000}"/>
    <cellStyle name="Note 2 2 2 3 2" xfId="3239" xr:uid="{00000000-0005-0000-0000-0000AF200000}"/>
    <cellStyle name="Note 2 2 2 3 2 2" xfId="7461" xr:uid="{00000000-0005-0000-0000-0000B0200000}"/>
    <cellStyle name="Note 2 2 2 3 2 2 2" xfId="16787" xr:uid="{4819FFD0-00E2-4F4C-9A61-AA6B31B3F132}"/>
    <cellStyle name="Note 2 2 2 3 2 3" xfId="12570" xr:uid="{120ABB77-BC78-4833-BA0C-10EF905AC0BB}"/>
    <cellStyle name="Note 2 2 2 3 3" xfId="5316" xr:uid="{00000000-0005-0000-0000-0000B1200000}"/>
    <cellStyle name="Note 2 2 2 3 3 2" xfId="14642" xr:uid="{EA2FD9D9-360C-479E-816B-5103DDCC3979}"/>
    <cellStyle name="Note 2 2 2 3 4" xfId="9369" xr:uid="{37FCA23B-964B-404F-A343-B489211FDCDC}"/>
    <cellStyle name="Note 2 2 2 3 4 2" xfId="18682" xr:uid="{B2211606-525D-4755-99D3-E3A01B6580DF}"/>
    <cellStyle name="Note 2 2 2 3 5" xfId="10425" xr:uid="{1409BA18-3738-43B2-B537-F9A30CAE39A6}"/>
    <cellStyle name="Note 2 2 2 4" xfId="1422" xr:uid="{00000000-0005-0000-0000-0000B2200000}"/>
    <cellStyle name="Note 2 2 2 4 2" xfId="3652" xr:uid="{00000000-0005-0000-0000-0000B3200000}"/>
    <cellStyle name="Note 2 2 2 4 2 2" xfId="7874" xr:uid="{00000000-0005-0000-0000-0000B4200000}"/>
    <cellStyle name="Note 2 2 2 4 2 2 2" xfId="17200" xr:uid="{F0E10885-82A7-41CB-8759-DD5CFC94EC25}"/>
    <cellStyle name="Note 2 2 2 4 2 3" xfId="12983" xr:uid="{80219008-94A2-4216-B437-4ACF5C9D2FB8}"/>
    <cellStyle name="Note 2 2 2 4 3" xfId="5729" xr:uid="{00000000-0005-0000-0000-0000B5200000}"/>
    <cellStyle name="Note 2 2 2 4 3 2" xfId="15055" xr:uid="{617A15DD-02AC-4210-A916-BA27A5D76412}"/>
    <cellStyle name="Note 2 2 2 4 4" xfId="10838" xr:uid="{9DE5406A-E4D8-4E65-A115-51E9CF22BDD3}"/>
    <cellStyle name="Note 2 2 2 5" xfId="1836" xr:uid="{00000000-0005-0000-0000-0000B6200000}"/>
    <cellStyle name="Note 2 2 2 5 2" xfId="4065" xr:uid="{00000000-0005-0000-0000-0000B7200000}"/>
    <cellStyle name="Note 2 2 2 5 2 2" xfId="8287" xr:uid="{00000000-0005-0000-0000-0000B8200000}"/>
    <cellStyle name="Note 2 2 2 5 2 2 2" xfId="17613" xr:uid="{D4675627-A298-4E97-84EC-94E2E90DA2F3}"/>
    <cellStyle name="Note 2 2 2 5 2 3" xfId="13396" xr:uid="{6432367A-3719-40BA-A9EA-118391295953}"/>
    <cellStyle name="Note 2 2 2 5 3" xfId="6142" xr:uid="{00000000-0005-0000-0000-0000B9200000}"/>
    <cellStyle name="Note 2 2 2 5 3 2" xfId="15468" xr:uid="{87E492EE-7BBD-497F-8D85-21EBFC736235}"/>
    <cellStyle name="Note 2 2 2 5 4" xfId="11251" xr:uid="{F86EB201-8F7C-4B81-99FF-B7B60EDE897A}"/>
    <cellStyle name="Note 2 2 2 6" xfId="2249" xr:uid="{00000000-0005-0000-0000-0000BA200000}"/>
    <cellStyle name="Note 2 2 2 6 2" xfId="4478" xr:uid="{00000000-0005-0000-0000-0000BB200000}"/>
    <cellStyle name="Note 2 2 2 6 2 2" xfId="8700" xr:uid="{00000000-0005-0000-0000-0000BC200000}"/>
    <cellStyle name="Note 2 2 2 6 2 2 2" xfId="18026" xr:uid="{B19249CA-0A2C-404F-B008-68EFB53C5FAE}"/>
    <cellStyle name="Note 2 2 2 6 2 3" xfId="13809" xr:uid="{ADAF4A5F-84F9-41B9-8918-2EAB037A46B6}"/>
    <cellStyle name="Note 2 2 2 6 3" xfId="6555" xr:uid="{00000000-0005-0000-0000-0000BD200000}"/>
    <cellStyle name="Note 2 2 2 6 3 2" xfId="15881" xr:uid="{AA172553-E05D-4C8D-AEF0-1022CF3F49A5}"/>
    <cellStyle name="Note 2 2 2 6 4" xfId="11664" xr:uid="{5B93EB04-D4FB-4262-8689-2C4390CC864F}"/>
    <cellStyle name="Note 2 2 2 7" xfId="2685" xr:uid="{00000000-0005-0000-0000-0000BE200000}"/>
    <cellStyle name="Note 2 2 2 7 2" xfId="6968" xr:uid="{00000000-0005-0000-0000-0000BF200000}"/>
    <cellStyle name="Note 2 2 2 7 2 2" xfId="16294" xr:uid="{D6C67684-6991-4AAA-9ADA-28C0ACE27716}"/>
    <cellStyle name="Note 2 2 2 7 3" xfId="12077" xr:uid="{F1F8A98E-4CDB-4449-9AF0-9B547416ED31}"/>
    <cellStyle name="Note 2 2 2 8" xfId="2744" xr:uid="{00000000-0005-0000-0000-0000C0200000}"/>
    <cellStyle name="Note 2 2 2 9" xfId="2825" xr:uid="{00000000-0005-0000-0000-0000C1200000}"/>
    <cellStyle name="Note 2 2 2 9 2" xfId="7048" xr:uid="{00000000-0005-0000-0000-0000C2200000}"/>
    <cellStyle name="Note 2 2 2 9 2 2" xfId="16374" xr:uid="{4F16529D-34BE-4E63-B890-919BFC14876C}"/>
    <cellStyle name="Note 2 2 2 9 3" xfId="12157" xr:uid="{E5C2FC96-11AD-4521-9B69-A8391695D3BF}"/>
    <cellStyle name="Note 2 2 3" xfId="548" xr:uid="{00000000-0005-0000-0000-0000C3200000}"/>
    <cellStyle name="Note 2 2 3 10" xfId="9048" xr:uid="{894401FF-B7D8-49E8-91E6-A1C42DD04D54}"/>
    <cellStyle name="Note 2 2 3 10 2" xfId="18371" xr:uid="{941BD7AC-7CFA-4F1D-BAED-44FBF4ED0F9D}"/>
    <cellStyle name="Note 2 2 3 11" xfId="10014" xr:uid="{445FA8DA-42BF-4666-800D-017C8AA030C6}"/>
    <cellStyle name="Note 2 2 3 2" xfId="1009" xr:uid="{00000000-0005-0000-0000-0000C4200000}"/>
    <cellStyle name="Note 2 2 3 2 2" xfId="3241" xr:uid="{00000000-0005-0000-0000-0000C5200000}"/>
    <cellStyle name="Note 2 2 3 2 2 2" xfId="7463" xr:uid="{00000000-0005-0000-0000-0000C6200000}"/>
    <cellStyle name="Note 2 2 3 2 2 2 2" xfId="16789" xr:uid="{145277D9-90C1-4C49-A3D5-5723D064546C}"/>
    <cellStyle name="Note 2 2 3 2 2 3" xfId="12572" xr:uid="{FAD1245E-0304-4660-BA9A-8EF27BC75D20}"/>
    <cellStyle name="Note 2 2 3 2 3" xfId="5318" xr:uid="{00000000-0005-0000-0000-0000C7200000}"/>
    <cellStyle name="Note 2 2 3 2 3 2" xfId="14644" xr:uid="{D9348911-329E-4443-A5B5-ACE907B69DC5}"/>
    <cellStyle name="Note 2 2 3 2 4" xfId="9473" xr:uid="{7711F4E0-385B-44CD-ACEA-5E9D7E4CD8DC}"/>
    <cellStyle name="Note 2 2 3 2 4 2" xfId="18786" xr:uid="{E7554595-7D3D-481B-B540-C75040457FAB}"/>
    <cellStyle name="Note 2 2 3 2 5" xfId="10427" xr:uid="{E753AB8A-2C04-4997-99B5-7C3524843A0C}"/>
    <cellStyle name="Note 2 2 3 3" xfId="1424" xr:uid="{00000000-0005-0000-0000-0000C8200000}"/>
    <cellStyle name="Note 2 2 3 3 2" xfId="3654" xr:uid="{00000000-0005-0000-0000-0000C9200000}"/>
    <cellStyle name="Note 2 2 3 3 2 2" xfId="7876" xr:uid="{00000000-0005-0000-0000-0000CA200000}"/>
    <cellStyle name="Note 2 2 3 3 2 2 2" xfId="17202" xr:uid="{F650F91A-283E-4E84-97B5-F82B7FECC6D8}"/>
    <cellStyle name="Note 2 2 3 3 2 3" xfId="12985" xr:uid="{07F0821B-60BC-4587-BEF7-E25D49DBF5E6}"/>
    <cellStyle name="Note 2 2 3 3 3" xfId="5731" xr:uid="{00000000-0005-0000-0000-0000CB200000}"/>
    <cellStyle name="Note 2 2 3 3 3 2" xfId="15057" xr:uid="{D2072279-6847-4E5D-A46B-0ACE3784CF54}"/>
    <cellStyle name="Note 2 2 3 3 4" xfId="10840" xr:uid="{77F58542-C52D-44B5-A370-B34D336D6D66}"/>
    <cellStyle name="Note 2 2 3 4" xfId="1838" xr:uid="{00000000-0005-0000-0000-0000CC200000}"/>
    <cellStyle name="Note 2 2 3 4 2" xfId="4067" xr:uid="{00000000-0005-0000-0000-0000CD200000}"/>
    <cellStyle name="Note 2 2 3 4 2 2" xfId="8289" xr:uid="{00000000-0005-0000-0000-0000CE200000}"/>
    <cellStyle name="Note 2 2 3 4 2 2 2" xfId="17615" xr:uid="{C470A0B8-A867-48B2-800C-EC4BA8F73604}"/>
    <cellStyle name="Note 2 2 3 4 2 3" xfId="13398" xr:uid="{C9EFDE30-0F11-4AF0-8380-21A318EDE8BD}"/>
    <cellStyle name="Note 2 2 3 4 3" xfId="6144" xr:uid="{00000000-0005-0000-0000-0000CF200000}"/>
    <cellStyle name="Note 2 2 3 4 3 2" xfId="15470" xr:uid="{D3AF934A-3C1F-4C52-86EB-42B971E7DE5D}"/>
    <cellStyle name="Note 2 2 3 4 4" xfId="11253" xr:uid="{A576BF85-79AF-4B1F-B580-C991A7A02D08}"/>
    <cellStyle name="Note 2 2 3 5" xfId="2251" xr:uid="{00000000-0005-0000-0000-0000D0200000}"/>
    <cellStyle name="Note 2 2 3 5 2" xfId="4480" xr:uid="{00000000-0005-0000-0000-0000D1200000}"/>
    <cellStyle name="Note 2 2 3 5 2 2" xfId="8702" xr:uid="{00000000-0005-0000-0000-0000D2200000}"/>
    <cellStyle name="Note 2 2 3 5 2 2 2" xfId="18028" xr:uid="{CAAA260A-7775-45D0-9ADB-91DED528C83C}"/>
    <cellStyle name="Note 2 2 3 5 2 3" xfId="13811" xr:uid="{B39E5FDC-235E-4377-9CA3-BF3C33E6F8E7}"/>
    <cellStyle name="Note 2 2 3 5 3" xfId="6557" xr:uid="{00000000-0005-0000-0000-0000D3200000}"/>
    <cellStyle name="Note 2 2 3 5 3 2" xfId="15883" xr:uid="{FA1D2F23-B30E-4273-8B27-A50C68D97428}"/>
    <cellStyle name="Note 2 2 3 5 4" xfId="11666" xr:uid="{485D48A7-C90C-4F43-97E6-F16DD286A57C}"/>
    <cellStyle name="Note 2 2 3 6" xfId="2687" xr:uid="{00000000-0005-0000-0000-0000D4200000}"/>
    <cellStyle name="Note 2 2 3 6 2" xfId="6970" xr:uid="{00000000-0005-0000-0000-0000D5200000}"/>
    <cellStyle name="Note 2 2 3 6 2 2" xfId="16296" xr:uid="{3E6A5D9E-646E-4FC6-826E-B94A474327CB}"/>
    <cellStyle name="Note 2 2 3 6 3" xfId="12079" xr:uid="{F46ED87F-36DB-4D7D-9A81-A03B61D03C70}"/>
    <cellStyle name="Note 2 2 3 7" xfId="2746" xr:uid="{00000000-0005-0000-0000-0000D6200000}"/>
    <cellStyle name="Note 2 2 3 8" xfId="2827" xr:uid="{00000000-0005-0000-0000-0000D7200000}"/>
    <cellStyle name="Note 2 2 3 8 2" xfId="7050" xr:uid="{00000000-0005-0000-0000-0000D8200000}"/>
    <cellStyle name="Note 2 2 3 8 2 2" xfId="16376" xr:uid="{95085DFA-8D86-4357-837A-2B75C7DC063C}"/>
    <cellStyle name="Note 2 2 3 8 3" xfId="12159" xr:uid="{3A38DEBF-D358-4622-84D9-7D8CB230F78A}"/>
    <cellStyle name="Note 2 2 3 9" xfId="4905" xr:uid="{00000000-0005-0000-0000-0000D9200000}"/>
    <cellStyle name="Note 2 2 3 9 2" xfId="14231" xr:uid="{80E2AD39-228A-419B-BBA8-D508A305B294}"/>
    <cellStyle name="Note 2 2 4" xfId="1006" xr:uid="{00000000-0005-0000-0000-0000DA200000}"/>
    <cellStyle name="Note 2 2 4 2" xfId="3238" xr:uid="{00000000-0005-0000-0000-0000DB200000}"/>
    <cellStyle name="Note 2 2 4 2 2" xfId="7460" xr:uid="{00000000-0005-0000-0000-0000DC200000}"/>
    <cellStyle name="Note 2 2 4 2 2 2" xfId="16786" xr:uid="{CD7C69B1-2162-4BAD-A71E-E25945F2EF74}"/>
    <cellStyle name="Note 2 2 4 2 3" xfId="12569" xr:uid="{EEF146FE-9EA3-42AB-BAB8-B96308CB1EB4}"/>
    <cellStyle name="Note 2 2 4 3" xfId="5315" xr:uid="{00000000-0005-0000-0000-0000DD200000}"/>
    <cellStyle name="Note 2 2 4 3 2" xfId="14641" xr:uid="{12F74309-A20C-409E-B999-5EB25D928C65}"/>
    <cellStyle name="Note 2 2 4 4" xfId="9266" xr:uid="{8B6F7B8D-50FA-47DA-836F-17B0F9492E54}"/>
    <cellStyle name="Note 2 2 4 4 2" xfId="18579" xr:uid="{F05E826C-7854-4DF9-B978-6B3C484687A9}"/>
    <cellStyle name="Note 2 2 4 5" xfId="10424" xr:uid="{CFC36AB7-78F3-41BB-9C4F-1450B289597F}"/>
    <cellStyle name="Note 2 2 5" xfId="1421" xr:uid="{00000000-0005-0000-0000-0000DE200000}"/>
    <cellStyle name="Note 2 2 5 2" xfId="3651" xr:uid="{00000000-0005-0000-0000-0000DF200000}"/>
    <cellStyle name="Note 2 2 5 2 2" xfId="7873" xr:uid="{00000000-0005-0000-0000-0000E0200000}"/>
    <cellStyle name="Note 2 2 5 2 2 2" xfId="17199" xr:uid="{8E73DD66-C2B0-439D-82E6-8DA401C7CE89}"/>
    <cellStyle name="Note 2 2 5 2 3" xfId="12982" xr:uid="{D93A299D-29B5-4E9F-9941-B16421CBE735}"/>
    <cellStyle name="Note 2 2 5 3" xfId="5728" xr:uid="{00000000-0005-0000-0000-0000E1200000}"/>
    <cellStyle name="Note 2 2 5 3 2" xfId="15054" xr:uid="{486AED37-40B0-44FD-BD87-F00DC8A759AC}"/>
    <cellStyle name="Note 2 2 5 4" xfId="10837" xr:uid="{EDFB6E09-F3E4-4255-88FF-54FD255866F4}"/>
    <cellStyle name="Note 2 2 6" xfId="1835" xr:uid="{00000000-0005-0000-0000-0000E2200000}"/>
    <cellStyle name="Note 2 2 6 2" xfId="4064" xr:uid="{00000000-0005-0000-0000-0000E3200000}"/>
    <cellStyle name="Note 2 2 6 2 2" xfId="8286" xr:uid="{00000000-0005-0000-0000-0000E4200000}"/>
    <cellStyle name="Note 2 2 6 2 2 2" xfId="17612" xr:uid="{29C88E1E-8A89-409A-9733-B2E11AD95690}"/>
    <cellStyle name="Note 2 2 6 2 3" xfId="13395" xr:uid="{149131F5-2C9D-4503-97AB-3D13B7835135}"/>
    <cellStyle name="Note 2 2 6 3" xfId="6141" xr:uid="{00000000-0005-0000-0000-0000E5200000}"/>
    <cellStyle name="Note 2 2 6 3 2" xfId="15467" xr:uid="{5D86A8DD-C4F7-4A43-80E0-84BF08401A5D}"/>
    <cellStyle name="Note 2 2 6 4" xfId="11250" xr:uid="{A42C3116-51A9-43CB-80F4-7ED1C5B4A055}"/>
    <cellStyle name="Note 2 2 7" xfId="2248" xr:uid="{00000000-0005-0000-0000-0000E6200000}"/>
    <cellStyle name="Note 2 2 7 2" xfId="4477" xr:uid="{00000000-0005-0000-0000-0000E7200000}"/>
    <cellStyle name="Note 2 2 7 2 2" xfId="8699" xr:uid="{00000000-0005-0000-0000-0000E8200000}"/>
    <cellStyle name="Note 2 2 7 2 2 2" xfId="18025" xr:uid="{075E4672-C3DD-4D15-B6C5-E3765A993EC1}"/>
    <cellStyle name="Note 2 2 7 2 3" xfId="13808" xr:uid="{B15D7E38-CBA3-4C55-B99D-0B9592C24D4E}"/>
    <cellStyle name="Note 2 2 7 3" xfId="6554" xr:uid="{00000000-0005-0000-0000-0000E9200000}"/>
    <cellStyle name="Note 2 2 7 3 2" xfId="15880" xr:uid="{7C05122E-5535-4CB9-9E30-97B75DFE36A9}"/>
    <cellStyle name="Note 2 2 7 4" xfId="11663" xr:uid="{CEAC7520-088C-4BB1-B213-F324C1FA0358}"/>
    <cellStyle name="Note 2 2 8" xfId="2684" xr:uid="{00000000-0005-0000-0000-0000EA200000}"/>
    <cellStyle name="Note 2 2 8 2" xfId="6967" xr:uid="{00000000-0005-0000-0000-0000EB200000}"/>
    <cellStyle name="Note 2 2 8 2 2" xfId="16293" xr:uid="{33BB2710-5006-4F3C-A809-84A33781BEBD}"/>
    <cellStyle name="Note 2 2 8 3" xfId="12076" xr:uid="{8C3C738F-E0FE-446D-9FC1-29BC5332FCA3}"/>
    <cellStyle name="Note 2 2 9" xfId="2743" xr:uid="{00000000-0005-0000-0000-0000EC200000}"/>
    <cellStyle name="Note 2 3" xfId="549" xr:uid="{00000000-0005-0000-0000-0000ED200000}"/>
    <cellStyle name="Note 2 3 10" xfId="4906" xr:uid="{00000000-0005-0000-0000-0000EE200000}"/>
    <cellStyle name="Note 2 3 10 2" xfId="14232" xr:uid="{855F3C81-9040-454A-8D2D-BC22C410A91A}"/>
    <cellStyle name="Note 2 3 11" xfId="8894" xr:uid="{2BFFE8D0-DA42-4876-8895-58F80713E965}"/>
    <cellStyle name="Note 2 3 11 2" xfId="18217" xr:uid="{C097B92F-EA62-49AB-BF01-AB9345DF0DCD}"/>
    <cellStyle name="Note 2 3 12" xfId="10015" xr:uid="{9BCF3AF3-1912-4005-8431-AB5C3ADF7867}"/>
    <cellStyle name="Note 2 3 2" xfId="550" xr:uid="{00000000-0005-0000-0000-0000EF200000}"/>
    <cellStyle name="Note 2 3 2 10" xfId="9101" xr:uid="{1822EEA2-225E-465E-B4CD-D4615440EC62}"/>
    <cellStyle name="Note 2 3 2 10 2" xfId="18424" xr:uid="{E4D535D0-9492-4073-B7DE-70C6B6383D2C}"/>
    <cellStyle name="Note 2 3 2 11" xfId="10016" xr:uid="{3A4F4B2D-317B-44AD-966D-3486208C81B7}"/>
    <cellStyle name="Note 2 3 2 2" xfId="1011" xr:uid="{00000000-0005-0000-0000-0000F0200000}"/>
    <cellStyle name="Note 2 3 2 2 2" xfId="3243" xr:uid="{00000000-0005-0000-0000-0000F1200000}"/>
    <cellStyle name="Note 2 3 2 2 2 2" xfId="7465" xr:uid="{00000000-0005-0000-0000-0000F2200000}"/>
    <cellStyle name="Note 2 3 2 2 2 2 2" xfId="16791" xr:uid="{8E259B54-DF96-4882-94AF-B21C5A9D8CFD}"/>
    <cellStyle name="Note 2 3 2 2 2 3" xfId="12574" xr:uid="{C9E5A677-A4C4-4246-BB26-74AAF82EC7E4}"/>
    <cellStyle name="Note 2 3 2 2 3" xfId="5320" xr:uid="{00000000-0005-0000-0000-0000F3200000}"/>
    <cellStyle name="Note 2 3 2 2 3 2" xfId="14646" xr:uid="{3ED4F040-34E9-4010-8D50-12D73F8C3E38}"/>
    <cellStyle name="Note 2 3 2 2 4" xfId="9526" xr:uid="{1C428179-0C82-4F5D-9FE4-E11D597F9E89}"/>
    <cellStyle name="Note 2 3 2 2 4 2" xfId="18839" xr:uid="{3BA12357-CA9F-4645-B21F-DD6A27C287CD}"/>
    <cellStyle name="Note 2 3 2 2 5" xfId="10429" xr:uid="{1FD6EA61-C2BE-49C4-AE2A-330CE578B572}"/>
    <cellStyle name="Note 2 3 2 3" xfId="1426" xr:uid="{00000000-0005-0000-0000-0000F4200000}"/>
    <cellStyle name="Note 2 3 2 3 2" xfId="3656" xr:uid="{00000000-0005-0000-0000-0000F5200000}"/>
    <cellStyle name="Note 2 3 2 3 2 2" xfId="7878" xr:uid="{00000000-0005-0000-0000-0000F6200000}"/>
    <cellStyle name="Note 2 3 2 3 2 2 2" xfId="17204" xr:uid="{6079CA68-1D1C-44D1-9246-68A923483DD5}"/>
    <cellStyle name="Note 2 3 2 3 2 3" xfId="12987" xr:uid="{1952253E-C890-46D4-B025-570ED8ECC766}"/>
    <cellStyle name="Note 2 3 2 3 3" xfId="5733" xr:uid="{00000000-0005-0000-0000-0000F7200000}"/>
    <cellStyle name="Note 2 3 2 3 3 2" xfId="15059" xr:uid="{1F847CE0-9A63-4C65-855E-415E24849954}"/>
    <cellStyle name="Note 2 3 2 3 4" xfId="10842" xr:uid="{D1E3B8F6-E8A6-4BB5-9E26-724FE86BCF85}"/>
    <cellStyle name="Note 2 3 2 4" xfId="1840" xr:uid="{00000000-0005-0000-0000-0000F8200000}"/>
    <cellStyle name="Note 2 3 2 4 2" xfId="4069" xr:uid="{00000000-0005-0000-0000-0000F9200000}"/>
    <cellStyle name="Note 2 3 2 4 2 2" xfId="8291" xr:uid="{00000000-0005-0000-0000-0000FA200000}"/>
    <cellStyle name="Note 2 3 2 4 2 2 2" xfId="17617" xr:uid="{1A0AF681-64C0-4478-8201-0609D5AF4340}"/>
    <cellStyle name="Note 2 3 2 4 2 3" xfId="13400" xr:uid="{B65DB4D4-2A66-4CAC-8D2C-C23180C18E7D}"/>
    <cellStyle name="Note 2 3 2 4 3" xfId="6146" xr:uid="{00000000-0005-0000-0000-0000FB200000}"/>
    <cellStyle name="Note 2 3 2 4 3 2" xfId="15472" xr:uid="{E1061286-1369-401E-9D09-7BB72A80F7F8}"/>
    <cellStyle name="Note 2 3 2 4 4" xfId="11255" xr:uid="{5773A8FF-3493-4128-A18A-8A16C0913C61}"/>
    <cellStyle name="Note 2 3 2 5" xfId="2253" xr:uid="{00000000-0005-0000-0000-0000FC200000}"/>
    <cellStyle name="Note 2 3 2 5 2" xfId="4482" xr:uid="{00000000-0005-0000-0000-0000FD200000}"/>
    <cellStyle name="Note 2 3 2 5 2 2" xfId="8704" xr:uid="{00000000-0005-0000-0000-0000FE200000}"/>
    <cellStyle name="Note 2 3 2 5 2 2 2" xfId="18030" xr:uid="{15E3FE44-9C77-4855-9DC8-A69B92195E31}"/>
    <cellStyle name="Note 2 3 2 5 2 3" xfId="13813" xr:uid="{CBBAC8C1-AC54-4677-8A7C-AAA353177E81}"/>
    <cellStyle name="Note 2 3 2 5 3" xfId="6559" xr:uid="{00000000-0005-0000-0000-0000FF200000}"/>
    <cellStyle name="Note 2 3 2 5 3 2" xfId="15885" xr:uid="{C7A58D81-5B96-4CF1-A514-F6A6374F098A}"/>
    <cellStyle name="Note 2 3 2 5 4" xfId="11668" xr:uid="{88309684-1181-481E-8DB9-F402D4879834}"/>
    <cellStyle name="Note 2 3 2 6" xfId="2689" xr:uid="{00000000-0005-0000-0000-000000210000}"/>
    <cellStyle name="Note 2 3 2 6 2" xfId="6972" xr:uid="{00000000-0005-0000-0000-000001210000}"/>
    <cellStyle name="Note 2 3 2 6 2 2" xfId="16298" xr:uid="{C96D8A30-EB34-4B90-8258-D9E26F415A23}"/>
    <cellStyle name="Note 2 3 2 6 3" xfId="12081" xr:uid="{3206A37C-28F5-49C1-9B44-A4B71EC63C1C}"/>
    <cellStyle name="Note 2 3 2 7" xfId="2748" xr:uid="{00000000-0005-0000-0000-000002210000}"/>
    <cellStyle name="Note 2 3 2 8" xfId="2829" xr:uid="{00000000-0005-0000-0000-000003210000}"/>
    <cellStyle name="Note 2 3 2 8 2" xfId="7052" xr:uid="{00000000-0005-0000-0000-000004210000}"/>
    <cellStyle name="Note 2 3 2 8 2 2" xfId="16378" xr:uid="{1DE02591-B794-4E59-BAD4-DD8650D0AA1E}"/>
    <cellStyle name="Note 2 3 2 8 3" xfId="12161" xr:uid="{6F5D3EE0-00EB-4384-87EB-93F84F24F7CE}"/>
    <cellStyle name="Note 2 3 2 9" xfId="4907" xr:uid="{00000000-0005-0000-0000-000005210000}"/>
    <cellStyle name="Note 2 3 2 9 2" xfId="14233" xr:uid="{D3C8C0F7-D9D2-4C0E-97DD-39D1ED4DBA86}"/>
    <cellStyle name="Note 2 3 3" xfId="1010" xr:uid="{00000000-0005-0000-0000-000006210000}"/>
    <cellStyle name="Note 2 3 3 2" xfId="3242" xr:uid="{00000000-0005-0000-0000-000007210000}"/>
    <cellStyle name="Note 2 3 3 2 2" xfId="7464" xr:uid="{00000000-0005-0000-0000-000008210000}"/>
    <cellStyle name="Note 2 3 3 2 2 2" xfId="16790" xr:uid="{C49CB967-6191-4EF4-AB3F-E40AD0394D10}"/>
    <cellStyle name="Note 2 3 3 2 3" xfId="12573" xr:uid="{6B4877D6-0F3F-489E-8455-D686A471AA08}"/>
    <cellStyle name="Note 2 3 3 3" xfId="5319" xr:uid="{00000000-0005-0000-0000-000009210000}"/>
    <cellStyle name="Note 2 3 3 3 2" xfId="14645" xr:uid="{39A14E6F-DF2E-49AA-97AF-858123C108A4}"/>
    <cellStyle name="Note 2 3 3 4" xfId="9319" xr:uid="{06E4A3C6-5CAA-4424-B4C3-41162F21AE7D}"/>
    <cellStyle name="Note 2 3 3 4 2" xfId="18632" xr:uid="{EB609342-3224-4E94-84D3-19F90EF006F9}"/>
    <cellStyle name="Note 2 3 3 5" xfId="10428" xr:uid="{13A376FB-4E3D-4D86-841C-9B570BC79CA4}"/>
    <cellStyle name="Note 2 3 4" xfId="1425" xr:uid="{00000000-0005-0000-0000-00000A210000}"/>
    <cellStyle name="Note 2 3 4 2" xfId="3655" xr:uid="{00000000-0005-0000-0000-00000B210000}"/>
    <cellStyle name="Note 2 3 4 2 2" xfId="7877" xr:uid="{00000000-0005-0000-0000-00000C210000}"/>
    <cellStyle name="Note 2 3 4 2 2 2" xfId="17203" xr:uid="{239D41E9-499F-4051-A77D-D6D1EE9EF1A8}"/>
    <cellStyle name="Note 2 3 4 2 3" xfId="12986" xr:uid="{83CD5585-56B9-409B-A478-4D7FF131C3F8}"/>
    <cellStyle name="Note 2 3 4 3" xfId="5732" xr:uid="{00000000-0005-0000-0000-00000D210000}"/>
    <cellStyle name="Note 2 3 4 3 2" xfId="15058" xr:uid="{2BB70307-6935-4D23-8F86-11B5951928E7}"/>
    <cellStyle name="Note 2 3 4 4" xfId="10841" xr:uid="{666F8418-8365-406D-B158-D8C1488FE563}"/>
    <cellStyle name="Note 2 3 5" xfId="1839" xr:uid="{00000000-0005-0000-0000-00000E210000}"/>
    <cellStyle name="Note 2 3 5 2" xfId="4068" xr:uid="{00000000-0005-0000-0000-00000F210000}"/>
    <cellStyle name="Note 2 3 5 2 2" xfId="8290" xr:uid="{00000000-0005-0000-0000-000010210000}"/>
    <cellStyle name="Note 2 3 5 2 2 2" xfId="17616" xr:uid="{B617890D-5344-490E-8ECF-3E99E0AA6F4F}"/>
    <cellStyle name="Note 2 3 5 2 3" xfId="13399" xr:uid="{F1206665-89FE-4F2C-AC06-D535A022A487}"/>
    <cellStyle name="Note 2 3 5 3" xfId="6145" xr:uid="{00000000-0005-0000-0000-000011210000}"/>
    <cellStyle name="Note 2 3 5 3 2" xfId="15471" xr:uid="{F6AD4FAE-FB6C-426D-B561-D8C61176FC30}"/>
    <cellStyle name="Note 2 3 5 4" xfId="11254" xr:uid="{CA66D606-5FEE-4357-A7A7-3F8F189EB8CA}"/>
    <cellStyle name="Note 2 3 6" xfId="2252" xr:uid="{00000000-0005-0000-0000-000012210000}"/>
    <cellStyle name="Note 2 3 6 2" xfId="4481" xr:uid="{00000000-0005-0000-0000-000013210000}"/>
    <cellStyle name="Note 2 3 6 2 2" xfId="8703" xr:uid="{00000000-0005-0000-0000-000014210000}"/>
    <cellStyle name="Note 2 3 6 2 2 2" xfId="18029" xr:uid="{30365B7E-1181-4109-8733-5DF7C21F28C6}"/>
    <cellStyle name="Note 2 3 6 2 3" xfId="13812" xr:uid="{E69BFE5C-8ECB-4AE2-8D7B-200B193E4C34}"/>
    <cellStyle name="Note 2 3 6 3" xfId="6558" xr:uid="{00000000-0005-0000-0000-000015210000}"/>
    <cellStyle name="Note 2 3 6 3 2" xfId="15884" xr:uid="{F7EED05D-E26E-42F8-B460-6D5AB94D11BC}"/>
    <cellStyle name="Note 2 3 6 4" xfId="11667" xr:uid="{15420B3E-A71B-496C-BF95-D3DD91964A72}"/>
    <cellStyle name="Note 2 3 7" xfId="2688" xr:uid="{00000000-0005-0000-0000-000016210000}"/>
    <cellStyle name="Note 2 3 7 2" xfId="6971" xr:uid="{00000000-0005-0000-0000-000017210000}"/>
    <cellStyle name="Note 2 3 7 2 2" xfId="16297" xr:uid="{D64F56F2-6337-44BB-84F7-FB52174405A9}"/>
    <cellStyle name="Note 2 3 7 3" xfId="12080" xr:uid="{3357018C-4315-4EB8-980D-7F5D18618D95}"/>
    <cellStyle name="Note 2 3 8" xfId="2747" xr:uid="{00000000-0005-0000-0000-000018210000}"/>
    <cellStyle name="Note 2 3 9" xfId="2828" xr:uid="{00000000-0005-0000-0000-000019210000}"/>
    <cellStyle name="Note 2 3 9 2" xfId="7051" xr:uid="{00000000-0005-0000-0000-00001A210000}"/>
    <cellStyle name="Note 2 3 9 2 2" xfId="16377" xr:uid="{F8D805AF-134D-4CF8-B7AC-79E6FEDB3CE6}"/>
    <cellStyle name="Note 2 3 9 3" xfId="12160" xr:uid="{FFAD9809-7514-406A-B602-12F98A143BCA}"/>
    <cellStyle name="Note 2 4" xfId="551" xr:uid="{00000000-0005-0000-0000-00001B210000}"/>
    <cellStyle name="Note 2 4 10" xfId="8998" xr:uid="{AC87C288-14A9-4FB3-A26C-1706964E6651}"/>
    <cellStyle name="Note 2 4 10 2" xfId="18321" xr:uid="{304346F9-28A1-417A-8FFA-46FEEEC1A575}"/>
    <cellStyle name="Note 2 4 11" xfId="10017" xr:uid="{EA2D4EBE-8D3A-48D2-9A88-699518D05523}"/>
    <cellStyle name="Note 2 4 2" xfId="1012" xr:uid="{00000000-0005-0000-0000-00001C210000}"/>
    <cellStyle name="Note 2 4 2 2" xfId="3244" xr:uid="{00000000-0005-0000-0000-00001D210000}"/>
    <cellStyle name="Note 2 4 2 2 2" xfId="7466" xr:uid="{00000000-0005-0000-0000-00001E210000}"/>
    <cellStyle name="Note 2 4 2 2 2 2" xfId="16792" xr:uid="{07769716-6047-4C0D-B002-2B5AF72DAF3E}"/>
    <cellStyle name="Note 2 4 2 2 3" xfId="12575" xr:uid="{135F9211-F81A-455F-ACF7-549D9AF6571F}"/>
    <cellStyle name="Note 2 4 2 3" xfId="5321" xr:uid="{00000000-0005-0000-0000-00001F210000}"/>
    <cellStyle name="Note 2 4 2 3 2" xfId="14647" xr:uid="{3600DD40-7DC7-4517-A640-7348DBD06F62}"/>
    <cellStyle name="Note 2 4 2 4" xfId="9423" xr:uid="{43B93802-BE55-43D9-BEBC-4095E3C1FF74}"/>
    <cellStyle name="Note 2 4 2 4 2" xfId="18736" xr:uid="{E38D09C9-5A20-40A3-B59C-CE2277DF50C2}"/>
    <cellStyle name="Note 2 4 2 5" xfId="10430" xr:uid="{A54B529E-86D6-49A9-85D3-5A348EDB688A}"/>
    <cellStyle name="Note 2 4 3" xfId="1427" xr:uid="{00000000-0005-0000-0000-000020210000}"/>
    <cellStyle name="Note 2 4 3 2" xfId="3657" xr:uid="{00000000-0005-0000-0000-000021210000}"/>
    <cellStyle name="Note 2 4 3 2 2" xfId="7879" xr:uid="{00000000-0005-0000-0000-000022210000}"/>
    <cellStyle name="Note 2 4 3 2 2 2" xfId="17205" xr:uid="{A326F7BF-0CCE-4C90-8DDB-EF73EA889897}"/>
    <cellStyle name="Note 2 4 3 2 3" xfId="12988" xr:uid="{D806FD08-89AB-4441-818F-D2BDC25044C8}"/>
    <cellStyle name="Note 2 4 3 3" xfId="5734" xr:uid="{00000000-0005-0000-0000-000023210000}"/>
    <cellStyle name="Note 2 4 3 3 2" xfId="15060" xr:uid="{70F78236-22BA-4079-8D03-3DF50C2E1D0C}"/>
    <cellStyle name="Note 2 4 3 4" xfId="10843" xr:uid="{6B323E4F-5A60-4AB6-A0EA-B8E4C08413B5}"/>
    <cellStyle name="Note 2 4 4" xfId="1841" xr:uid="{00000000-0005-0000-0000-000024210000}"/>
    <cellStyle name="Note 2 4 4 2" xfId="4070" xr:uid="{00000000-0005-0000-0000-000025210000}"/>
    <cellStyle name="Note 2 4 4 2 2" xfId="8292" xr:uid="{00000000-0005-0000-0000-000026210000}"/>
    <cellStyle name="Note 2 4 4 2 2 2" xfId="17618" xr:uid="{F9BB56E1-4F4F-4014-B20A-1F59D2286260}"/>
    <cellStyle name="Note 2 4 4 2 3" xfId="13401" xr:uid="{89133757-0F92-4238-9940-B7B3017BE8D0}"/>
    <cellStyle name="Note 2 4 4 3" xfId="6147" xr:uid="{00000000-0005-0000-0000-000027210000}"/>
    <cellStyle name="Note 2 4 4 3 2" xfId="15473" xr:uid="{79A71DEF-8A36-4353-976A-1A41745D5D26}"/>
    <cellStyle name="Note 2 4 4 4" xfId="11256" xr:uid="{68B726B4-62C3-42AD-848E-309EF3B72918}"/>
    <cellStyle name="Note 2 4 5" xfId="2254" xr:uid="{00000000-0005-0000-0000-000028210000}"/>
    <cellStyle name="Note 2 4 5 2" xfId="4483" xr:uid="{00000000-0005-0000-0000-000029210000}"/>
    <cellStyle name="Note 2 4 5 2 2" xfId="8705" xr:uid="{00000000-0005-0000-0000-00002A210000}"/>
    <cellStyle name="Note 2 4 5 2 2 2" xfId="18031" xr:uid="{FE66B0F9-3B03-4825-A95E-D82EE5F5B372}"/>
    <cellStyle name="Note 2 4 5 2 3" xfId="13814" xr:uid="{FD5F424D-C683-4552-93E7-F902976DE5B2}"/>
    <cellStyle name="Note 2 4 5 3" xfId="6560" xr:uid="{00000000-0005-0000-0000-00002B210000}"/>
    <cellStyle name="Note 2 4 5 3 2" xfId="15886" xr:uid="{AFF3C699-2F42-46C1-85F3-43B56AE5C684}"/>
    <cellStyle name="Note 2 4 5 4" xfId="11669" xr:uid="{B1917C45-AC8D-4D89-B9BE-F4432236B553}"/>
    <cellStyle name="Note 2 4 6" xfId="2690" xr:uid="{00000000-0005-0000-0000-00002C210000}"/>
    <cellStyle name="Note 2 4 6 2" xfId="6973" xr:uid="{00000000-0005-0000-0000-00002D210000}"/>
    <cellStyle name="Note 2 4 6 2 2" xfId="16299" xr:uid="{BCCA9F67-F06C-463E-B87C-07F7200C02E9}"/>
    <cellStyle name="Note 2 4 6 3" xfId="12082" xr:uid="{4DC4542F-3F3D-4FF4-BBE8-7AF8BA3543A7}"/>
    <cellStyle name="Note 2 4 7" xfId="2749" xr:uid="{00000000-0005-0000-0000-00002E210000}"/>
    <cellStyle name="Note 2 4 8" xfId="2830" xr:uid="{00000000-0005-0000-0000-00002F210000}"/>
    <cellStyle name="Note 2 4 8 2" xfId="7053" xr:uid="{00000000-0005-0000-0000-000030210000}"/>
    <cellStyle name="Note 2 4 8 2 2" xfId="16379" xr:uid="{5FB450A4-CD7B-448D-9255-B34FBDF8A734}"/>
    <cellStyle name="Note 2 4 8 3" xfId="12162" xr:uid="{7D83CD1B-D6E4-4BC6-BD38-A9C7FE98F095}"/>
    <cellStyle name="Note 2 4 9" xfId="4908" xr:uid="{00000000-0005-0000-0000-000031210000}"/>
    <cellStyle name="Note 2 4 9 2" xfId="14234" xr:uid="{1E21E67D-F9BD-4A0A-A402-B7DFD4415106}"/>
    <cellStyle name="Note 2 5" xfId="552" xr:uid="{00000000-0005-0000-0000-000032210000}"/>
    <cellStyle name="Note 2 5 10" xfId="9215" xr:uid="{69947D86-0683-476F-9E74-96CA08091560}"/>
    <cellStyle name="Note 2 5 10 2" xfId="18529" xr:uid="{670BC706-0863-4EDA-B468-3EE987DD367F}"/>
    <cellStyle name="Note 2 5 11" xfId="10018" xr:uid="{095F0737-C846-4C8A-83B0-BFC03B216BE2}"/>
    <cellStyle name="Note 2 5 2" xfId="1013" xr:uid="{00000000-0005-0000-0000-000033210000}"/>
    <cellStyle name="Note 2 5 2 2" xfId="3245" xr:uid="{00000000-0005-0000-0000-000034210000}"/>
    <cellStyle name="Note 2 5 2 2 2" xfId="7467" xr:uid="{00000000-0005-0000-0000-000035210000}"/>
    <cellStyle name="Note 2 5 2 2 2 2" xfId="16793" xr:uid="{94183731-A46E-43A3-8395-46F56B2346AB}"/>
    <cellStyle name="Note 2 5 2 2 3" xfId="12576" xr:uid="{ED1E6663-1D00-479E-8B3F-7F3AD70ECE59}"/>
    <cellStyle name="Note 2 5 2 3" xfId="5322" xr:uid="{00000000-0005-0000-0000-000036210000}"/>
    <cellStyle name="Note 2 5 2 3 2" xfId="14648" xr:uid="{5427F114-EDAD-4307-A6D0-FCF44CAAF969}"/>
    <cellStyle name="Note 2 5 2 4" xfId="9610" xr:uid="{26530D10-1DF8-4FA4-8FC9-4C945AA92A94}"/>
    <cellStyle name="Note 2 5 2 4 2" xfId="18908" xr:uid="{76151299-333C-4F96-8B6A-1B9B7CF39D73}"/>
    <cellStyle name="Note 2 5 2 5" xfId="10431" xr:uid="{F9C4C4C1-A1DB-4CD9-95D0-B4424B70796F}"/>
    <cellStyle name="Note 2 5 3" xfId="1428" xr:uid="{00000000-0005-0000-0000-000037210000}"/>
    <cellStyle name="Note 2 5 3 2" xfId="3658" xr:uid="{00000000-0005-0000-0000-000038210000}"/>
    <cellStyle name="Note 2 5 3 2 2" xfId="7880" xr:uid="{00000000-0005-0000-0000-000039210000}"/>
    <cellStyle name="Note 2 5 3 2 2 2" xfId="17206" xr:uid="{21F43EAF-FF8E-4359-A015-13AB7F6E0E1E}"/>
    <cellStyle name="Note 2 5 3 2 3" xfId="12989" xr:uid="{084136FA-77EC-421D-A6ED-DCE22DE89FDB}"/>
    <cellStyle name="Note 2 5 3 3" xfId="5735" xr:uid="{00000000-0005-0000-0000-00003A210000}"/>
    <cellStyle name="Note 2 5 3 3 2" xfId="15061" xr:uid="{C323EC49-2C07-46FA-BD15-C13D5550EB98}"/>
    <cellStyle name="Note 2 5 3 4" xfId="10844" xr:uid="{DBA9AC13-2ECD-46D8-97A9-FCE03BF16836}"/>
    <cellStyle name="Note 2 5 4" xfId="1842" xr:uid="{00000000-0005-0000-0000-00003B210000}"/>
    <cellStyle name="Note 2 5 4 2" xfId="4071" xr:uid="{00000000-0005-0000-0000-00003C210000}"/>
    <cellStyle name="Note 2 5 4 2 2" xfId="8293" xr:uid="{00000000-0005-0000-0000-00003D210000}"/>
    <cellStyle name="Note 2 5 4 2 2 2" xfId="17619" xr:uid="{8B6E0210-9944-4373-8ED3-F86D210AD30D}"/>
    <cellStyle name="Note 2 5 4 2 3" xfId="13402" xr:uid="{A039397D-2652-4C41-A7F8-13E35FC1135D}"/>
    <cellStyle name="Note 2 5 4 3" xfId="6148" xr:uid="{00000000-0005-0000-0000-00003E210000}"/>
    <cellStyle name="Note 2 5 4 3 2" xfId="15474" xr:uid="{12BA67B1-4DA3-4A40-A68E-EC12BB080579}"/>
    <cellStyle name="Note 2 5 4 4" xfId="11257" xr:uid="{BEC61BA8-22B0-41A6-BB57-420ABDE193B4}"/>
    <cellStyle name="Note 2 5 5" xfId="2255" xr:uid="{00000000-0005-0000-0000-00003F210000}"/>
    <cellStyle name="Note 2 5 5 2" xfId="4484" xr:uid="{00000000-0005-0000-0000-000040210000}"/>
    <cellStyle name="Note 2 5 5 2 2" xfId="8706" xr:uid="{00000000-0005-0000-0000-000041210000}"/>
    <cellStyle name="Note 2 5 5 2 2 2" xfId="18032" xr:uid="{A3BB7A71-3AFF-4382-A3F0-C6BA4E2F67AD}"/>
    <cellStyle name="Note 2 5 5 2 3" xfId="13815" xr:uid="{E70196C3-E227-4473-B5A4-F7AA4492384A}"/>
    <cellStyle name="Note 2 5 5 3" xfId="6561" xr:uid="{00000000-0005-0000-0000-000042210000}"/>
    <cellStyle name="Note 2 5 5 3 2" xfId="15887" xr:uid="{2F4F9822-FEFA-49E6-AEAE-597CEDBD0814}"/>
    <cellStyle name="Note 2 5 5 4" xfId="11670" xr:uid="{913DAF1B-C66D-4EFA-B52E-62799FB9E097}"/>
    <cellStyle name="Note 2 5 6" xfId="2691" xr:uid="{00000000-0005-0000-0000-000043210000}"/>
    <cellStyle name="Note 2 5 6 2" xfId="6974" xr:uid="{00000000-0005-0000-0000-000044210000}"/>
    <cellStyle name="Note 2 5 6 2 2" xfId="16300" xr:uid="{B13BC3B3-5DA7-4CF9-99AA-8060CB84390C}"/>
    <cellStyle name="Note 2 5 6 3" xfId="12083" xr:uid="{EAC2DBD4-92F1-49C8-99D7-FD128F90CC1F}"/>
    <cellStyle name="Note 2 5 7" xfId="2750" xr:uid="{00000000-0005-0000-0000-000045210000}"/>
    <cellStyle name="Note 2 5 8" xfId="2831" xr:uid="{00000000-0005-0000-0000-000046210000}"/>
    <cellStyle name="Note 2 5 8 2" xfId="7054" xr:uid="{00000000-0005-0000-0000-000047210000}"/>
    <cellStyle name="Note 2 5 8 2 2" xfId="16380" xr:uid="{5F599849-D94D-42D4-8D2B-1F7EECD6B7A3}"/>
    <cellStyle name="Note 2 5 8 3" xfId="12163" xr:uid="{A2B2CA65-A9FD-4AED-A22A-99A5E258116A}"/>
    <cellStyle name="Note 2 5 9" xfId="4909" xr:uid="{00000000-0005-0000-0000-000048210000}"/>
    <cellStyle name="Note 2 5 9 2" xfId="14235" xr:uid="{BBE73B38-A122-47A6-A8E4-CC30B35236A0}"/>
    <cellStyle name="Note 2 6" xfId="9587" xr:uid="{DE0DCBC9-1C06-4AD6-BDCF-10B3C6A625B6}"/>
    <cellStyle name="Note 2 7" xfId="8791" xr:uid="{7AC3614D-154D-4BB0-B207-B3151ECF2433}"/>
    <cellStyle name="Note 2 7 2" xfId="18114" xr:uid="{9E345D58-D882-4645-B267-620FD9AFD7C4}"/>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BD9ACA79-FDB0-452B-BBF5-91C1D119AC64}"/>
    <cellStyle name="Note 3 2 10 3" xfId="12164" xr:uid="{0C40FC2C-247F-43BF-B66D-DFBCB924AECA}"/>
    <cellStyle name="Note 3 2 11" xfId="4910" xr:uid="{00000000-0005-0000-0000-00004D210000}"/>
    <cellStyle name="Note 3 2 11 2" xfId="14236" xr:uid="{4A8DB1E5-794B-403B-B5E9-A7474BC03F48}"/>
    <cellStyle name="Note 3 2 12" xfId="8842" xr:uid="{646587AC-B7A9-43E2-AC1E-1B77745805D8}"/>
    <cellStyle name="Note 3 2 12 2" xfId="18165" xr:uid="{084EA409-B9BE-4714-8BFD-650B916EB6CF}"/>
    <cellStyle name="Note 3 2 13" xfId="10019" xr:uid="{6140A3CA-95E2-4292-8FCA-A717C34FA461}"/>
    <cellStyle name="Note 3 2 2" xfId="555" xr:uid="{00000000-0005-0000-0000-00004E210000}"/>
    <cellStyle name="Note 3 2 2 10" xfId="4911" xr:uid="{00000000-0005-0000-0000-00004F210000}"/>
    <cellStyle name="Note 3 2 2 10 2" xfId="14237" xr:uid="{C52C1893-A1D5-4C29-9B81-E4B8699D5061}"/>
    <cellStyle name="Note 3 2 2 11" xfId="8945" xr:uid="{D320AF38-4F47-4266-9CB9-3BD7E15BFDAE}"/>
    <cellStyle name="Note 3 2 2 11 2" xfId="18268" xr:uid="{81C107E3-C2E8-4AE5-8D54-6023F1C3F24D}"/>
    <cellStyle name="Note 3 2 2 12" xfId="10020" xr:uid="{12487351-82DB-4ADF-A244-62FF1614E7AB}"/>
    <cellStyle name="Note 3 2 2 2" xfId="556" xr:uid="{00000000-0005-0000-0000-000050210000}"/>
    <cellStyle name="Note 3 2 2 2 10" xfId="9152" xr:uid="{24874F5B-4700-44ED-9556-84C4E89A274D}"/>
    <cellStyle name="Note 3 2 2 2 10 2" xfId="18475" xr:uid="{4617A5D5-0000-4B2D-A222-BF82815C42F0}"/>
    <cellStyle name="Note 3 2 2 2 11" xfId="10021" xr:uid="{9ABACC5E-6E37-4820-BB05-696DF0DCF687}"/>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9C72402F-1545-4320-A566-D68E6A1F8577}"/>
    <cellStyle name="Note 3 2 2 2 2 2 3" xfId="12579" xr:uid="{B566BADD-812B-49FC-A821-93BAFA4A57D2}"/>
    <cellStyle name="Note 3 2 2 2 2 3" xfId="5325" xr:uid="{00000000-0005-0000-0000-000054210000}"/>
    <cellStyle name="Note 3 2 2 2 2 3 2" xfId="14651" xr:uid="{167545D4-A91A-4B1B-97ED-9226B18C0C67}"/>
    <cellStyle name="Note 3 2 2 2 2 4" xfId="9577" xr:uid="{7C0C89D7-CA14-4942-89B2-D584AC810EDC}"/>
    <cellStyle name="Note 3 2 2 2 2 4 2" xfId="18890" xr:uid="{1F25D977-119D-4088-9605-493A08AA9AF2}"/>
    <cellStyle name="Note 3 2 2 2 2 5" xfId="10434" xr:uid="{B30EAB42-6170-4659-8F73-817D6A9D9A9D}"/>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FFC863F8-246E-4A44-8150-27FE97493257}"/>
    <cellStyle name="Note 3 2 2 2 3 2 3" xfId="12992" xr:uid="{320CADA0-5086-44E8-A30F-BA7D649A32DE}"/>
    <cellStyle name="Note 3 2 2 2 3 3" xfId="5738" xr:uid="{00000000-0005-0000-0000-000058210000}"/>
    <cellStyle name="Note 3 2 2 2 3 3 2" xfId="15064" xr:uid="{B0DA30A9-179F-42DA-962E-353D67B21E36}"/>
    <cellStyle name="Note 3 2 2 2 3 4" xfId="10847" xr:uid="{88FCC1B4-4E6F-45E5-BE6F-60B987057E7F}"/>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F1EDCE43-5C4B-4662-8038-48EA3427351D}"/>
    <cellStyle name="Note 3 2 2 2 4 2 3" xfId="13405" xr:uid="{B0A9EB9B-7840-4FE3-96F7-4083C02C7966}"/>
    <cellStyle name="Note 3 2 2 2 4 3" xfId="6151" xr:uid="{00000000-0005-0000-0000-00005C210000}"/>
    <cellStyle name="Note 3 2 2 2 4 3 2" xfId="15477" xr:uid="{5BDB5E05-CA85-4123-9804-2AFE85FF70FD}"/>
    <cellStyle name="Note 3 2 2 2 4 4" xfId="11260" xr:uid="{6D99F956-A79B-4AAC-B698-2A5E1DDFE36C}"/>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34C90307-8C57-457B-8E61-8502688C9DBA}"/>
    <cellStyle name="Note 3 2 2 2 5 2 3" xfId="13818" xr:uid="{9C83EF1B-01F2-4DDD-8C07-B3184B16ADFA}"/>
    <cellStyle name="Note 3 2 2 2 5 3" xfId="6564" xr:uid="{00000000-0005-0000-0000-000060210000}"/>
    <cellStyle name="Note 3 2 2 2 5 3 2" xfId="15890" xr:uid="{AA7BFAE9-A969-4EDD-9ECD-49054EDB1CA7}"/>
    <cellStyle name="Note 3 2 2 2 5 4" xfId="11673" xr:uid="{365A11C9-83BE-40CE-844A-22A1F975AF99}"/>
    <cellStyle name="Note 3 2 2 2 6" xfId="2694" xr:uid="{00000000-0005-0000-0000-000061210000}"/>
    <cellStyle name="Note 3 2 2 2 6 2" xfId="6977" xr:uid="{00000000-0005-0000-0000-000062210000}"/>
    <cellStyle name="Note 3 2 2 2 6 2 2" xfId="16303" xr:uid="{A308DD4E-6A29-43A2-8D45-20AC2AD25071}"/>
    <cellStyle name="Note 3 2 2 2 6 3" xfId="12086" xr:uid="{B209A360-5481-4CF4-B690-337B2B8FA0E0}"/>
    <cellStyle name="Note 3 2 2 2 7" xfId="2753" xr:uid="{00000000-0005-0000-0000-000063210000}"/>
    <cellStyle name="Note 3 2 2 2 8" xfId="2834" xr:uid="{00000000-0005-0000-0000-000064210000}"/>
    <cellStyle name="Note 3 2 2 2 8 2" xfId="7057" xr:uid="{00000000-0005-0000-0000-000065210000}"/>
    <cellStyle name="Note 3 2 2 2 8 2 2" xfId="16383" xr:uid="{0163429D-5C90-4BCA-A27D-7DFCAFEB9469}"/>
    <cellStyle name="Note 3 2 2 2 8 3" xfId="12166" xr:uid="{B7B79EA7-0DA0-4090-AAA5-377B0969B61C}"/>
    <cellStyle name="Note 3 2 2 2 9" xfId="4912" xr:uid="{00000000-0005-0000-0000-000066210000}"/>
    <cellStyle name="Note 3 2 2 2 9 2" xfId="14238" xr:uid="{7BDE0645-A750-4105-837D-B922DDAE2B67}"/>
    <cellStyle name="Note 3 2 2 3" xfId="1015" xr:uid="{00000000-0005-0000-0000-000067210000}"/>
    <cellStyle name="Note 3 2 2 3 2" xfId="3247" xr:uid="{00000000-0005-0000-0000-000068210000}"/>
    <cellStyle name="Note 3 2 2 3 2 2" xfId="7469" xr:uid="{00000000-0005-0000-0000-000069210000}"/>
    <cellStyle name="Note 3 2 2 3 2 2 2" xfId="16795" xr:uid="{07927E71-BD0B-42BD-BDCC-5C35BD0683F9}"/>
    <cellStyle name="Note 3 2 2 3 2 3" xfId="12578" xr:uid="{FC5F360D-0F38-4DD8-867C-4DEA1829C89B}"/>
    <cellStyle name="Note 3 2 2 3 3" xfId="5324" xr:uid="{00000000-0005-0000-0000-00006A210000}"/>
    <cellStyle name="Note 3 2 2 3 3 2" xfId="14650" xr:uid="{1A1B0D5E-BFA2-474F-8DCD-AB53BD2A1403}"/>
    <cellStyle name="Note 3 2 2 3 4" xfId="9370" xr:uid="{7A803908-679B-4EF0-9BD4-89724B1FB321}"/>
    <cellStyle name="Note 3 2 2 3 4 2" xfId="18683" xr:uid="{543252B0-0F92-4C73-8EBB-A941DA8F57B5}"/>
    <cellStyle name="Note 3 2 2 3 5" xfId="10433" xr:uid="{D2B936D1-6898-4868-8836-7FEAF2955B5A}"/>
    <cellStyle name="Note 3 2 2 4" xfId="1430" xr:uid="{00000000-0005-0000-0000-00006B210000}"/>
    <cellStyle name="Note 3 2 2 4 2" xfId="3660" xr:uid="{00000000-0005-0000-0000-00006C210000}"/>
    <cellStyle name="Note 3 2 2 4 2 2" xfId="7882" xr:uid="{00000000-0005-0000-0000-00006D210000}"/>
    <cellStyle name="Note 3 2 2 4 2 2 2" xfId="17208" xr:uid="{E79C9E48-CF29-4800-92DE-FCA847BA7B39}"/>
    <cellStyle name="Note 3 2 2 4 2 3" xfId="12991" xr:uid="{12D0F3CA-4525-4E4B-B804-E529D8841A0A}"/>
    <cellStyle name="Note 3 2 2 4 3" xfId="5737" xr:uid="{00000000-0005-0000-0000-00006E210000}"/>
    <cellStyle name="Note 3 2 2 4 3 2" xfId="15063" xr:uid="{AE59E456-1E05-48E4-81F7-90C0ED5FEEEA}"/>
    <cellStyle name="Note 3 2 2 4 4" xfId="10846" xr:uid="{AD39B29E-CA2D-4525-916B-4C07C35058F4}"/>
    <cellStyle name="Note 3 2 2 5" xfId="1844" xr:uid="{00000000-0005-0000-0000-00006F210000}"/>
    <cellStyle name="Note 3 2 2 5 2" xfId="4073" xr:uid="{00000000-0005-0000-0000-000070210000}"/>
    <cellStyle name="Note 3 2 2 5 2 2" xfId="8295" xr:uid="{00000000-0005-0000-0000-000071210000}"/>
    <cellStyle name="Note 3 2 2 5 2 2 2" xfId="17621" xr:uid="{D45235AB-F434-4E99-AD07-FBC708633BAF}"/>
    <cellStyle name="Note 3 2 2 5 2 3" xfId="13404" xr:uid="{8E2EC263-747F-4888-9B49-854856A70707}"/>
    <cellStyle name="Note 3 2 2 5 3" xfId="6150" xr:uid="{00000000-0005-0000-0000-000072210000}"/>
    <cellStyle name="Note 3 2 2 5 3 2" xfId="15476" xr:uid="{D8B8DFE5-C498-4A0A-8C84-512977ED0D90}"/>
    <cellStyle name="Note 3 2 2 5 4" xfId="11259" xr:uid="{BD04BDF1-AF98-4FA4-AC1A-820B2F314B4C}"/>
    <cellStyle name="Note 3 2 2 6" xfId="2257" xr:uid="{00000000-0005-0000-0000-000073210000}"/>
    <cellStyle name="Note 3 2 2 6 2" xfId="4486" xr:uid="{00000000-0005-0000-0000-000074210000}"/>
    <cellStyle name="Note 3 2 2 6 2 2" xfId="8708" xr:uid="{00000000-0005-0000-0000-000075210000}"/>
    <cellStyle name="Note 3 2 2 6 2 2 2" xfId="18034" xr:uid="{ACA50C86-9BC7-432E-B613-AD887184FD65}"/>
    <cellStyle name="Note 3 2 2 6 2 3" xfId="13817" xr:uid="{CEF48D1C-8D29-4C13-AD7A-A3708CD16D58}"/>
    <cellStyle name="Note 3 2 2 6 3" xfId="6563" xr:uid="{00000000-0005-0000-0000-000076210000}"/>
    <cellStyle name="Note 3 2 2 6 3 2" xfId="15889" xr:uid="{07555769-C882-4D10-AEC7-BAC01A5D11CA}"/>
    <cellStyle name="Note 3 2 2 6 4" xfId="11672" xr:uid="{05F62456-C0A9-4FF7-8E03-596C13A56715}"/>
    <cellStyle name="Note 3 2 2 7" xfId="2693" xr:uid="{00000000-0005-0000-0000-000077210000}"/>
    <cellStyle name="Note 3 2 2 7 2" xfId="6976" xr:uid="{00000000-0005-0000-0000-000078210000}"/>
    <cellStyle name="Note 3 2 2 7 2 2" xfId="16302" xr:uid="{BDA31F6B-CF35-4D16-BAFF-64621F74BA2D}"/>
    <cellStyle name="Note 3 2 2 7 3" xfId="12085" xr:uid="{671BF233-D261-4738-BA54-3BD27F0B899D}"/>
    <cellStyle name="Note 3 2 2 8" xfId="2752" xr:uid="{00000000-0005-0000-0000-000079210000}"/>
    <cellStyle name="Note 3 2 2 9" xfId="2833" xr:uid="{00000000-0005-0000-0000-00007A210000}"/>
    <cellStyle name="Note 3 2 2 9 2" xfId="7056" xr:uid="{00000000-0005-0000-0000-00007B210000}"/>
    <cellStyle name="Note 3 2 2 9 2 2" xfId="16382" xr:uid="{36581A5A-560A-4729-BA88-F9216422A7FC}"/>
    <cellStyle name="Note 3 2 2 9 3" xfId="12165" xr:uid="{1F51BD45-74CD-4545-9257-0B25631DBD1B}"/>
    <cellStyle name="Note 3 2 3" xfId="557" xr:uid="{00000000-0005-0000-0000-00007C210000}"/>
    <cellStyle name="Note 3 2 3 10" xfId="9049" xr:uid="{98DA21AE-8EED-4AF2-A5D5-94394E9C9EFE}"/>
    <cellStyle name="Note 3 2 3 10 2" xfId="18372" xr:uid="{77544EF1-01D6-419D-8403-BE8A896E0292}"/>
    <cellStyle name="Note 3 2 3 11" xfId="10022" xr:uid="{B8F0A771-CBB9-475D-8F09-5A5F4CED4776}"/>
    <cellStyle name="Note 3 2 3 2" xfId="1017" xr:uid="{00000000-0005-0000-0000-00007D210000}"/>
    <cellStyle name="Note 3 2 3 2 2" xfId="3249" xr:uid="{00000000-0005-0000-0000-00007E210000}"/>
    <cellStyle name="Note 3 2 3 2 2 2" xfId="7471" xr:uid="{00000000-0005-0000-0000-00007F210000}"/>
    <cellStyle name="Note 3 2 3 2 2 2 2" xfId="16797" xr:uid="{C512C1AD-0F87-4BF7-94CA-FFF5901AB0CC}"/>
    <cellStyle name="Note 3 2 3 2 2 3" xfId="12580" xr:uid="{F0C9F1BE-CEAA-4180-A92D-38D77072F180}"/>
    <cellStyle name="Note 3 2 3 2 3" xfId="5326" xr:uid="{00000000-0005-0000-0000-000080210000}"/>
    <cellStyle name="Note 3 2 3 2 3 2" xfId="14652" xr:uid="{60D34A1B-8085-4372-BA8D-C9C48EA3A07C}"/>
    <cellStyle name="Note 3 2 3 2 4" xfId="9474" xr:uid="{8827394E-7DCF-4E58-BF45-94E8587F7D91}"/>
    <cellStyle name="Note 3 2 3 2 4 2" xfId="18787" xr:uid="{48C2167B-34C8-4A97-9A33-4F29EC1AA91E}"/>
    <cellStyle name="Note 3 2 3 2 5" xfId="10435" xr:uid="{D70FB269-A638-47A1-8296-26927B4518B9}"/>
    <cellStyle name="Note 3 2 3 3" xfId="1432" xr:uid="{00000000-0005-0000-0000-000081210000}"/>
    <cellStyle name="Note 3 2 3 3 2" xfId="3662" xr:uid="{00000000-0005-0000-0000-000082210000}"/>
    <cellStyle name="Note 3 2 3 3 2 2" xfId="7884" xr:uid="{00000000-0005-0000-0000-000083210000}"/>
    <cellStyle name="Note 3 2 3 3 2 2 2" xfId="17210" xr:uid="{57CC957C-C967-44FB-868D-6A460D1BD80F}"/>
    <cellStyle name="Note 3 2 3 3 2 3" xfId="12993" xr:uid="{584E58AA-EF21-4317-AAC8-615B7C3BBEF2}"/>
    <cellStyle name="Note 3 2 3 3 3" xfId="5739" xr:uid="{00000000-0005-0000-0000-000084210000}"/>
    <cellStyle name="Note 3 2 3 3 3 2" xfId="15065" xr:uid="{C7E7A336-9FE9-4C46-BA1B-3B266F072BB9}"/>
    <cellStyle name="Note 3 2 3 3 4" xfId="10848" xr:uid="{BC48527F-0CE7-4150-8F53-2B839A335887}"/>
    <cellStyle name="Note 3 2 3 4" xfId="1846" xr:uid="{00000000-0005-0000-0000-000085210000}"/>
    <cellStyle name="Note 3 2 3 4 2" xfId="4075" xr:uid="{00000000-0005-0000-0000-000086210000}"/>
    <cellStyle name="Note 3 2 3 4 2 2" xfId="8297" xr:uid="{00000000-0005-0000-0000-000087210000}"/>
    <cellStyle name="Note 3 2 3 4 2 2 2" xfId="17623" xr:uid="{577D8C2F-3016-4D19-8ABD-F8E231BD2E20}"/>
    <cellStyle name="Note 3 2 3 4 2 3" xfId="13406" xr:uid="{BF30EA4C-0767-4E81-B6D1-741526AB4B46}"/>
    <cellStyle name="Note 3 2 3 4 3" xfId="6152" xr:uid="{00000000-0005-0000-0000-000088210000}"/>
    <cellStyle name="Note 3 2 3 4 3 2" xfId="15478" xr:uid="{0BBCDD3D-1863-4118-A474-089E6509C406}"/>
    <cellStyle name="Note 3 2 3 4 4" xfId="11261" xr:uid="{E7DEB0DA-DFDA-42CD-AF1C-19E3EBF0962C}"/>
    <cellStyle name="Note 3 2 3 5" xfId="2259" xr:uid="{00000000-0005-0000-0000-000089210000}"/>
    <cellStyle name="Note 3 2 3 5 2" xfId="4488" xr:uid="{00000000-0005-0000-0000-00008A210000}"/>
    <cellStyle name="Note 3 2 3 5 2 2" xfId="8710" xr:uid="{00000000-0005-0000-0000-00008B210000}"/>
    <cellStyle name="Note 3 2 3 5 2 2 2" xfId="18036" xr:uid="{3FA0EE87-BA50-4413-9F0B-083D313792BD}"/>
    <cellStyle name="Note 3 2 3 5 2 3" xfId="13819" xr:uid="{474CF67C-1733-4ED8-AE0C-841680AC60FF}"/>
    <cellStyle name="Note 3 2 3 5 3" xfId="6565" xr:uid="{00000000-0005-0000-0000-00008C210000}"/>
    <cellStyle name="Note 3 2 3 5 3 2" xfId="15891" xr:uid="{AE86F149-02DD-4F54-81E8-375E4DE51A1E}"/>
    <cellStyle name="Note 3 2 3 5 4" xfId="11674" xr:uid="{14D4E172-1A35-4726-8C3B-D5E411DF89B9}"/>
    <cellStyle name="Note 3 2 3 6" xfId="2695" xr:uid="{00000000-0005-0000-0000-00008D210000}"/>
    <cellStyle name="Note 3 2 3 6 2" xfId="6978" xr:uid="{00000000-0005-0000-0000-00008E210000}"/>
    <cellStyle name="Note 3 2 3 6 2 2" xfId="16304" xr:uid="{75958999-21D4-4F9C-BD29-DE9BEC085283}"/>
    <cellStyle name="Note 3 2 3 6 3" xfId="12087" xr:uid="{FA5076D5-3404-4801-A3B8-3720190CF924}"/>
    <cellStyle name="Note 3 2 3 7" xfId="2754" xr:uid="{00000000-0005-0000-0000-00008F210000}"/>
    <cellStyle name="Note 3 2 3 8" xfId="2835" xr:uid="{00000000-0005-0000-0000-000090210000}"/>
    <cellStyle name="Note 3 2 3 8 2" xfId="7058" xr:uid="{00000000-0005-0000-0000-000091210000}"/>
    <cellStyle name="Note 3 2 3 8 2 2" xfId="16384" xr:uid="{5FBDB540-D95C-41D8-8A4B-79BA15585658}"/>
    <cellStyle name="Note 3 2 3 8 3" xfId="12167" xr:uid="{7FD2DF9A-840C-4B2F-B907-F12E615B1216}"/>
    <cellStyle name="Note 3 2 3 9" xfId="4913" xr:uid="{00000000-0005-0000-0000-000092210000}"/>
    <cellStyle name="Note 3 2 3 9 2" xfId="14239" xr:uid="{7E185C05-F24E-44F4-ACA7-6A288392ADA7}"/>
    <cellStyle name="Note 3 2 4" xfId="1014" xr:uid="{00000000-0005-0000-0000-000093210000}"/>
    <cellStyle name="Note 3 2 4 2" xfId="3246" xr:uid="{00000000-0005-0000-0000-000094210000}"/>
    <cellStyle name="Note 3 2 4 2 2" xfId="7468" xr:uid="{00000000-0005-0000-0000-000095210000}"/>
    <cellStyle name="Note 3 2 4 2 2 2" xfId="16794" xr:uid="{69F048C4-0061-4E2F-B9B6-4EBD563F2A01}"/>
    <cellStyle name="Note 3 2 4 2 3" xfId="12577" xr:uid="{13B016BD-539F-459C-8877-CE4A3E73ED66}"/>
    <cellStyle name="Note 3 2 4 3" xfId="5323" xr:uid="{00000000-0005-0000-0000-000096210000}"/>
    <cellStyle name="Note 3 2 4 3 2" xfId="14649" xr:uid="{E9751E40-C0AD-4E55-9ABC-439A35BB29A4}"/>
    <cellStyle name="Note 3 2 4 4" xfId="9267" xr:uid="{1291CED5-E18E-4F1A-8856-A132B18F5C81}"/>
    <cellStyle name="Note 3 2 4 4 2" xfId="18580" xr:uid="{C79C35F2-3509-4BA7-9A00-94E6DEAD5937}"/>
    <cellStyle name="Note 3 2 4 5" xfId="10432" xr:uid="{72BA5AF8-EFB8-4C5A-8EED-7F9B6E108E3B}"/>
    <cellStyle name="Note 3 2 5" xfId="1429" xr:uid="{00000000-0005-0000-0000-000097210000}"/>
    <cellStyle name="Note 3 2 5 2" xfId="3659" xr:uid="{00000000-0005-0000-0000-000098210000}"/>
    <cellStyle name="Note 3 2 5 2 2" xfId="7881" xr:uid="{00000000-0005-0000-0000-000099210000}"/>
    <cellStyle name="Note 3 2 5 2 2 2" xfId="17207" xr:uid="{DE47B7DE-B491-4F68-907E-7CDFC031001C}"/>
    <cellStyle name="Note 3 2 5 2 3" xfId="12990" xr:uid="{073D0AB4-183D-455C-A426-6AE4CB7FECA0}"/>
    <cellStyle name="Note 3 2 5 3" xfId="5736" xr:uid="{00000000-0005-0000-0000-00009A210000}"/>
    <cellStyle name="Note 3 2 5 3 2" xfId="15062" xr:uid="{FA4EB71B-29BC-4723-AD91-CDF11D7F93F4}"/>
    <cellStyle name="Note 3 2 5 4" xfId="10845" xr:uid="{B3C87593-0FB6-4E7F-A070-5E8A0D6951B3}"/>
    <cellStyle name="Note 3 2 6" xfId="1843" xr:uid="{00000000-0005-0000-0000-00009B210000}"/>
    <cellStyle name="Note 3 2 6 2" xfId="4072" xr:uid="{00000000-0005-0000-0000-00009C210000}"/>
    <cellStyle name="Note 3 2 6 2 2" xfId="8294" xr:uid="{00000000-0005-0000-0000-00009D210000}"/>
    <cellStyle name="Note 3 2 6 2 2 2" xfId="17620" xr:uid="{6481E335-9744-4BFD-A16C-FEC080D2AF4A}"/>
    <cellStyle name="Note 3 2 6 2 3" xfId="13403" xr:uid="{05DDF380-358A-4C5E-9DF0-BFFBDAD64F22}"/>
    <cellStyle name="Note 3 2 6 3" xfId="6149" xr:uid="{00000000-0005-0000-0000-00009E210000}"/>
    <cellStyle name="Note 3 2 6 3 2" xfId="15475" xr:uid="{BF77E80C-B001-4A1E-8CA6-A8B7103E9EF1}"/>
    <cellStyle name="Note 3 2 6 4" xfId="11258" xr:uid="{921A9AC9-7369-482B-B3B3-035EAB18BA4B}"/>
    <cellStyle name="Note 3 2 7" xfId="2256" xr:uid="{00000000-0005-0000-0000-00009F210000}"/>
    <cellStyle name="Note 3 2 7 2" xfId="4485" xr:uid="{00000000-0005-0000-0000-0000A0210000}"/>
    <cellStyle name="Note 3 2 7 2 2" xfId="8707" xr:uid="{00000000-0005-0000-0000-0000A1210000}"/>
    <cellStyle name="Note 3 2 7 2 2 2" xfId="18033" xr:uid="{4B1391E0-BF8A-4272-A926-72891BAFAD18}"/>
    <cellStyle name="Note 3 2 7 2 3" xfId="13816" xr:uid="{E6D086D6-CA0C-44A0-866A-64F2E2DBC691}"/>
    <cellStyle name="Note 3 2 7 3" xfId="6562" xr:uid="{00000000-0005-0000-0000-0000A2210000}"/>
    <cellStyle name="Note 3 2 7 3 2" xfId="15888" xr:uid="{7A990B2B-F892-450B-90FF-659D6D4C528F}"/>
    <cellStyle name="Note 3 2 7 4" xfId="11671" xr:uid="{BCE7B0F7-237D-4102-952B-AFF93B578FAA}"/>
    <cellStyle name="Note 3 2 8" xfId="2692" xr:uid="{00000000-0005-0000-0000-0000A3210000}"/>
    <cellStyle name="Note 3 2 8 2" xfId="6975" xr:uid="{00000000-0005-0000-0000-0000A4210000}"/>
    <cellStyle name="Note 3 2 8 2 2" xfId="16301" xr:uid="{505F65DD-B721-4B21-A9A2-BE7D264FD892}"/>
    <cellStyle name="Note 3 2 8 3" xfId="12084" xr:uid="{D60AAF1D-F178-4993-9AB0-02FDF52EC791}"/>
    <cellStyle name="Note 3 2 9" xfId="2751" xr:uid="{00000000-0005-0000-0000-0000A5210000}"/>
    <cellStyle name="Note 3 3" xfId="558" xr:uid="{00000000-0005-0000-0000-0000A6210000}"/>
    <cellStyle name="Note 3 3 10" xfId="4914" xr:uid="{00000000-0005-0000-0000-0000A7210000}"/>
    <cellStyle name="Note 3 3 10 2" xfId="14240" xr:uid="{C357F1EC-3D60-4928-BD85-EC81E80C84C7}"/>
    <cellStyle name="Note 3 3 11" xfId="8892" xr:uid="{8511F94A-7472-4DD0-A9AB-40754FEE5F47}"/>
    <cellStyle name="Note 3 3 11 2" xfId="18215" xr:uid="{5E4776E6-9F40-430D-955C-F99EE95CBDA7}"/>
    <cellStyle name="Note 3 3 12" xfId="10023" xr:uid="{16A330D8-119F-4F11-B260-44FFD5800425}"/>
    <cellStyle name="Note 3 3 2" xfId="559" xr:uid="{00000000-0005-0000-0000-0000A8210000}"/>
    <cellStyle name="Note 3 3 2 10" xfId="9099" xr:uid="{29F3AC20-D296-4B59-BA53-0A5C025B0569}"/>
    <cellStyle name="Note 3 3 2 10 2" xfId="18422" xr:uid="{8623034C-66B0-48CC-A4CF-37D7A23CC659}"/>
    <cellStyle name="Note 3 3 2 11" xfId="10024" xr:uid="{D2415FD0-5EFD-4406-9C80-00AF87B6821B}"/>
    <cellStyle name="Note 3 3 2 2" xfId="1019" xr:uid="{00000000-0005-0000-0000-0000A9210000}"/>
    <cellStyle name="Note 3 3 2 2 2" xfId="3251" xr:uid="{00000000-0005-0000-0000-0000AA210000}"/>
    <cellStyle name="Note 3 3 2 2 2 2" xfId="7473" xr:uid="{00000000-0005-0000-0000-0000AB210000}"/>
    <cellStyle name="Note 3 3 2 2 2 2 2" xfId="16799" xr:uid="{3EFBE2C5-C445-4849-87EB-5527297C4236}"/>
    <cellStyle name="Note 3 3 2 2 2 3" xfId="12582" xr:uid="{B92E2F78-DDA8-41AC-A6C5-7DA31888925D}"/>
    <cellStyle name="Note 3 3 2 2 3" xfId="5328" xr:uid="{00000000-0005-0000-0000-0000AC210000}"/>
    <cellStyle name="Note 3 3 2 2 3 2" xfId="14654" xr:uid="{FAD185F4-2515-457F-8F10-EC03E383F4EB}"/>
    <cellStyle name="Note 3 3 2 2 4" xfId="9524" xr:uid="{D03F5DE7-D9AB-48C0-A1E3-0A929D2C18C5}"/>
    <cellStyle name="Note 3 3 2 2 4 2" xfId="18837" xr:uid="{7DC40E16-528C-4F6F-B372-23E13A66AA78}"/>
    <cellStyle name="Note 3 3 2 2 5" xfId="10437" xr:uid="{DAD1818D-8B88-412A-AF55-F225338A0C2D}"/>
    <cellStyle name="Note 3 3 2 3" xfId="1434" xr:uid="{00000000-0005-0000-0000-0000AD210000}"/>
    <cellStyle name="Note 3 3 2 3 2" xfId="3664" xr:uid="{00000000-0005-0000-0000-0000AE210000}"/>
    <cellStyle name="Note 3 3 2 3 2 2" xfId="7886" xr:uid="{00000000-0005-0000-0000-0000AF210000}"/>
    <cellStyle name="Note 3 3 2 3 2 2 2" xfId="17212" xr:uid="{626FD867-6F44-4F94-86A8-AA1154315641}"/>
    <cellStyle name="Note 3 3 2 3 2 3" xfId="12995" xr:uid="{601D7CFD-645A-4551-9F63-8117AB04DC85}"/>
    <cellStyle name="Note 3 3 2 3 3" xfId="5741" xr:uid="{00000000-0005-0000-0000-0000B0210000}"/>
    <cellStyle name="Note 3 3 2 3 3 2" xfId="15067" xr:uid="{C1CC8320-39E3-4ABC-9589-1BDAABBDD3F3}"/>
    <cellStyle name="Note 3 3 2 3 4" xfId="10850" xr:uid="{0CA31DB6-C214-4E33-AEF8-080C4787AB21}"/>
    <cellStyle name="Note 3 3 2 4" xfId="1848" xr:uid="{00000000-0005-0000-0000-0000B1210000}"/>
    <cellStyle name="Note 3 3 2 4 2" xfId="4077" xr:uid="{00000000-0005-0000-0000-0000B2210000}"/>
    <cellStyle name="Note 3 3 2 4 2 2" xfId="8299" xr:uid="{00000000-0005-0000-0000-0000B3210000}"/>
    <cellStyle name="Note 3 3 2 4 2 2 2" xfId="17625" xr:uid="{1AAB0F17-0FEF-41EC-9DB8-E27036560958}"/>
    <cellStyle name="Note 3 3 2 4 2 3" xfId="13408" xr:uid="{71EA124C-F8F4-477F-A1F9-FB7F50F7564C}"/>
    <cellStyle name="Note 3 3 2 4 3" xfId="6154" xr:uid="{00000000-0005-0000-0000-0000B4210000}"/>
    <cellStyle name="Note 3 3 2 4 3 2" xfId="15480" xr:uid="{D1C3F76B-168F-45B4-90FF-46AAAEBCC834}"/>
    <cellStyle name="Note 3 3 2 4 4" xfId="11263" xr:uid="{FB1162E4-59EF-4A0B-AE5A-3C7976600E7D}"/>
    <cellStyle name="Note 3 3 2 5" xfId="2261" xr:uid="{00000000-0005-0000-0000-0000B5210000}"/>
    <cellStyle name="Note 3 3 2 5 2" xfId="4490" xr:uid="{00000000-0005-0000-0000-0000B6210000}"/>
    <cellStyle name="Note 3 3 2 5 2 2" xfId="8712" xr:uid="{00000000-0005-0000-0000-0000B7210000}"/>
    <cellStyle name="Note 3 3 2 5 2 2 2" xfId="18038" xr:uid="{CA478E5D-C0EE-4775-BD4A-3FA83B84C539}"/>
    <cellStyle name="Note 3 3 2 5 2 3" xfId="13821" xr:uid="{BFAC0A57-6ABF-4434-9CFC-827B9C1E6523}"/>
    <cellStyle name="Note 3 3 2 5 3" xfId="6567" xr:uid="{00000000-0005-0000-0000-0000B8210000}"/>
    <cellStyle name="Note 3 3 2 5 3 2" xfId="15893" xr:uid="{D4BD69CF-A437-49E9-BBD0-EC95627EA683}"/>
    <cellStyle name="Note 3 3 2 5 4" xfId="11676" xr:uid="{EA0233BE-6B95-48E9-98CF-6A0AA95374F1}"/>
    <cellStyle name="Note 3 3 2 6" xfId="2697" xr:uid="{00000000-0005-0000-0000-0000B9210000}"/>
    <cellStyle name="Note 3 3 2 6 2" xfId="6980" xr:uid="{00000000-0005-0000-0000-0000BA210000}"/>
    <cellStyle name="Note 3 3 2 6 2 2" xfId="16306" xr:uid="{8DF1C3A2-D987-479E-8803-88602C8AEEE3}"/>
    <cellStyle name="Note 3 3 2 6 3" xfId="12089" xr:uid="{39672BF6-2196-4A8F-A80F-928C7CD42D56}"/>
    <cellStyle name="Note 3 3 2 7" xfId="2756" xr:uid="{00000000-0005-0000-0000-0000BB210000}"/>
    <cellStyle name="Note 3 3 2 8" xfId="2837" xr:uid="{00000000-0005-0000-0000-0000BC210000}"/>
    <cellStyle name="Note 3 3 2 8 2" xfId="7060" xr:uid="{00000000-0005-0000-0000-0000BD210000}"/>
    <cellStyle name="Note 3 3 2 8 2 2" xfId="16386" xr:uid="{33C12DDB-691B-4339-9451-C155A70FABA1}"/>
    <cellStyle name="Note 3 3 2 8 3" xfId="12169" xr:uid="{95F055FF-34FD-4D85-A5C4-FB31C12A0121}"/>
    <cellStyle name="Note 3 3 2 9" xfId="4915" xr:uid="{00000000-0005-0000-0000-0000BE210000}"/>
    <cellStyle name="Note 3 3 2 9 2" xfId="14241" xr:uid="{A7C09955-485B-4ABE-BB43-02E0962E4381}"/>
    <cellStyle name="Note 3 3 3" xfId="1018" xr:uid="{00000000-0005-0000-0000-0000BF210000}"/>
    <cellStyle name="Note 3 3 3 2" xfId="3250" xr:uid="{00000000-0005-0000-0000-0000C0210000}"/>
    <cellStyle name="Note 3 3 3 2 2" xfId="7472" xr:uid="{00000000-0005-0000-0000-0000C1210000}"/>
    <cellStyle name="Note 3 3 3 2 2 2" xfId="16798" xr:uid="{D0F1C558-1C82-4934-8724-700317014F2B}"/>
    <cellStyle name="Note 3 3 3 2 3" xfId="12581" xr:uid="{F4C4B0CE-CA97-4F61-9992-C0869B5B0670}"/>
    <cellStyle name="Note 3 3 3 3" xfId="5327" xr:uid="{00000000-0005-0000-0000-0000C2210000}"/>
    <cellStyle name="Note 3 3 3 3 2" xfId="14653" xr:uid="{5920E78E-2E33-48CA-B36B-BF786C44842D}"/>
    <cellStyle name="Note 3 3 3 4" xfId="9317" xr:uid="{171D8024-554D-4F15-BFD3-81CBE1A601EA}"/>
    <cellStyle name="Note 3 3 3 4 2" xfId="18630" xr:uid="{E22AFB1C-F951-4DF4-AE94-C5EA77EB3F5A}"/>
    <cellStyle name="Note 3 3 3 5" xfId="10436" xr:uid="{01DEFE48-A652-4C6C-806E-67301A2BA5D2}"/>
    <cellStyle name="Note 3 3 4" xfId="1433" xr:uid="{00000000-0005-0000-0000-0000C3210000}"/>
    <cellStyle name="Note 3 3 4 2" xfId="3663" xr:uid="{00000000-0005-0000-0000-0000C4210000}"/>
    <cellStyle name="Note 3 3 4 2 2" xfId="7885" xr:uid="{00000000-0005-0000-0000-0000C5210000}"/>
    <cellStyle name="Note 3 3 4 2 2 2" xfId="17211" xr:uid="{E545FB83-E312-4F53-92AF-E3EC57A443B7}"/>
    <cellStyle name="Note 3 3 4 2 3" xfId="12994" xr:uid="{AFFCF543-CDD4-4CFA-BBAD-5397643F8126}"/>
    <cellStyle name="Note 3 3 4 3" xfId="5740" xr:uid="{00000000-0005-0000-0000-0000C6210000}"/>
    <cellStyle name="Note 3 3 4 3 2" xfId="15066" xr:uid="{7FCA2379-1411-426E-AE20-0E0EECCC6908}"/>
    <cellStyle name="Note 3 3 4 4" xfId="10849" xr:uid="{8D17DB11-FB9D-414E-BB3E-1C0EC6EA9234}"/>
    <cellStyle name="Note 3 3 5" xfId="1847" xr:uid="{00000000-0005-0000-0000-0000C7210000}"/>
    <cellStyle name="Note 3 3 5 2" xfId="4076" xr:uid="{00000000-0005-0000-0000-0000C8210000}"/>
    <cellStyle name="Note 3 3 5 2 2" xfId="8298" xr:uid="{00000000-0005-0000-0000-0000C9210000}"/>
    <cellStyle name="Note 3 3 5 2 2 2" xfId="17624" xr:uid="{9DA8FB35-6C16-4B3E-AA94-12BB897916F8}"/>
    <cellStyle name="Note 3 3 5 2 3" xfId="13407" xr:uid="{7CB11714-42CC-4C3F-BA5C-BC2FAA88A219}"/>
    <cellStyle name="Note 3 3 5 3" xfId="6153" xr:uid="{00000000-0005-0000-0000-0000CA210000}"/>
    <cellStyle name="Note 3 3 5 3 2" xfId="15479" xr:uid="{59E32949-62D4-4130-885D-8BF16367CEDB}"/>
    <cellStyle name="Note 3 3 5 4" xfId="11262" xr:uid="{AD341017-A227-449A-9575-25CC746B0C1B}"/>
    <cellStyle name="Note 3 3 6" xfId="2260" xr:uid="{00000000-0005-0000-0000-0000CB210000}"/>
    <cellStyle name="Note 3 3 6 2" xfId="4489" xr:uid="{00000000-0005-0000-0000-0000CC210000}"/>
    <cellStyle name="Note 3 3 6 2 2" xfId="8711" xr:uid="{00000000-0005-0000-0000-0000CD210000}"/>
    <cellStyle name="Note 3 3 6 2 2 2" xfId="18037" xr:uid="{9BC04690-2209-4C2A-B7F9-85AFC855C6FE}"/>
    <cellStyle name="Note 3 3 6 2 3" xfId="13820" xr:uid="{5AC92660-9A99-4CD2-B703-DBAC4A0EAE64}"/>
    <cellStyle name="Note 3 3 6 3" xfId="6566" xr:uid="{00000000-0005-0000-0000-0000CE210000}"/>
    <cellStyle name="Note 3 3 6 3 2" xfId="15892" xr:uid="{57BDFFA2-EEC6-4E5F-A5A3-E3E0213FAC08}"/>
    <cellStyle name="Note 3 3 6 4" xfId="11675" xr:uid="{A91853AA-79D4-4C8F-9A95-6FADE0C0B3CE}"/>
    <cellStyle name="Note 3 3 7" xfId="2696" xr:uid="{00000000-0005-0000-0000-0000CF210000}"/>
    <cellStyle name="Note 3 3 7 2" xfId="6979" xr:uid="{00000000-0005-0000-0000-0000D0210000}"/>
    <cellStyle name="Note 3 3 7 2 2" xfId="16305" xr:uid="{32D1C868-4F3E-49CD-B1F2-16306AAF5028}"/>
    <cellStyle name="Note 3 3 7 3" xfId="12088" xr:uid="{655730E9-25A4-4C8A-8415-A64B4593F15D}"/>
    <cellStyle name="Note 3 3 8" xfId="2755" xr:uid="{00000000-0005-0000-0000-0000D1210000}"/>
    <cellStyle name="Note 3 3 9" xfId="2836" xr:uid="{00000000-0005-0000-0000-0000D2210000}"/>
    <cellStyle name="Note 3 3 9 2" xfId="7059" xr:uid="{00000000-0005-0000-0000-0000D3210000}"/>
    <cellStyle name="Note 3 3 9 2 2" xfId="16385" xr:uid="{388E388F-A01C-4168-9B4C-B6FA725CF80F}"/>
    <cellStyle name="Note 3 3 9 3" xfId="12168" xr:uid="{63B01221-6BFA-47D1-B2B2-74914E7CFA7A}"/>
    <cellStyle name="Note 3 4" xfId="560" xr:uid="{00000000-0005-0000-0000-0000D4210000}"/>
    <cellStyle name="Note 3 4 10" xfId="8996" xr:uid="{0D704BEA-0820-4E61-9EA3-F4C1E73C6543}"/>
    <cellStyle name="Note 3 4 10 2" xfId="18319" xr:uid="{D1F5286E-3916-451F-BCF4-328E5B1AB3DC}"/>
    <cellStyle name="Note 3 4 11" xfId="10025" xr:uid="{E73B1882-61DA-44FB-8701-56EB67D049DE}"/>
    <cellStyle name="Note 3 4 2" xfId="1020" xr:uid="{00000000-0005-0000-0000-0000D5210000}"/>
    <cellStyle name="Note 3 4 2 2" xfId="3252" xr:uid="{00000000-0005-0000-0000-0000D6210000}"/>
    <cellStyle name="Note 3 4 2 2 2" xfId="7474" xr:uid="{00000000-0005-0000-0000-0000D7210000}"/>
    <cellStyle name="Note 3 4 2 2 2 2" xfId="16800" xr:uid="{E9A28430-560F-4E21-97F3-1C0EFD5321D7}"/>
    <cellStyle name="Note 3 4 2 2 3" xfId="12583" xr:uid="{64C10E6B-71E1-4792-BCBD-6E84401AAD56}"/>
    <cellStyle name="Note 3 4 2 3" xfId="5329" xr:uid="{00000000-0005-0000-0000-0000D8210000}"/>
    <cellStyle name="Note 3 4 2 3 2" xfId="14655" xr:uid="{40B309C6-362E-4C13-9588-9197601D322D}"/>
    <cellStyle name="Note 3 4 2 4" xfId="9421" xr:uid="{EC0A57E0-416C-4EC5-866A-A09E44531CB5}"/>
    <cellStyle name="Note 3 4 2 4 2" xfId="18734" xr:uid="{195B42B0-965F-4BDD-B576-7DF3534DA7A3}"/>
    <cellStyle name="Note 3 4 2 5" xfId="10438" xr:uid="{C4FADAC2-F783-4275-ACC0-6EC248C217D6}"/>
    <cellStyle name="Note 3 4 3" xfId="1435" xr:uid="{00000000-0005-0000-0000-0000D9210000}"/>
    <cellStyle name="Note 3 4 3 2" xfId="3665" xr:uid="{00000000-0005-0000-0000-0000DA210000}"/>
    <cellStyle name="Note 3 4 3 2 2" xfId="7887" xr:uid="{00000000-0005-0000-0000-0000DB210000}"/>
    <cellStyle name="Note 3 4 3 2 2 2" xfId="17213" xr:uid="{C5D30C17-87E4-4A6F-9E4E-57FF539B9170}"/>
    <cellStyle name="Note 3 4 3 2 3" xfId="12996" xr:uid="{D2480066-16DE-4F0D-B921-C78063440A22}"/>
    <cellStyle name="Note 3 4 3 3" xfId="5742" xr:uid="{00000000-0005-0000-0000-0000DC210000}"/>
    <cellStyle name="Note 3 4 3 3 2" xfId="15068" xr:uid="{23213326-24DC-441F-A73B-3A8C11D353F9}"/>
    <cellStyle name="Note 3 4 3 4" xfId="10851" xr:uid="{872495BA-98FB-478F-981C-6F283A709D9B}"/>
    <cellStyle name="Note 3 4 4" xfId="1849" xr:uid="{00000000-0005-0000-0000-0000DD210000}"/>
    <cellStyle name="Note 3 4 4 2" xfId="4078" xr:uid="{00000000-0005-0000-0000-0000DE210000}"/>
    <cellStyle name="Note 3 4 4 2 2" xfId="8300" xr:uid="{00000000-0005-0000-0000-0000DF210000}"/>
    <cellStyle name="Note 3 4 4 2 2 2" xfId="17626" xr:uid="{B37A12F9-BD97-4FB8-BDEE-FCD731F04639}"/>
    <cellStyle name="Note 3 4 4 2 3" xfId="13409" xr:uid="{87C9B4E6-16C8-470D-85E9-18A24DEF0EE9}"/>
    <cellStyle name="Note 3 4 4 3" xfId="6155" xr:uid="{00000000-0005-0000-0000-0000E0210000}"/>
    <cellStyle name="Note 3 4 4 3 2" xfId="15481" xr:uid="{0AA9CDAA-1696-47DB-B94D-B6DC572B9B7A}"/>
    <cellStyle name="Note 3 4 4 4" xfId="11264" xr:uid="{41D8543A-AE62-434A-83AD-E3C833A5F24A}"/>
    <cellStyle name="Note 3 4 5" xfId="2262" xr:uid="{00000000-0005-0000-0000-0000E1210000}"/>
    <cellStyle name="Note 3 4 5 2" xfId="4491" xr:uid="{00000000-0005-0000-0000-0000E2210000}"/>
    <cellStyle name="Note 3 4 5 2 2" xfId="8713" xr:uid="{00000000-0005-0000-0000-0000E3210000}"/>
    <cellStyle name="Note 3 4 5 2 2 2" xfId="18039" xr:uid="{0ED26760-832D-4C59-B055-86F702B830E6}"/>
    <cellStyle name="Note 3 4 5 2 3" xfId="13822" xr:uid="{FAF97899-44AD-4636-9B78-EC598919F248}"/>
    <cellStyle name="Note 3 4 5 3" xfId="6568" xr:uid="{00000000-0005-0000-0000-0000E4210000}"/>
    <cellStyle name="Note 3 4 5 3 2" xfId="15894" xr:uid="{41306641-D361-4403-BAB8-1387790EAD0A}"/>
    <cellStyle name="Note 3 4 5 4" xfId="11677" xr:uid="{3A0B4182-0E0A-4A69-BF07-CA4D56173EB1}"/>
    <cellStyle name="Note 3 4 6" xfId="2698" xr:uid="{00000000-0005-0000-0000-0000E5210000}"/>
    <cellStyle name="Note 3 4 6 2" xfId="6981" xr:uid="{00000000-0005-0000-0000-0000E6210000}"/>
    <cellStyle name="Note 3 4 6 2 2" xfId="16307" xr:uid="{8718FE3A-9B24-47A3-8CA6-D8520A495688}"/>
    <cellStyle name="Note 3 4 6 3" xfId="12090" xr:uid="{328BD167-4FF2-44F4-901C-4E3A6FB884D2}"/>
    <cellStyle name="Note 3 4 7" xfId="2757" xr:uid="{00000000-0005-0000-0000-0000E7210000}"/>
    <cellStyle name="Note 3 4 8" xfId="2838" xr:uid="{00000000-0005-0000-0000-0000E8210000}"/>
    <cellStyle name="Note 3 4 8 2" xfId="7061" xr:uid="{00000000-0005-0000-0000-0000E9210000}"/>
    <cellStyle name="Note 3 4 8 2 2" xfId="16387" xr:uid="{45421471-CA29-4E74-A2BB-900C15A77833}"/>
    <cellStyle name="Note 3 4 8 3" xfId="12170" xr:uid="{594947C4-A654-4D8D-BC1A-0B8E8E7C8374}"/>
    <cellStyle name="Note 3 4 9" xfId="4916" xr:uid="{00000000-0005-0000-0000-0000EA210000}"/>
    <cellStyle name="Note 3 4 9 2" xfId="14242" xr:uid="{E61DC82B-A656-49E7-A15A-0A2F6F404A06}"/>
    <cellStyle name="Note 3 5" xfId="561" xr:uid="{00000000-0005-0000-0000-0000EB210000}"/>
    <cellStyle name="Note 3 5 10" xfId="9213" xr:uid="{D9D7FB9A-B03C-4A97-A778-36731B43DF3F}"/>
    <cellStyle name="Note 3 5 10 2" xfId="18527" xr:uid="{61AA6558-5F64-4BFA-A874-79E36A2C297E}"/>
    <cellStyle name="Note 3 5 11" xfId="10026" xr:uid="{6F72ABF9-FBED-4983-83A4-D6A624A5FDBE}"/>
    <cellStyle name="Note 3 5 2" xfId="1021" xr:uid="{00000000-0005-0000-0000-0000EC210000}"/>
    <cellStyle name="Note 3 5 2 2" xfId="3253" xr:uid="{00000000-0005-0000-0000-0000ED210000}"/>
    <cellStyle name="Note 3 5 2 2 2" xfId="7475" xr:uid="{00000000-0005-0000-0000-0000EE210000}"/>
    <cellStyle name="Note 3 5 2 2 2 2" xfId="16801" xr:uid="{0BF795CD-99D2-46E5-881E-ED65A2FB578F}"/>
    <cellStyle name="Note 3 5 2 2 3" xfId="12584" xr:uid="{3D9B438D-5FB6-42F6-9028-5E3F18AAA1B6}"/>
    <cellStyle name="Note 3 5 2 3" xfId="5330" xr:uid="{00000000-0005-0000-0000-0000EF210000}"/>
    <cellStyle name="Note 3 5 2 3 2" xfId="14656" xr:uid="{F41C0D9A-F9EE-4C48-A525-34209A14B2DC}"/>
    <cellStyle name="Note 3 5 2 4" xfId="9611" xr:uid="{74765414-66B3-4FDA-BA21-3BFFEF98E338}"/>
    <cellStyle name="Note 3 5 2 4 2" xfId="18909" xr:uid="{2B760AF8-03C2-4211-BB4A-7E69AC47B429}"/>
    <cellStyle name="Note 3 5 2 5" xfId="10439" xr:uid="{F6141A12-43EA-40CD-ABF9-DF698E2B14F4}"/>
    <cellStyle name="Note 3 5 3" xfId="1436" xr:uid="{00000000-0005-0000-0000-0000F0210000}"/>
    <cellStyle name="Note 3 5 3 2" xfId="3666" xr:uid="{00000000-0005-0000-0000-0000F1210000}"/>
    <cellStyle name="Note 3 5 3 2 2" xfId="7888" xr:uid="{00000000-0005-0000-0000-0000F2210000}"/>
    <cellStyle name="Note 3 5 3 2 2 2" xfId="17214" xr:uid="{23066D45-D83B-4E79-95E4-062D4B9CE4FE}"/>
    <cellStyle name="Note 3 5 3 2 3" xfId="12997" xr:uid="{F1889B41-61DD-44D4-B3D5-F38977A3583D}"/>
    <cellStyle name="Note 3 5 3 3" xfId="5743" xr:uid="{00000000-0005-0000-0000-0000F3210000}"/>
    <cellStyle name="Note 3 5 3 3 2" xfId="15069" xr:uid="{CF10B131-CF1A-4697-B2C0-64A381FE766B}"/>
    <cellStyle name="Note 3 5 3 4" xfId="10852" xr:uid="{2DCF9DD2-D1A4-4840-9BBD-14B39D746E3D}"/>
    <cellStyle name="Note 3 5 4" xfId="1850" xr:uid="{00000000-0005-0000-0000-0000F4210000}"/>
    <cellStyle name="Note 3 5 4 2" xfId="4079" xr:uid="{00000000-0005-0000-0000-0000F5210000}"/>
    <cellStyle name="Note 3 5 4 2 2" xfId="8301" xr:uid="{00000000-0005-0000-0000-0000F6210000}"/>
    <cellStyle name="Note 3 5 4 2 2 2" xfId="17627" xr:uid="{88AD5E95-F4EC-418E-AABA-8FACE36792B6}"/>
    <cellStyle name="Note 3 5 4 2 3" xfId="13410" xr:uid="{7C78E868-8F39-4779-AC54-85E7A421D796}"/>
    <cellStyle name="Note 3 5 4 3" xfId="6156" xr:uid="{00000000-0005-0000-0000-0000F7210000}"/>
    <cellStyle name="Note 3 5 4 3 2" xfId="15482" xr:uid="{E1994FE7-015E-4B3E-9760-CD03BE373C90}"/>
    <cellStyle name="Note 3 5 4 4" xfId="11265" xr:uid="{5B46B144-8999-4A1F-87A8-966ED202333C}"/>
    <cellStyle name="Note 3 5 5" xfId="2263" xr:uid="{00000000-0005-0000-0000-0000F8210000}"/>
    <cellStyle name="Note 3 5 5 2" xfId="4492" xr:uid="{00000000-0005-0000-0000-0000F9210000}"/>
    <cellStyle name="Note 3 5 5 2 2" xfId="8714" xr:uid="{00000000-0005-0000-0000-0000FA210000}"/>
    <cellStyle name="Note 3 5 5 2 2 2" xfId="18040" xr:uid="{4022FC9E-25D0-4023-9F6E-D91E63173DDC}"/>
    <cellStyle name="Note 3 5 5 2 3" xfId="13823" xr:uid="{C3F195AF-3237-4A7C-8D3B-E9971C1B4CC7}"/>
    <cellStyle name="Note 3 5 5 3" xfId="6569" xr:uid="{00000000-0005-0000-0000-0000FB210000}"/>
    <cellStyle name="Note 3 5 5 3 2" xfId="15895" xr:uid="{603456BB-AAE9-4DC0-9BEC-1D5428C51BEE}"/>
    <cellStyle name="Note 3 5 5 4" xfId="11678" xr:uid="{6E068474-65DD-4CE6-BF98-C625C2929F19}"/>
    <cellStyle name="Note 3 5 6" xfId="2699" xr:uid="{00000000-0005-0000-0000-0000FC210000}"/>
    <cellStyle name="Note 3 5 6 2" xfId="6982" xr:uid="{00000000-0005-0000-0000-0000FD210000}"/>
    <cellStyle name="Note 3 5 6 2 2" xfId="16308" xr:uid="{20FB9F96-0A38-41E4-BF67-1A18FAC8882B}"/>
    <cellStyle name="Note 3 5 6 3" xfId="12091" xr:uid="{BFB1BDA9-150D-4372-9B0C-2554A5F79732}"/>
    <cellStyle name="Note 3 5 7" xfId="2758" xr:uid="{00000000-0005-0000-0000-0000FE210000}"/>
    <cellStyle name="Note 3 5 8" xfId="2839" xr:uid="{00000000-0005-0000-0000-0000FF210000}"/>
    <cellStyle name="Note 3 5 8 2" xfId="7062" xr:uid="{00000000-0005-0000-0000-000000220000}"/>
    <cellStyle name="Note 3 5 8 2 2" xfId="16388" xr:uid="{9C7EC28C-FCAD-4583-80B2-6060BF04528A}"/>
    <cellStyle name="Note 3 5 8 3" xfId="12171" xr:uid="{359DA9EB-EBB4-4F05-BE1D-EED514947243}"/>
    <cellStyle name="Note 3 5 9" xfId="4917" xr:uid="{00000000-0005-0000-0000-000001220000}"/>
    <cellStyle name="Note 3 5 9 2" xfId="14243" xr:uid="{46457678-E971-4B55-83AD-FC3EF22B0947}"/>
    <cellStyle name="Note 3 6" xfId="9588" xr:uid="{4A2A2C5B-BA67-4FBC-A2F1-7546BE1E0E7F}"/>
    <cellStyle name="Note 3 7" xfId="8789" xr:uid="{EE6BC007-A514-4F23-A927-A69B937DFEC6}"/>
    <cellStyle name="Note 3 7 2" xfId="18112" xr:uid="{A7819234-D745-414E-886C-5F8E0BEB43F2}"/>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4" xr:uid="{2DBC96F0-BC0C-4343-BC2A-A966D665B4FD}"/>
    <cellStyle name="Percent 3 3" xfId="13826" xr:uid="{0B6BF1E2-DD62-494A-AC80-0C859DE291C5}"/>
    <cellStyle name="Percent 4" xfId="4502" xr:uid="{00000000-0005-0000-0000-000007220000}"/>
    <cellStyle name="Percent 4 2" xfId="8717" xr:uid="{00000000-0005-0000-0000-000008220000}"/>
    <cellStyle name="Percent 4 2 2" xfId="18043" xr:uid="{CCA72F9D-0309-404B-81F0-06955FC784E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02533E0F-14DA-4897-B7AB-32C5C6DFB659}"/>
    <cellStyle name="Percent 4 3 2 2 2 2 3" xfId="18059" xr:uid="{23E23BD4-DA35-456A-AA85-3F658D69FA02}"/>
    <cellStyle name="Percent 4 3 2 2 2 3" xfId="18056" xr:uid="{C7296142-B529-4860-A8A8-DAA27281FC96}"/>
    <cellStyle name="Percent 4 3 2 2 3" xfId="18052" xr:uid="{0E436A19-78E7-4799-89CE-0B65E4DD3F51}"/>
    <cellStyle name="Percent 4 3 2 3" xfId="18049" xr:uid="{7589B872-660E-4B78-A8CC-C2A165382FC9}"/>
    <cellStyle name="Percent 4 3 3" xfId="18046" xr:uid="{9C7AAAF3-2AF4-417A-A30F-D7EE4C7445C4}"/>
    <cellStyle name="Percent 4 4" xfId="13829" xr:uid="{391A4B62-EB17-418A-B591-3A4E6441C7F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xwell Albrecht" id="{BEB03B93-21C3-014D-8C28-A66FAA2F7FCD}" userId="S::malbrecht@chpc.net::77c44fb4-a44f-47de-8fde-033085e037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702" dT="2026-01-26T20:23:25.14" personId="{BEB03B93-21C3-014D-8C28-A66FAA2F7FCD}" id="{493D5C27-7C14-FE46-9022-199A2702F778}">
    <text>Submitting CDLAC/TCAC Joint Application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5"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3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3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8" t="s">
        <v>12</v>
      </c>
      <c r="F31" s="2580"/>
      <c r="G31" s="2580"/>
      <c r="H31" s="2580"/>
      <c r="I31" s="2580"/>
      <c r="J31" s="2580"/>
      <c r="K31" s="2580"/>
      <c r="L31" s="2580"/>
      <c r="M31" s="2580"/>
      <c r="N31" s="2580"/>
      <c r="O31" s="2580"/>
      <c r="P31" s="2580"/>
      <c r="Q31" s="2580"/>
      <c r="R31" s="2580"/>
      <c r="S31" s="2580"/>
      <c r="T31" s="2580"/>
      <c r="U31" s="2580"/>
      <c r="V31" s="2580"/>
      <c r="W31" s="2580"/>
      <c r="X31" s="2580"/>
      <c r="Y31" s="2580"/>
      <c r="Z31" s="2580"/>
      <c r="AA31" s="2580"/>
      <c r="AB31" s="2580"/>
      <c r="AC31" s="2580"/>
      <c r="AD31" s="2580"/>
      <c r="AE31" s="2580"/>
      <c r="AF31" s="2580"/>
      <c r="AG31" s="2580"/>
      <c r="AH31" s="2580"/>
      <c r="AI31" s="2580"/>
      <c r="AJ31" s="2580"/>
      <c r="AK31" s="2580"/>
      <c r="AL31" s="136"/>
    </row>
    <row r="32" spans="1:38">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35" customHeight="1">
      <c r="A40" s="3"/>
      <c r="B40"/>
      <c r="C40" s="2"/>
      <c r="D40" s="3"/>
      <c r="E40" s="3" t="s">
        <v>20</v>
      </c>
      <c r="F40" s="1230" t="s">
        <v>21</v>
      </c>
    </row>
    <row r="41" spans="1:38" s="1230"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3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3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9" t="s">
        <v>62</v>
      </c>
      <c r="H88" s="1239"/>
      <c r="I88" s="1239"/>
      <c r="J88" s="1239"/>
      <c r="K88" s="1239"/>
      <c r="L88" s="1239"/>
      <c r="M88" s="1239"/>
      <c r="N88" s="1239"/>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row>
    <row r="89" spans="1:37">
      <c r="A89" s="3"/>
      <c r="C89" s="2"/>
      <c r="D89" s="3"/>
      <c r="E89" s="3"/>
      <c r="G89" s="1239"/>
      <c r="H89" s="1239"/>
      <c r="I89" s="1239"/>
      <c r="J89" s="1239"/>
      <c r="K89" s="1239"/>
      <c r="L89" s="1239"/>
      <c r="M89" s="1239"/>
      <c r="N89" s="1239"/>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row>
    <row r="90" spans="1:37">
      <c r="A90" s="3"/>
      <c r="C90" s="2"/>
      <c r="D90" s="3"/>
      <c r="E90" s="3"/>
      <c r="G90" s="1239"/>
      <c r="H90" s="1239"/>
      <c r="I90" s="1239"/>
      <c r="J90" s="1239"/>
      <c r="K90" s="1239"/>
      <c r="L90" s="1239"/>
      <c r="M90" s="1239"/>
      <c r="N90" s="1239"/>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40" t="s">
        <v>69</v>
      </c>
      <c r="F98" s="1240"/>
      <c r="G98" s="1240"/>
      <c r="H98" s="1240"/>
      <c r="I98" s="1240"/>
      <c r="J98" s="1240"/>
      <c r="K98" s="1240"/>
      <c r="L98" s="1240"/>
      <c r="M98" s="1240"/>
      <c r="N98" s="1240"/>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row>
    <row r="99" spans="1:38">
      <c r="A99" s="3"/>
      <c r="D99" s="74"/>
      <c r="E99" s="1240"/>
      <c r="F99" s="1240"/>
      <c r="G99" s="1240"/>
      <c r="H99" s="1240"/>
      <c r="I99" s="1240"/>
      <c r="J99" s="1240"/>
      <c r="K99" s="1240"/>
      <c r="L99" s="1240"/>
      <c r="M99" s="1240"/>
      <c r="N99" s="1240"/>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c r="AK99" s="1240"/>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2"/>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54" zoomScaleNormal="100" workbookViewId="0">
      <selection activeCell="G113" sqref="G113"/>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52" t="s">
        <v>2580</v>
      </c>
      <c r="B1" s="2552"/>
      <c r="C1" s="2552"/>
      <c r="D1" s="2552"/>
      <c r="E1" s="2552"/>
      <c r="F1" s="2552"/>
      <c r="G1" s="2552"/>
      <c r="H1" s="2552"/>
      <c r="I1" s="2552"/>
      <c r="J1" s="2552"/>
    </row>
    <row r="2" spans="1:13" ht="15" customHeight="1" thickBot="1">
      <c r="A2" s="931"/>
      <c r="B2" s="931"/>
      <c r="I2" s="932"/>
      <c r="K2" s="933"/>
    </row>
    <row r="3" spans="1:13" s="936" customFormat="1" ht="20.100000000000001" customHeight="1">
      <c r="A3" s="983"/>
      <c r="B3" s="984"/>
      <c r="C3" s="985"/>
      <c r="D3" s="990"/>
      <c r="E3" s="985"/>
      <c r="F3" s="986" t="s">
        <v>2581</v>
      </c>
      <c r="G3" s="985"/>
      <c r="H3" s="987">
        <f>E18</f>
        <v>21703762</v>
      </c>
      <c r="I3" s="988"/>
    </row>
    <row r="4" spans="1:13" s="936" customFormat="1" ht="20.100000000000001" customHeight="1">
      <c r="B4" s="977"/>
      <c r="D4" s="991"/>
      <c r="F4" s="976" t="s">
        <v>2582</v>
      </c>
      <c r="G4" s="975" t="s">
        <v>2583</v>
      </c>
      <c r="H4" s="1090">
        <f ca="1">I18</f>
        <v>18833666.660714287</v>
      </c>
      <c r="I4" s="978"/>
      <c r="K4" s="940"/>
    </row>
    <row r="5" spans="1:13" s="936" customFormat="1" ht="20.100000000000001" customHeight="1" thickBot="1">
      <c r="B5" s="979"/>
      <c r="C5" s="980"/>
      <c r="D5" s="992"/>
      <c r="E5" s="981"/>
      <c r="F5" s="992" t="s">
        <v>2584</v>
      </c>
      <c r="G5" s="993"/>
      <c r="H5" s="989">
        <f ca="1">IFERROR(H3/H4,0)</f>
        <v>1.1523917456430579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55" t="s">
        <v>2585</v>
      </c>
      <c r="C8" s="2556"/>
      <c r="D8" s="2556"/>
      <c r="E8" s="2557"/>
      <c r="G8" s="2558" t="s">
        <v>2586</v>
      </c>
      <c r="H8" s="2559"/>
      <c r="I8" s="2560"/>
      <c r="K8" s="942"/>
    </row>
    <row r="9" spans="1:13" ht="15" customHeight="1">
      <c r="A9" s="931"/>
      <c r="B9" s="2553" t="s">
        <v>2587</v>
      </c>
      <c r="C9" s="2553"/>
      <c r="D9" s="2553"/>
      <c r="E9" s="944">
        <f>G33</f>
        <v>4312500</v>
      </c>
      <c r="G9" s="2549" t="s">
        <v>2588</v>
      </c>
      <c r="H9" s="2549"/>
      <c r="I9" s="945">
        <f>MAX(SUMIF(Application!M562:M573,"Loan, Tax-Exempt",Application!AM562:AM573),27.5%*SUM('Sources and Uses Budget'!C8,'Sources and Uses Budget'!S105,'Sources and Uses Budget'!T105))</f>
        <v>17490897</v>
      </c>
      <c r="K9" s="946"/>
      <c r="M9" s="947"/>
    </row>
    <row r="10" spans="1:13" ht="15" customHeight="1" thickBot="1">
      <c r="A10" s="931"/>
      <c r="B10" s="2553" t="s">
        <v>2589</v>
      </c>
      <c r="C10" s="2553"/>
      <c r="D10" s="2553"/>
      <c r="E10" s="945">
        <f>G47</f>
        <v>9195012.0000000019</v>
      </c>
      <c r="G10" s="2551" t="s">
        <v>2590</v>
      </c>
      <c r="H10" s="2551"/>
      <c r="I10" s="1023">
        <f ca="1">IF(OR(Application!Z205="State Farmworker Credit",Application!Z205="$500M (Farmworker Housing)"),0,'Basis &amp; Credits'!AB78)</f>
        <v>5298328</v>
      </c>
      <c r="M10" s="947"/>
    </row>
    <row r="11" spans="1:13" ht="15" customHeight="1">
      <c r="A11" s="931"/>
      <c r="B11" s="2562" t="s">
        <v>2591</v>
      </c>
      <c r="C11" s="2563"/>
      <c r="D11" s="2564"/>
      <c r="E11" s="945">
        <f>SUM(E13,E12)</f>
        <v>520000</v>
      </c>
      <c r="G11" s="2561" t="s">
        <v>2592</v>
      </c>
      <c r="H11" s="2561"/>
      <c r="I11" s="1022">
        <f ca="1">I9+I10</f>
        <v>22789225</v>
      </c>
      <c r="M11" s="947"/>
    </row>
    <row r="12" spans="1:13" ht="15" customHeight="1">
      <c r="A12" s="948"/>
      <c r="B12" s="2554" t="s">
        <v>2593</v>
      </c>
      <c r="C12" s="2554"/>
      <c r="D12" s="2554"/>
      <c r="E12" s="1047">
        <f>G56</f>
        <v>520000</v>
      </c>
      <c r="M12" s="947"/>
    </row>
    <row r="13" spans="1:13" ht="15" customHeight="1">
      <c r="A13" s="934"/>
      <c r="B13" s="2554" t="s">
        <v>2594</v>
      </c>
      <c r="C13" s="2554"/>
      <c r="D13" s="2554"/>
      <c r="E13" s="1047">
        <f>IF(G67,MAX(G65,G79),G65)</f>
        <v>0</v>
      </c>
      <c r="G13" s="2558" t="s">
        <v>2595</v>
      </c>
      <c r="H13" s="2559"/>
      <c r="I13" s="2560"/>
    </row>
    <row r="14" spans="1:13" ht="15" customHeight="1">
      <c r="A14" s="934"/>
      <c r="B14" s="2562" t="s">
        <v>2596</v>
      </c>
      <c r="C14" s="2563"/>
      <c r="D14" s="2564"/>
      <c r="E14" s="1049">
        <f>MAX(E15,E16)+E17</f>
        <v>7676250</v>
      </c>
      <c r="G14" s="2549" t="s">
        <v>2597</v>
      </c>
      <c r="H14" s="2549"/>
      <c r="I14" s="949">
        <f>IF(AND(G134="Yes",G136&lt;&gt;""),IF(OR(G141="Yes",G145="Yes"),18%,15%),0)</f>
        <v>0.15</v>
      </c>
      <c r="M14" s="947"/>
    </row>
    <row r="15" spans="1:13" ht="15" customHeight="1">
      <c r="A15" s="934"/>
      <c r="B15" s="2565" t="s">
        <v>2598</v>
      </c>
      <c r="C15" s="2566"/>
      <c r="D15" s="2567"/>
      <c r="E15" s="1047">
        <f>G94</f>
        <v>0</v>
      </c>
      <c r="G15" s="1020" t="s">
        <v>1904</v>
      </c>
      <c r="H15" s="1020"/>
      <c r="I15" s="949">
        <f>IF(Application!AJ1041&gt;0,10%,IF(Application!AJ1045&gt;0,5%,0))</f>
        <v>0.05</v>
      </c>
      <c r="M15" s="947"/>
    </row>
    <row r="16" spans="1:13" ht="15" customHeight="1">
      <c r="A16" s="934"/>
      <c r="B16" s="2565" t="s">
        <v>2599</v>
      </c>
      <c r="C16" s="2566"/>
      <c r="D16" s="2567"/>
      <c r="E16" s="1047">
        <f>G104</f>
        <v>1725000</v>
      </c>
      <c r="G16" s="2549" t="s">
        <v>2600</v>
      </c>
      <c r="H16" s="2549"/>
      <c r="I16" s="949">
        <f>G155</f>
        <v>-2.642857142857143E-2</v>
      </c>
    </row>
    <row r="17" spans="1:21" ht="15" customHeight="1" thickBot="1">
      <c r="A17" s="934"/>
      <c r="B17" s="2565" t="s">
        <v>2601</v>
      </c>
      <c r="C17" s="2566"/>
      <c r="D17" s="2567"/>
      <c r="E17" s="1047">
        <f>G129</f>
        <v>5951250</v>
      </c>
      <c r="G17" s="2549" t="s">
        <v>2602</v>
      </c>
      <c r="H17" s="2549"/>
      <c r="I17" s="949">
        <f>IF(AND(G161="Yes",G159),IF(G165&gt;15%,15%,G165),0)</f>
        <v>0</v>
      </c>
    </row>
    <row r="18" spans="1:21" ht="15" customHeight="1">
      <c r="A18" s="931"/>
      <c r="B18" s="2550" t="s">
        <v>2603</v>
      </c>
      <c r="C18" s="2550"/>
      <c r="D18" s="2550"/>
      <c r="E18" s="994">
        <f>SUM(E9:E11,E14)</f>
        <v>21703762</v>
      </c>
      <c r="G18" s="1021" t="s">
        <v>2604</v>
      </c>
      <c r="H18" s="1021"/>
      <c r="I18" s="995">
        <f ca="1">I11-((I11*I14)+(I11*I15)+(I11*I16)+(I11*I17))</f>
        <v>18833666.660714287</v>
      </c>
      <c r="M18" s="950">
        <f>SUM(Cdlac[Quantity])</f>
        <v>83</v>
      </c>
      <c r="O18" s="969" t="s">
        <v>943</v>
      </c>
      <c r="P18" s="929">
        <f>MATCH(Application!T189,Application!CB160:CB217,0)</f>
        <v>34</v>
      </c>
      <c r="T18" s="950">
        <f>SUM(Cdlac[Population])</f>
        <v>0</v>
      </c>
    </row>
    <row r="19" spans="1:21" ht="15" customHeight="1">
      <c r="A19" s="931"/>
      <c r="B19" s="931"/>
      <c r="C19" s="931"/>
      <c r="D19" s="931"/>
      <c r="E19" s="931"/>
      <c r="L19" s="929" t="s">
        <v>2605</v>
      </c>
      <c r="M19" s="929" t="s">
        <v>2606</v>
      </c>
      <c r="N19" s="929" t="s">
        <v>2607</v>
      </c>
      <c r="O19" s="929" t="s">
        <v>2608</v>
      </c>
      <c r="P19" s="929" t="s">
        <v>2609</v>
      </c>
      <c r="Q19" s="929" t="s">
        <v>2610</v>
      </c>
      <c r="R19" s="929" t="s">
        <v>2611</v>
      </c>
      <c r="S19" s="929" t="s">
        <v>2612</v>
      </c>
      <c r="T19" s="929" t="s">
        <v>2613</v>
      </c>
      <c r="U19" s="929" t="s">
        <v>1005</v>
      </c>
    </row>
    <row r="20" spans="1:21" ht="15" customHeight="1">
      <c r="B20" s="951" t="str">
        <f>B9</f>
        <v>A. Unit Production Benefit</v>
      </c>
      <c r="C20" s="952"/>
      <c r="D20" s="952"/>
      <c r="E20" s="952"/>
      <c r="F20" s="952"/>
      <c r="G20" s="952"/>
      <c r="H20" s="952"/>
      <c r="I20" s="953"/>
      <c r="L20" s="929">
        <f>IFERROR(MIN(4,MATCH(Application!B726,UnitSizes,0)-1),"")</f>
        <v>1</v>
      </c>
      <c r="M20" s="950">
        <f>Application!G726</f>
        <v>23</v>
      </c>
      <c r="N20" s="956">
        <f>Application!AC726</f>
        <v>0.3</v>
      </c>
      <c r="O20" s="956">
        <f>IF(Cdlac[[#This Row],[Quantity]]&gt;0,IF(Cdlac[[#This Row],[Federal]],30%,IF(AND(OR(NOT($G$38),$G$38=""),$G$43),40%,Cdlac[[#This Row],[iAMI]])),"")</f>
        <v>0.3</v>
      </c>
      <c r="P20" s="950" cm="1">
        <f t="array" ref="P20">IF(Cdlac[[#This Row],[Quantity]]&gt;0,INDEX(TcacRents,$P$18,Cdlac[[#This Row],[Bedrooms]]+1)*Cdlac[[#This Row],[AMI]],"")</f>
        <v>723.6</v>
      </c>
      <c r="Q20" s="1046"/>
      <c r="R20" s="950" cm="1">
        <f t="array" ref="R20">IF(Cdlac[[#This Row],[Quantity]]&gt;0,INDEX(HudFmrs,$P$18,Cdlac[[#This Row],[Bedrooms]]+1),"")</f>
        <v>1777</v>
      </c>
      <c r="S20" s="950">
        <f>IF(Cdlac[[#This Row],[Quantity]]&gt;0,MAX(0,Cdlac[[#This Row],[Fair Market Rent]]-IF(AND($G$37,$G$38,$G$38&lt;&gt;"",NOT(Cdlac[[#This Row],[Federal]]),Cdlac[[#This Row],[Preservation Rent]]&lt;&gt;""),Cdlac[[#This Row],[Preservation Rent]],Cdlac[[#This Row],[Restricted Rent]])),"")</f>
        <v>1053.4000000000001</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3</v>
      </c>
      <c r="N21" s="956">
        <f>Application!AC727</f>
        <v>0.3</v>
      </c>
      <c r="O21" s="956">
        <f>IF(Cdlac[[#This Row],[Quantity]]&gt;0,IF(Cdlac[[#This Row],[Federal]],30%,IF(AND(OR(NOT($G$38),$G$38=""),$G$43),40%,Cdlac[[#This Row],[iAMI]])),"")</f>
        <v>0.3</v>
      </c>
      <c r="P21" s="950" cm="1">
        <f t="array" ref="P21">IF(Cdlac[[#This Row],[Quantity]]&gt;0,INDEX(TcacRents,$P$18,Cdlac[[#This Row],[Bedrooms]]+1)*Cdlac[[#This Row],[AMI]],"")</f>
        <v>868.19999999999993</v>
      </c>
      <c r="Q21" s="1046"/>
      <c r="R21" s="950" cm="1">
        <f t="array" ref="R21">IF(Cdlac[[#This Row],[Quantity]]&gt;0,INDEX(HudFmrs,$P$18,Cdlac[[#This Row],[Bedrooms]]+1),"")</f>
        <v>2206</v>
      </c>
      <c r="S21" s="950">
        <f>IF(Cdlac[[#This Row],[Quantity]]&gt;0,MAX(0,Cdlac[[#This Row],[Fair Market Rent]]-IF(AND($G$37,$G$38,$G$38&lt;&gt;"",NOT(Cdlac[[#This Row],[Federal]]),Cdlac[[#This Row],[Preservation Rent]]&lt;&gt;""),Cdlac[[#This Row],[Preservation Rent]],Cdlac[[#This Row],[Restricted Rent]])),"")</f>
        <v>1337.8000000000002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41" t="s">
        <v>2614</v>
      </c>
      <c r="D22" s="2541" t="s">
        <v>2615</v>
      </c>
      <c r="E22" s="2541" t="s">
        <v>2616</v>
      </c>
      <c r="F22" s="2541" t="s">
        <v>2617</v>
      </c>
      <c r="G22" s="2541" t="s">
        <v>2618</v>
      </c>
      <c r="H22" s="955"/>
      <c r="I22" s="954"/>
      <c r="L22" s="929">
        <f>IFERROR(MIN(4,MATCH(Application!B728,UnitSizes,0)-1),"")</f>
        <v>1</v>
      </c>
      <c r="M22" s="950">
        <f>Application!G728</f>
        <v>21</v>
      </c>
      <c r="N22" s="956">
        <f>Application!AC728</f>
        <v>0.5</v>
      </c>
      <c r="O22" s="956">
        <f>IF(Cdlac[[#This Row],[Quantity]]&gt;0,IF(Cdlac[[#This Row],[Federal]],30%,IF(AND(OR(NOT($G$38),$G$38=""),$G$43),40%,Cdlac[[#This Row],[iAMI]])),"")</f>
        <v>0.5</v>
      </c>
      <c r="P22" s="950" cm="1">
        <f t="array" ref="P22">IF(Cdlac[[#This Row],[Quantity]]&gt;0,INDEX(TcacRents,$P$18,Cdlac[[#This Row],[Bedrooms]]+1)*Cdlac[[#This Row],[AMI]],"")</f>
        <v>1206</v>
      </c>
      <c r="Q22" s="1046"/>
      <c r="R22" s="950" cm="1">
        <f t="array" ref="R22">IF(Cdlac[[#This Row],[Quantity]]&gt;0,INDEX(HudFmrs,$P$18,Cdlac[[#This Row],[Bedrooms]]+1),"")</f>
        <v>1777</v>
      </c>
      <c r="S22" s="950">
        <f>IF(Cdlac[[#This Row],[Quantity]]&gt;0,MAX(0,Cdlac[[#This Row],[Fair Market Rent]]-IF(AND($G$37,$G$38,$G$38&lt;&gt;"",NOT(Cdlac[[#This Row],[Federal]]),Cdlac[[#This Row],[Preservation Rent]]&lt;&gt;""),Cdlac[[#This Row],[Preservation Rent]],Cdlac[[#This Row],[Restricted Rent]])),"")</f>
        <v>571</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42"/>
      <c r="D23" s="2542"/>
      <c r="E23" s="2542"/>
      <c r="F23" s="2542"/>
      <c r="G23" s="2542"/>
      <c r="H23" s="955"/>
      <c r="I23" s="954"/>
      <c r="L23" s="929">
        <f>IFERROR(MIN(4,MATCH(Application!B729,UnitSizes,0)-1),"")</f>
        <v>2</v>
      </c>
      <c r="M23" s="950">
        <f>Application!G729</f>
        <v>4</v>
      </c>
      <c r="N23" s="956">
        <f>Application!AC729</f>
        <v>0.5</v>
      </c>
      <c r="O23" s="956">
        <f>IF(Cdlac[[#This Row],[Quantity]]&gt;0,IF(Cdlac[[#This Row],[Federal]],30%,IF(AND(OR(NOT($G$38),$G$38=""),$G$43),40%,Cdlac[[#This Row],[iAMI]])),"")</f>
        <v>0.5</v>
      </c>
      <c r="P23" s="950" cm="1">
        <f t="array" ref="P23">IF(Cdlac[[#This Row],[Quantity]]&gt;0,INDEX(TcacRents,$P$18,Cdlac[[#This Row],[Bedrooms]]+1)*Cdlac[[#This Row],[AMI]],"")</f>
        <v>1447</v>
      </c>
      <c r="Q23" s="1046"/>
      <c r="R23" s="950" cm="1">
        <f t="array" ref="R23">IF(Cdlac[[#This Row],[Quantity]]&gt;0,INDEX(HudFmrs,$P$18,Cdlac[[#This Row],[Bedrooms]]+1),"")</f>
        <v>2206</v>
      </c>
      <c r="S23" s="950">
        <f>IF(Cdlac[[#This Row],[Quantity]]&gt;0,MAX(0,Cdlac[[#This Row],[Fair Market Rent]]-IF(AND($G$37,$G$38,$G$38&lt;&gt;"",NOT(Cdlac[[#This Row],[Federal]]),Cdlac[[#This Row],[Preservation Rent]]&lt;&gt;""),Cdlac[[#This Row],[Preservation Rent]],Cdlac[[#This Row],[Restricted Rent]])),"")</f>
        <v>759</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1</v>
      </c>
      <c r="M24" s="950">
        <f>Application!G730</f>
        <v>18</v>
      </c>
      <c r="N24" s="956">
        <f>Application!AC730</f>
        <v>0.6</v>
      </c>
      <c r="O24" s="956">
        <f>IF(Cdlac[[#This Row],[Quantity]]&gt;0,IF(Cdlac[[#This Row],[Federal]],30%,IF(AND(OR(NOT($G$38),$G$38=""),$G$43),40%,Cdlac[[#This Row],[iAMI]])),"")</f>
        <v>0.6</v>
      </c>
      <c r="P24" s="950" cm="1">
        <f t="array" ref="P24">IF(Cdlac[[#This Row],[Quantity]]&gt;0,INDEX(TcacRents,$P$18,Cdlac[[#This Row],[Bedrooms]]+1)*Cdlac[[#This Row],[AMI]],"")</f>
        <v>1447.2</v>
      </c>
      <c r="Q24" s="1046"/>
      <c r="R24" s="950" cm="1">
        <f t="array" ref="R24">IF(Cdlac[[#This Row],[Quantity]]&gt;0,INDEX(HudFmrs,$P$18,Cdlac[[#This Row],[Bedrooms]]+1),"")</f>
        <v>1777</v>
      </c>
      <c r="S24" s="950">
        <f>IF(Cdlac[[#This Row],[Quantity]]&gt;0,MAX(0,Cdlac[[#This Row],[Fair Market Rent]]-IF(AND($G$37,$G$38,$G$38&lt;&gt;"",NOT(Cdlac[[#This Row],[Federal]]),Cdlac[[#This Row],[Preservation Rent]]&lt;&gt;""),Cdlac[[#This Row],[Preservation Rent]],Cdlac[[#This Row],[Restricted Rent]])),"")</f>
        <v>329.79999999999995</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70</v>
      </c>
      <c r="F25" s="957">
        <f>E25</f>
        <v>70</v>
      </c>
      <c r="G25" s="957">
        <f>D25*F25</f>
        <v>70</v>
      </c>
      <c r="L25" s="929">
        <f>IFERROR(MIN(4,MATCH(Application!B731,UnitSizes,0)-1),"")</f>
        <v>2</v>
      </c>
      <c r="M25" s="950">
        <f>Application!G731</f>
        <v>4</v>
      </c>
      <c r="N25" s="956">
        <f>Application!AC731</f>
        <v>0.6</v>
      </c>
      <c r="O25" s="956">
        <f>IF(Cdlac[[#This Row],[Quantity]]&gt;0,IF(Cdlac[[#This Row],[Federal]],30%,IF(AND(OR(NOT($G$38),$G$38=""),$G$43),40%,Cdlac[[#This Row],[iAMI]])),"")</f>
        <v>0.6</v>
      </c>
      <c r="P25" s="950" cm="1">
        <f t="array" ref="P25">IF(Cdlac[[#This Row],[Quantity]]&gt;0,INDEX(TcacRents,$P$18,Cdlac[[#This Row],[Bedrooms]]+1)*Cdlac[[#This Row],[AMI]],"")</f>
        <v>1736.3999999999999</v>
      </c>
      <c r="Q25" s="1046"/>
      <c r="R25" s="950" cm="1">
        <f t="array" ref="R25">IF(Cdlac[[#This Row],[Quantity]]&gt;0,INDEX(HudFmrs,$P$18,Cdlac[[#This Row],[Bedrooms]]+1),"")</f>
        <v>2206</v>
      </c>
      <c r="S25" s="950">
        <f>IF(Cdlac[[#This Row],[Quantity]]&gt;0,MAX(0,Cdlac[[#This Row],[Fair Market Rent]]-IF(AND($G$37,$G$38,$G$38&lt;&gt;"",NOT(Cdlac[[#This Row],[Federal]]),Cdlac[[#This Row],[Preservation Rent]]&lt;&gt;""),Cdlac[[#This Row],[Preservation Rent]],Cdlac[[#This Row],[Restricted Rent]])),"")</f>
        <v>469.60000000000014</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13</v>
      </c>
      <c r="F26" s="960">
        <f>SUM(E26:E28)-SUM(F27:F28)</f>
        <v>13</v>
      </c>
      <c r="G26" s="957">
        <f>D26*F26</f>
        <v>16.25</v>
      </c>
      <c r="H26" s="959"/>
      <c r="I26" s="959"/>
      <c r="L26" s="929">
        <f>IFERROR(MIN(4,MATCH(Application!B732,UnitSizes,0)-1),"")</f>
        <v>1</v>
      </c>
      <c r="M26" s="950">
        <f>Application!G732</f>
        <v>8</v>
      </c>
      <c r="N26" s="956">
        <f>Application!AC732</f>
        <v>0.8</v>
      </c>
      <c r="O26" s="956">
        <f>IF(Cdlac[[#This Row],[Quantity]]&gt;0,IF(Cdlac[[#This Row],[Federal]],30%,IF(AND(OR(NOT($G$38),$G$38=""),$G$43),40%,Cdlac[[#This Row],[iAMI]])),"")</f>
        <v>0.8</v>
      </c>
      <c r="P26" s="950" cm="1">
        <f t="array" ref="P26">IF(Cdlac[[#This Row],[Quantity]]&gt;0,INDEX(TcacRents,$P$18,Cdlac[[#This Row],[Bedrooms]]+1)*Cdlac[[#This Row],[AMI]],"")</f>
        <v>1929.6000000000001</v>
      </c>
      <c r="Q26" s="1046"/>
      <c r="R26" s="950" cm="1">
        <f t="array" ref="R26">IF(Cdlac[[#This Row],[Quantity]]&gt;0,INDEX(HudFmrs,$P$18,Cdlac[[#This Row],[Bedrooms]]+1),"")</f>
        <v>1777</v>
      </c>
      <c r="S26" s="950">
        <f>IF(Cdlac[[#This Row],[Quantity]]&gt;0,MAX(0,Cdlac[[#This Row],[Fair Market Rent]]-IF(AND($G$37,$G$38,$G$38&lt;&gt;"",NOT(Cdlac[[#This Row],[Federal]]),Cdlac[[#This Row],[Preservation Rent]]&lt;&gt;""),Cdlac[[#This Row],[Preservation Rent]],Cdlac[[#This Row],[Restricted Rent]])),"")</f>
        <v>0</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f>IFERROR(MIN(4,MATCH(Application!B733,UnitSizes,0)-1),"")</f>
        <v>2</v>
      </c>
      <c r="M27" s="950">
        <f>Application!G733</f>
        <v>2</v>
      </c>
      <c r="N27" s="956">
        <f>Application!AC733</f>
        <v>0.8</v>
      </c>
      <c r="O27" s="956">
        <f>IF(Cdlac[[#This Row],[Quantity]]&gt;0,IF(Cdlac[[#This Row],[Federal]],30%,IF(AND(OR(NOT($G$38),$G$38=""),$G$43),40%,Cdlac[[#This Row],[iAMI]])),"")</f>
        <v>0.8</v>
      </c>
      <c r="P27" s="950" cm="1">
        <f t="array" ref="P27">IF(Cdlac[[#This Row],[Quantity]]&gt;0,INDEX(TcacRents,$P$18,Cdlac[[#This Row],[Bedrooms]]+1)*Cdlac[[#This Row],[AMI]],"")</f>
        <v>2315.2000000000003</v>
      </c>
      <c r="Q27" s="1046"/>
      <c r="R27" s="950" cm="1">
        <f t="array" ref="R27">IF(Cdlac[[#This Row],[Quantity]]&gt;0,INDEX(HudFmrs,$P$18,Cdlac[[#This Row],[Bedrooms]]+1),"")</f>
        <v>2206</v>
      </c>
      <c r="S27" s="950">
        <f>IF(Cdlac[[#This Row],[Quantity]]&gt;0,MAX(0,Cdlac[[#This Row],[Fair Market Rent]]-IF(AND($G$37,$G$38,$G$38&lt;&gt;"",NOT(Cdlac[[#This Row],[Federal]]),Cdlac[[#This Row],[Preservation Rent]]&lt;&gt;""),Cdlac[[#This Row],[Preservation Rent]],Cdlac[[#This Row],[Restricted Rent]])),"")</f>
        <v>0</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69" t="s">
        <v>1921</v>
      </c>
      <c r="D29" s="2570"/>
      <c r="E29" s="973">
        <f>SUM(E24:E28)</f>
        <v>83</v>
      </c>
      <c r="F29" s="973">
        <f>SUM(F24:F28)</f>
        <v>83</v>
      </c>
      <c r="G29" s="974">
        <f>SUMPRODUCT(D24:D28,F24:F28)</f>
        <v>86.25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2618</v>
      </c>
      <c r="G31" s="997">
        <f>G29</f>
        <v>86.25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2619</v>
      </c>
      <c r="F32" s="996" t="s">
        <v>2620</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2621</v>
      </c>
      <c r="F33" s="931"/>
      <c r="G33" s="1002">
        <f>G32*G31</f>
        <v>4312500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2622</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2623</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72" t="str">
        <f>IF(AND(G37,G38,G38&lt;&gt;""),"Enter the average rent charged for each unit type over the last three years, as documented with rent rolls or property audits, in cells Q20:Q44","")</f>
        <v/>
      </c>
      <c r="D39" s="2572"/>
      <c r="E39" s="2572"/>
      <c r="F39" s="2572"/>
      <c r="G39" s="2572"/>
      <c r="H39" s="2572"/>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72"/>
      <c r="D40" s="2572"/>
      <c r="E40" s="2572"/>
      <c r="F40" s="2572"/>
      <c r="G40" s="2572"/>
      <c r="H40" s="2572"/>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72"/>
      <c r="D41" s="2572"/>
      <c r="E41" s="2572"/>
      <c r="F41" s="2572"/>
      <c r="G41" s="2572"/>
      <c r="H41" s="2572"/>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2624</v>
      </c>
      <c r="G42" s="1003" cm="1">
        <f t="array" ref="G42">SUMPRODUCT(Cdlac[Quantity],Cdlac[iAMI],IF(Cdlac[Federal],0,1))/SUMIFS(Cdlac[Quantity],Cdlac[Federal],FALSE)</f>
        <v>0.49999999999999989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2625</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2626</v>
      </c>
      <c r="G45" s="963">
        <f>IFERROR(SUMPRODUCT(Cdlac[Quantity],Cdlac[Delta]),0)</f>
        <v>51083.400000000009</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2627</v>
      </c>
      <c r="F46" s="996" t="s">
        <v>2620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2628</v>
      </c>
      <c r="F47" s="931"/>
      <c r="G47" s="1006">
        <f>G45*G46</f>
        <v>9195012.0000000019</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2629</v>
      </c>
      <c r="G51" s="964">
        <f>SUMIFS(Cdlac[Quantity],Cdlac[iAMI],"&lt;=30%")</f>
        <v>26</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2630</v>
      </c>
      <c r="G52" s="964">
        <f>ROUNDDOWN(E29*50%,0)</f>
        <v>41</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2631</v>
      </c>
      <c r="G54" s="997">
        <f>MIN(G51:G52)</f>
        <v>26</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2619</v>
      </c>
      <c r="F55" s="996" t="s">
        <v>2620</v>
      </c>
      <c r="G55" s="1007">
        <v>20000</v>
      </c>
      <c r="M55" s="950"/>
      <c r="N55" s="956"/>
      <c r="O55" s="956"/>
      <c r="P55" s="950"/>
      <c r="Q55" s="1046"/>
      <c r="R55" s="950"/>
      <c r="S55" s="950"/>
    </row>
    <row r="56" spans="2:21" ht="15" customHeight="1">
      <c r="E56" s="1001" t="s">
        <v>2632</v>
      </c>
      <c r="F56" s="931"/>
      <c r="G56" s="1006">
        <f>G54*G55</f>
        <v>520000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2633</v>
      </c>
      <c r="G60" s="1091">
        <f>T18</f>
        <v>0</v>
      </c>
    </row>
    <row r="61" spans="2:21" ht="15" customHeight="1">
      <c r="E61" s="1000" t="s">
        <v>2630</v>
      </c>
      <c r="G61" s="997">
        <f>ROUNDDOWN(E29*50%,0)</f>
        <v>41</v>
      </c>
    </row>
    <row r="62" spans="2:21" ht="15" customHeight="1">
      <c r="E62" s="1000"/>
      <c r="G62" s="1008"/>
    </row>
    <row r="63" spans="2:21" ht="15" customHeight="1">
      <c r="E63" s="1000" t="s">
        <v>2631</v>
      </c>
      <c r="G63" s="997">
        <f>MIN(G60:G61)</f>
        <v>0</v>
      </c>
    </row>
    <row r="64" spans="2:21" ht="15" customHeight="1">
      <c r="E64" s="1000" t="s">
        <v>2619</v>
      </c>
      <c r="F64" s="996" t="s">
        <v>2620</v>
      </c>
      <c r="G64" s="1007">
        <v>10000</v>
      </c>
    </row>
    <row r="65" spans="5:7" ht="15" customHeight="1">
      <c r="E65" s="1001" t="s">
        <v>2634</v>
      </c>
      <c r="F65" s="931"/>
      <c r="G65" s="1006">
        <f>G63*G64</f>
        <v>0</v>
      </c>
    </row>
    <row r="66" spans="5:7" ht="15" customHeight="1">
      <c r="E66" s="1001"/>
      <c r="F66" s="931"/>
      <c r="G66" s="1006"/>
    </row>
    <row r="67" spans="5:7" ht="15" customHeight="1">
      <c r="E67" s="969" t="s">
        <v>2635</v>
      </c>
      <c r="G67" s="929" t="b">
        <f>Application!V227="Yes"</f>
        <v>0</v>
      </c>
    </row>
    <row r="68" spans="5:7" ht="15" customHeight="1">
      <c r="E68" s="969" t="s">
        <v>2636</v>
      </c>
      <c r="G68" s="1091">
        <f>SUMIF(Application!AK726:AK760,"Homeless",Application!G726:G760)</f>
        <v>0</v>
      </c>
    </row>
    <row r="69" spans="5:7" ht="15" customHeight="1">
      <c r="E69" s="969"/>
    </row>
    <row r="70" spans="5:7" ht="15" customHeight="1">
      <c r="E70" s="969" t="s">
        <v>2637</v>
      </c>
      <c r="G70" s="1092"/>
    </row>
    <row r="71" spans="5:7" ht="15" customHeight="1">
      <c r="E71" s="969" t="s">
        <v>2638</v>
      </c>
      <c r="G71" s="1092"/>
    </row>
    <row r="72" spans="5:7" ht="15" customHeight="1">
      <c r="E72" s="969" t="s">
        <v>2639</v>
      </c>
      <c r="G72" s="1091">
        <f>IF(G71=0,0,(G70/G71)*100000)</f>
        <v>0</v>
      </c>
    </row>
    <row r="73" spans="5:7" ht="15" customHeight="1">
      <c r="E73" s="969" t="s">
        <v>2640</v>
      </c>
      <c r="G73" s="1092"/>
    </row>
    <row r="74" spans="5:7" ht="15" customHeight="1">
      <c r="E74" s="969" t="s">
        <v>2641</v>
      </c>
      <c r="G74" s="1092"/>
    </row>
    <row r="75" spans="5:7" ht="15" customHeight="1">
      <c r="E75" s="969" t="s">
        <v>2642</v>
      </c>
      <c r="G75" s="1091">
        <f>IF(G74=0,0,(G73/G74)*100000)</f>
        <v>0</v>
      </c>
    </row>
    <row r="76" spans="5:7" ht="15" customHeight="1">
      <c r="E76" s="1001"/>
      <c r="F76" s="931"/>
      <c r="G76" s="1006"/>
    </row>
    <row r="77" spans="5:7" ht="15" customHeight="1">
      <c r="E77" s="1000" t="s">
        <v>2631</v>
      </c>
      <c r="G77" s="997">
        <f>IF(OR(G75&gt;G72,G71&lt;100000),G75*G68,G72*G68)</f>
        <v>0</v>
      </c>
    </row>
    <row r="78" spans="5:7" ht="15" customHeight="1">
      <c r="E78" s="1000" t="s">
        <v>2619</v>
      </c>
      <c r="F78" s="996" t="s">
        <v>2620</v>
      </c>
      <c r="G78" s="1007">
        <v>100</v>
      </c>
    </row>
    <row r="79" spans="5:7" ht="15" customHeight="1">
      <c r="E79" s="1001" t="s">
        <v>2634</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2643</v>
      </c>
      <c r="G83" s="928" t="s">
        <v>857</v>
      </c>
      <c r="L83" s="2543" t="s">
        <v>891</v>
      </c>
      <c r="M83" s="2544"/>
      <c r="N83" s="1014">
        <v>30000</v>
      </c>
    </row>
    <row r="84" spans="2:14" ht="15" customHeight="1">
      <c r="C84" s="962" t="s">
        <v>2644</v>
      </c>
      <c r="G84" s="966" t="str">
        <f>IF(Application!D211="Large Family","Yes","No")</f>
        <v>No</v>
      </c>
      <c r="L84" s="2545" t="s">
        <v>895</v>
      </c>
      <c r="M84" s="2546"/>
      <c r="N84" s="1015">
        <v>20000</v>
      </c>
    </row>
    <row r="85" spans="2:14" ht="15" customHeight="1" thickBot="1">
      <c r="C85" s="962" t="s">
        <v>2645</v>
      </c>
      <c r="G85" s="928" t="s">
        <v>700</v>
      </c>
      <c r="L85" s="2547" t="s">
        <v>902</v>
      </c>
      <c r="M85" s="2548"/>
      <c r="N85" s="1016">
        <v>10000</v>
      </c>
    </row>
    <row r="86" spans="2:14" ht="15" customHeight="1" thickBot="1">
      <c r="C86" s="962" t="s">
        <v>2646</v>
      </c>
      <c r="G86" s="929" t="str">
        <f>Application!T193</f>
        <v>Low Resource</v>
      </c>
    </row>
    <row r="87" spans="2:14" ht="15" customHeight="1">
      <c r="C87" s="2575" t="s">
        <v>2647</v>
      </c>
      <c r="D87" s="2575"/>
      <c r="E87" s="2575"/>
      <c r="F87" s="2575"/>
      <c r="G87" s="928" t="s">
        <v>700</v>
      </c>
      <c r="L87" s="1010" t="str">
        <f>'Points System'!H651</f>
        <v>(i)</v>
      </c>
      <c r="M87" s="2609" t="s">
        <v>2494</v>
      </c>
      <c r="N87" s="2610"/>
    </row>
    <row r="88" spans="2:14" ht="15" customHeight="1">
      <c r="C88" s="2575"/>
      <c r="D88" s="2575"/>
      <c r="E88" s="2575"/>
      <c r="F88" s="2575"/>
      <c r="L88" s="1011" t="str">
        <f>'Points System'!H663</f>
        <v>(i)</v>
      </c>
      <c r="M88" s="2611" t="s">
        <v>2648</v>
      </c>
      <c r="N88" s="2612"/>
    </row>
    <row r="89" spans="2:14" ht="15" customHeight="1">
      <c r="C89" s="962"/>
      <c r="L89" s="1011" t="str">
        <f>'Points System'!H698</f>
        <v>N/A</v>
      </c>
      <c r="M89" s="2611" t="s">
        <v>2649</v>
      </c>
      <c r="N89" s="2612"/>
    </row>
    <row r="90" spans="2:14" ht="15" customHeight="1">
      <c r="E90" s="969" t="s">
        <v>2650</v>
      </c>
      <c r="G90" s="964" t="b">
        <f>OR(AND(COUNTIFS(G84:G85,"Yes")&gt;=1,G83="Yes"),G87="Yes")</f>
        <v>0</v>
      </c>
      <c r="L90" s="1011" t="str">
        <f>IF(OR('Points System'!H722="(ii)",'Points System'!H722="(i)"),"(i)","N/A")</f>
        <v>(i)</v>
      </c>
      <c r="M90" s="2611" t="s">
        <v>2651</v>
      </c>
      <c r="N90" s="2612"/>
    </row>
    <row r="91" spans="2:14" ht="15" customHeight="1">
      <c r="E91" s="969"/>
      <c r="G91" s="964"/>
      <c r="L91" s="1012" t="str">
        <f>'Points System'!H736</f>
        <v>N/A</v>
      </c>
      <c r="M91" s="2611" t="s">
        <v>2535</v>
      </c>
      <c r="N91" s="2612"/>
    </row>
    <row r="92" spans="2:14" ht="15" customHeight="1">
      <c r="E92" s="969" t="s">
        <v>2619</v>
      </c>
      <c r="G92" s="963">
        <f>IFERROR(IF($G$87="Yes",30000,INDEX(N83:N85,MATCH(LEFT(G86,17),L83:L85,0))),0)</f>
        <v>0</v>
      </c>
      <c r="L92" s="1011" t="str">
        <f>'Points System'!H748</f>
        <v>N/A</v>
      </c>
      <c r="M92" s="2611" t="s">
        <v>2652</v>
      </c>
      <c r="N92" s="2612"/>
    </row>
    <row r="93" spans="2:14" ht="15" customHeight="1">
      <c r="E93" s="969" t="str">
        <f>E110</f>
        <v>Bedroom-Adjusted Low-Income Units</v>
      </c>
      <c r="F93" s="996" t="s">
        <v>2620</v>
      </c>
      <c r="G93" s="997">
        <f>G29</f>
        <v>86.25</v>
      </c>
      <c r="L93" s="1011" t="str">
        <f>'Points System'!H764</f>
        <v>(i)</v>
      </c>
      <c r="M93" s="2611" t="s">
        <v>2653</v>
      </c>
      <c r="N93" s="2612"/>
    </row>
    <row r="94" spans="2:14" ht="15" customHeight="1" thickBot="1">
      <c r="D94" s="931"/>
      <c r="E94" s="1001" t="s">
        <v>2654</v>
      </c>
      <c r="F94" s="931"/>
      <c r="G94" s="1006">
        <f>G93*G92*G90</f>
        <v>0</v>
      </c>
      <c r="L94" s="1013" t="str">
        <f>'Points System'!H776</f>
        <v>(ii)</v>
      </c>
      <c r="M94" s="2613" t="s">
        <v>2539</v>
      </c>
      <c r="N94" s="261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2655</v>
      </c>
      <c r="G98" s="928" t="s">
        <v>857</v>
      </c>
    </row>
    <row r="99" spans="2:9" ht="15" customHeight="1">
      <c r="F99" s="999"/>
    </row>
    <row r="100" spans="2:9" ht="15" customHeight="1">
      <c r="E100" s="969" t="s">
        <v>2650</v>
      </c>
      <c r="G100" s="964" t="b">
        <f>G98="Yes"</f>
        <v>1</v>
      </c>
    </row>
    <row r="101" spans="2:9" ht="15" customHeight="1"/>
    <row r="102" spans="2:9" ht="15" customHeight="1">
      <c r="E102" s="969" t="str">
        <f>E110</f>
        <v>Bedroom-Adjusted Low-Income Units</v>
      </c>
      <c r="G102" s="997">
        <f>G29</f>
        <v>86.25</v>
      </c>
    </row>
    <row r="103" spans="2:9" ht="15" customHeight="1">
      <c r="E103" s="969" t="s">
        <v>2619</v>
      </c>
      <c r="F103" s="996" t="s">
        <v>2620</v>
      </c>
      <c r="G103" s="935">
        <v>20000</v>
      </c>
    </row>
    <row r="104" spans="2:9" ht="15" customHeight="1">
      <c r="E104" s="1001" t="s">
        <v>2656</v>
      </c>
      <c r="F104" s="931"/>
      <c r="G104" s="1006">
        <f>G100*G103*G102</f>
        <v>1725000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2657</v>
      </c>
      <c r="G108" s="997">
        <f>VLOOKUP('Points System'!$H$619,'Points System'!$AO$599:$AP$604,2,FALSE)</f>
        <v>7</v>
      </c>
    </row>
    <row r="109" spans="2:9" ht="15" customHeight="1">
      <c r="E109" s="969" t="s">
        <v>2619</v>
      </c>
      <c r="F109" s="996" t="s">
        <v>2620</v>
      </c>
      <c r="G109" s="961">
        <v>4000</v>
      </c>
    </row>
    <row r="110" spans="2:9" ht="15" customHeight="1">
      <c r="E110" s="969" t="s">
        <v>2658</v>
      </c>
      <c r="F110" s="996" t="s">
        <v>2620</v>
      </c>
      <c r="G110" s="1009">
        <f>G29</f>
        <v>86.25</v>
      </c>
    </row>
    <row r="111" spans="2:9" ht="15" customHeight="1">
      <c r="E111" s="1001" t="s">
        <v>2659</v>
      </c>
      <c r="F111" s="931"/>
      <c r="G111" s="1006">
        <f>G108*G109*G110</f>
        <v>2415000</v>
      </c>
    </row>
    <row r="112" spans="2:9" ht="15" customHeight="1">
      <c r="C112" s="962"/>
      <c r="G112" s="997"/>
    </row>
    <row r="113" spans="2:7" ht="15" customHeight="1">
      <c r="E113" s="969" t="s">
        <v>2660</v>
      </c>
      <c r="G113" s="997">
        <f>COUNTIFS(L87:L94,"(i)")</f>
        <v>4</v>
      </c>
    </row>
    <row r="114" spans="2:7" ht="15" customHeight="1">
      <c r="E114" s="969" t="s">
        <v>2619</v>
      </c>
      <c r="F114" s="996" t="s">
        <v>2620</v>
      </c>
      <c r="G114" s="1007">
        <v>4000</v>
      </c>
    </row>
    <row r="115" spans="2:7" ht="15" customHeight="1">
      <c r="E115" s="1001" t="s">
        <v>2661</v>
      </c>
      <c r="F115" s="931"/>
      <c r="G115" s="1006">
        <f>G110*G113*G114</f>
        <v>1380000</v>
      </c>
    </row>
    <row r="116" spans="2:7" ht="15" customHeight="1"/>
    <row r="117" spans="2:7" ht="15" customHeight="1">
      <c r="C117" s="965" t="s">
        <v>2662</v>
      </c>
    </row>
    <row r="118" spans="2:7" ht="15" customHeight="1">
      <c r="C118" s="962" t="s">
        <v>2663</v>
      </c>
      <c r="G118" s="928"/>
    </row>
    <row r="119" spans="2:7" ht="15" customHeight="1">
      <c r="C119" s="962" t="s">
        <v>2664</v>
      </c>
      <c r="G119" s="928" t="s">
        <v>857</v>
      </c>
    </row>
    <row r="120" spans="2:7" ht="15" customHeight="1">
      <c r="C120" s="962" t="s">
        <v>2665</v>
      </c>
      <c r="G120" s="928" t="s">
        <v>857</v>
      </c>
    </row>
    <row r="121" spans="2:7">
      <c r="C121" s="962" t="s">
        <v>2666</v>
      </c>
      <c r="G121" s="928"/>
    </row>
    <row r="123" spans="2:7">
      <c r="B123" s="963"/>
      <c r="C123" s="962"/>
      <c r="E123" s="969" t="s">
        <v>2650</v>
      </c>
      <c r="G123" s="964" t="b">
        <f>COUNTIFS(G118:G121,"Yes")&gt;=1</f>
        <v>1</v>
      </c>
    </row>
    <row r="124" spans="2:7">
      <c r="E124" s="962"/>
    </row>
    <row r="125" spans="2:7" ht="15">
      <c r="E125" s="969" t="s">
        <v>2658</v>
      </c>
      <c r="F125" s="996" t="s">
        <v>2620</v>
      </c>
      <c r="G125" s="997">
        <f>G29</f>
        <v>86.25</v>
      </c>
    </row>
    <row r="126" spans="2:7" ht="15">
      <c r="E126" s="969" t="s">
        <v>2619</v>
      </c>
      <c r="F126" s="996" t="s">
        <v>2620</v>
      </c>
      <c r="G126" s="1007">
        <v>25000</v>
      </c>
    </row>
    <row r="127" spans="2:7" ht="15">
      <c r="E127" s="1001" t="s">
        <v>2667</v>
      </c>
      <c r="F127" s="931"/>
      <c r="G127" s="1006">
        <f>G123*G126*G110</f>
        <v>2156250</v>
      </c>
    </row>
    <row r="128" spans="2:7">
      <c r="C128" s="962"/>
      <c r="E128" s="962"/>
    </row>
    <row r="129" spans="2:9" ht="15">
      <c r="E129" s="1001" t="s">
        <v>2668</v>
      </c>
      <c r="G129" s="1006">
        <f>G127+G115+G111</f>
        <v>5951250</v>
      </c>
    </row>
    <row r="131" spans="2:9" ht="15">
      <c r="B131" s="951" t="s">
        <v>1773</v>
      </c>
      <c r="C131" s="952"/>
      <c r="D131" s="952"/>
      <c r="E131" s="952"/>
      <c r="F131" s="952"/>
      <c r="G131" s="952"/>
      <c r="H131" s="952"/>
      <c r="I131" s="953"/>
    </row>
    <row r="133" spans="2:9">
      <c r="C133" s="2571" t="s">
        <v>2669</v>
      </c>
      <c r="D133" s="2571"/>
      <c r="E133" s="2571"/>
      <c r="F133" s="2571"/>
    </row>
    <row r="134" spans="2:9">
      <c r="C134" s="2571"/>
      <c r="D134" s="2571"/>
      <c r="E134" s="2571"/>
      <c r="F134" s="2571"/>
      <c r="G134" s="928" t="s">
        <v>857</v>
      </c>
    </row>
    <row r="135" spans="2:9" ht="14.25" customHeight="1"/>
    <row r="136" spans="2:9">
      <c r="C136" s="929" t="s">
        <v>2670</v>
      </c>
      <c r="G136" s="2573" t="s">
        <v>2671</v>
      </c>
      <c r="H136" s="2573"/>
    </row>
    <row r="137" spans="2:9">
      <c r="G137" s="2573"/>
      <c r="H137" s="2573"/>
    </row>
    <row r="138" spans="2:9">
      <c r="G138" s="2574"/>
      <c r="H138" s="2574"/>
    </row>
    <row r="140" spans="2:9">
      <c r="C140" s="2571" t="s">
        <v>2672</v>
      </c>
      <c r="D140" s="2571"/>
      <c r="E140" s="2571"/>
      <c r="F140" s="2571"/>
    </row>
    <row r="141" spans="2:9">
      <c r="C141" s="2571"/>
      <c r="D141" s="2571"/>
      <c r="E141" s="2571"/>
      <c r="F141" s="2571"/>
      <c r="G141" s="928"/>
    </row>
    <row r="142" spans="2:9">
      <c r="C142" s="2571"/>
      <c r="D142" s="2571"/>
      <c r="E142" s="2571"/>
      <c r="F142" s="2571"/>
    </row>
    <row r="144" spans="2:9">
      <c r="C144" s="2571" t="s">
        <v>2673</v>
      </c>
      <c r="D144" s="2571"/>
      <c r="E144" s="2571"/>
      <c r="F144" s="2571"/>
    </row>
    <row r="145" spans="2:9">
      <c r="C145" s="2571"/>
      <c r="D145" s="2571"/>
      <c r="E145" s="2571"/>
      <c r="F145" s="2571"/>
      <c r="G145" s="928"/>
    </row>
    <row r="146" spans="2:9">
      <c r="C146" s="2571"/>
      <c r="D146" s="2571"/>
      <c r="E146" s="2571"/>
      <c r="F146" s="2571"/>
    </row>
    <row r="147" spans="2:9">
      <c r="C147" s="2571"/>
      <c r="D147" s="2571"/>
      <c r="E147" s="2571"/>
      <c r="F147" s="2571"/>
    </row>
    <row r="149" spans="2:9" ht="15">
      <c r="B149" s="951" t="s">
        <v>2674</v>
      </c>
      <c r="C149" s="952"/>
      <c r="D149" s="952"/>
      <c r="E149" s="952"/>
      <c r="F149" s="952"/>
      <c r="G149" s="952"/>
      <c r="H149" s="952"/>
      <c r="I149" s="953"/>
    </row>
    <row r="151" spans="2:9">
      <c r="E151" s="969" t="s">
        <v>943</v>
      </c>
      <c r="G151" s="929" t="str">
        <f>IF(Application!T189="","",Application!T189)</f>
        <v>Sacramento</v>
      </c>
    </row>
    <row r="152" spans="2:9">
      <c r="E152" s="969"/>
      <c r="G152" s="963"/>
    </row>
    <row r="153" spans="2:9">
      <c r="E153" s="969" t="str">
        <f>"2-Bedroom "&amp;G151&amp;" County Basis Limit"</f>
        <v>2-Bedroom Sacramento County Basis Limit</v>
      </c>
      <c r="G153" s="963">
        <f>Application!R997</f>
        <v>500800</v>
      </c>
    </row>
    <row r="154" spans="2:9">
      <c r="E154" s="969" t="s">
        <v>2675</v>
      </c>
      <c r="G154" s="963">
        <f>MEDIAN((Application!CU160:CU217))</f>
        <v>560000</v>
      </c>
    </row>
    <row r="155" spans="2:9" ht="15">
      <c r="D155" s="931"/>
      <c r="E155" s="1001" t="s">
        <v>2676</v>
      </c>
      <c r="F155" s="1017"/>
      <c r="G155" s="1018">
        <f>((G153-G154)/G154)*0.25</f>
        <v>-2.642857142857143E-2</v>
      </c>
      <c r="H155" s="927"/>
      <c r="I155" s="927"/>
    </row>
    <row r="156" spans="2:9">
      <c r="D156" s="930"/>
      <c r="E156" s="930"/>
    </row>
    <row r="157" spans="2:9" ht="15">
      <c r="B157" s="951" t="s">
        <v>2677</v>
      </c>
      <c r="C157" s="952"/>
      <c r="D157" s="952"/>
      <c r="E157" s="952"/>
      <c r="F157" s="952"/>
      <c r="G157" s="952"/>
      <c r="H157" s="952"/>
      <c r="I157" s="953"/>
    </row>
    <row r="159" spans="2:9">
      <c r="E159" s="969" t="s">
        <v>2622</v>
      </c>
      <c r="G159" s="929" t="b">
        <f>G37</f>
        <v>0</v>
      </c>
    </row>
    <row r="160" spans="2:9">
      <c r="C160" s="2568" t="s">
        <v>2678</v>
      </c>
      <c r="D160" s="2568"/>
      <c r="E160" s="2568"/>
      <c r="F160" s="2568"/>
    </row>
    <row r="161" spans="2:7">
      <c r="B161" s="930"/>
      <c r="C161" s="2568"/>
      <c r="D161" s="2568"/>
      <c r="E161" s="2568"/>
      <c r="F161" s="2568"/>
      <c r="G161" s="928"/>
    </row>
    <row r="162" spans="2:7">
      <c r="B162" s="930"/>
      <c r="C162" s="930"/>
      <c r="D162" s="930"/>
      <c r="E162" s="930"/>
      <c r="F162" s="930"/>
    </row>
    <row r="163" spans="2:7">
      <c r="E163" s="969" t="s">
        <v>2679</v>
      </c>
      <c r="G163" s="1051"/>
    </row>
    <row r="165" spans="2:7">
      <c r="E165" s="969" t="s">
        <v>2680</v>
      </c>
      <c r="G165" s="1050">
        <f>IF(I9=0,0,G163/I9)</f>
        <v>0</v>
      </c>
    </row>
    <row r="166" spans="2:7">
      <c r="E166" s="969" t="s">
        <v>2681</v>
      </c>
      <c r="G166" s="1048">
        <f>I9*0.15</f>
        <v>2623634.5499999998</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abSelected="1" topLeftCell="A1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6" t="s">
        <v>2682</v>
      </c>
      <c r="B1" s="2576"/>
      <c r="C1" s="2576"/>
      <c r="D1" s="2576"/>
      <c r="E1" s="2576"/>
      <c r="F1" s="2576"/>
      <c r="G1" s="2576"/>
      <c r="H1" s="2576"/>
      <c r="I1" s="2576"/>
      <c r="J1" s="2576"/>
      <c r="K1" s="136"/>
      <c r="L1" s="136"/>
    </row>
    <row r="2" spans="1:12">
      <c r="A2" s="140"/>
      <c r="B2" s="140"/>
      <c r="C2" s="140"/>
      <c r="D2" s="140"/>
      <c r="E2" s="140"/>
      <c r="F2" s="140"/>
      <c r="G2" s="140"/>
      <c r="H2" s="140"/>
      <c r="I2" s="140"/>
      <c r="J2" s="140"/>
    </row>
    <row r="3" spans="1:12" ht="100.5">
      <c r="A3" s="329" t="s">
        <v>2683</v>
      </c>
      <c r="B3" s="329" t="s">
        <v>2684</v>
      </c>
      <c r="C3" s="329" t="s">
        <v>2685</v>
      </c>
      <c r="D3" s="1029" t="s">
        <v>2686</v>
      </c>
      <c r="E3" s="136"/>
      <c r="F3" s="1029" t="s">
        <v>2687</v>
      </c>
      <c r="G3" s="329" t="s">
        <v>2688</v>
      </c>
      <c r="H3" s="330"/>
      <c r="I3" s="329" t="s">
        <v>2689</v>
      </c>
      <c r="J3" s="329" t="s">
        <v>2690</v>
      </c>
      <c r="K3" s="136"/>
      <c r="L3" s="212"/>
    </row>
    <row r="4" spans="1:12">
      <c r="A4" s="331" t="str">
        <f>Application!B726</f>
        <v>1 Bedroom</v>
      </c>
      <c r="B4" s="967">
        <f>Application!G726</f>
        <v>23</v>
      </c>
      <c r="C4" s="1044"/>
      <c r="D4" s="331">
        <f>Application!O726</f>
        <v>634</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3</v>
      </c>
      <c r="C5" s="1044"/>
      <c r="D5" s="331">
        <f>Application!O727</f>
        <v>754</v>
      </c>
      <c r="E5" s="332"/>
      <c r="F5" s="968"/>
      <c r="G5" s="331">
        <f t="shared" ref="G5:G38" si="2">F5*B5</f>
        <v>0</v>
      </c>
      <c r="H5" s="332"/>
      <c r="I5" s="331" t="str">
        <f t="shared" si="0"/>
        <v/>
      </c>
      <c r="J5" s="331" t="str">
        <f t="shared" si="1"/>
        <v/>
      </c>
      <c r="K5" s="136"/>
      <c r="L5" s="212"/>
    </row>
    <row r="6" spans="1:12">
      <c r="A6" s="331" t="str">
        <f>Application!B728</f>
        <v>1 Bedroom</v>
      </c>
      <c r="B6" s="967">
        <f>Application!G728</f>
        <v>21</v>
      </c>
      <c r="C6" s="1044"/>
      <c r="D6" s="331">
        <f>Application!O728</f>
        <v>1117</v>
      </c>
      <c r="E6" s="332"/>
      <c r="F6" s="968"/>
      <c r="G6" s="331">
        <f t="shared" si="2"/>
        <v>0</v>
      </c>
      <c r="H6" s="332"/>
      <c r="I6" s="331" t="str">
        <f t="shared" si="0"/>
        <v/>
      </c>
      <c r="J6" s="331" t="str">
        <f t="shared" si="1"/>
        <v/>
      </c>
      <c r="K6" s="136"/>
      <c r="L6" s="212"/>
    </row>
    <row r="7" spans="1:12">
      <c r="A7" s="331" t="str">
        <f>Application!B729</f>
        <v>2 Bedrooms</v>
      </c>
      <c r="B7" s="967">
        <f>Application!G729</f>
        <v>4</v>
      </c>
      <c r="C7" s="1044"/>
      <c r="D7" s="331">
        <f>Application!O729</f>
        <v>1333</v>
      </c>
      <c r="E7" s="332"/>
      <c r="F7" s="968"/>
      <c r="G7" s="331">
        <f t="shared" si="2"/>
        <v>0</v>
      </c>
      <c r="H7" s="332"/>
      <c r="I7" s="331" t="str">
        <f t="shared" si="0"/>
        <v/>
      </c>
      <c r="J7" s="331" t="str">
        <f t="shared" si="1"/>
        <v/>
      </c>
      <c r="K7" s="136"/>
      <c r="L7" s="212"/>
    </row>
    <row r="8" spans="1:12">
      <c r="A8" s="331" t="str">
        <f>Application!B730</f>
        <v>1 Bedroom</v>
      </c>
      <c r="B8" s="967">
        <f>Application!G730</f>
        <v>18</v>
      </c>
      <c r="C8" s="1044"/>
      <c r="D8" s="331">
        <f>Application!O730</f>
        <v>1358</v>
      </c>
      <c r="E8" s="332"/>
      <c r="F8" s="968"/>
      <c r="G8" s="331">
        <f t="shared" si="2"/>
        <v>0</v>
      </c>
      <c r="H8" s="332"/>
      <c r="I8" s="331" t="str">
        <f t="shared" si="0"/>
        <v/>
      </c>
      <c r="J8" s="331" t="str">
        <f t="shared" si="1"/>
        <v/>
      </c>
      <c r="K8" s="136"/>
      <c r="L8" s="212"/>
    </row>
    <row r="9" spans="1:12">
      <c r="A9" s="331" t="str">
        <f>Application!B731</f>
        <v>2 Bedrooms</v>
      </c>
      <c r="B9" s="967">
        <f>Application!G731</f>
        <v>4</v>
      </c>
      <c r="C9" s="1044"/>
      <c r="D9" s="331">
        <f>Application!O731</f>
        <v>1623</v>
      </c>
      <c r="E9" s="332"/>
      <c r="F9" s="968"/>
      <c r="G9" s="331">
        <f t="shared" si="2"/>
        <v>0</v>
      </c>
      <c r="H9" s="332"/>
      <c r="I9" s="331" t="str">
        <f t="shared" si="0"/>
        <v/>
      </c>
      <c r="J9" s="331" t="str">
        <f t="shared" si="1"/>
        <v/>
      </c>
      <c r="K9" s="136"/>
      <c r="L9" s="212"/>
    </row>
    <row r="10" spans="1:12">
      <c r="A10" s="331" t="str">
        <f>Application!B732</f>
        <v>1 Bedroom</v>
      </c>
      <c r="B10" s="967">
        <f>Application!G732</f>
        <v>8</v>
      </c>
      <c r="C10" s="1044"/>
      <c r="D10" s="331">
        <f>Application!O732</f>
        <v>1671</v>
      </c>
      <c r="E10" s="332"/>
      <c r="F10" s="968"/>
      <c r="G10" s="331">
        <f t="shared" si="2"/>
        <v>0</v>
      </c>
      <c r="H10" s="332"/>
      <c r="I10" s="331" t="str">
        <f t="shared" si="0"/>
        <v/>
      </c>
      <c r="J10" s="331" t="str">
        <f t="shared" si="1"/>
        <v/>
      </c>
      <c r="K10" s="136"/>
      <c r="L10" s="212"/>
    </row>
    <row r="11" spans="1:12">
      <c r="A11" s="331" t="str">
        <f>Application!B733</f>
        <v>2 Bedrooms</v>
      </c>
      <c r="B11" s="967">
        <f>Application!G733</f>
        <v>2</v>
      </c>
      <c r="C11" s="1044"/>
      <c r="D11" s="331">
        <f>Application!O733</f>
        <v>2202</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2691</v>
      </c>
      <c r="B40" s="334"/>
      <c r="C40" s="334"/>
      <c r="D40" s="335">
        <f>Application!O761</f>
        <v>94341</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2692</v>
      </c>
    </row>
    <row r="43" spans="1:12">
      <c r="A43" s="2577" t="s">
        <v>2693</v>
      </c>
      <c r="B43" s="2577"/>
      <c r="C43" s="2577"/>
      <c r="D43" s="2577"/>
      <c r="E43" s="2577"/>
      <c r="F43" s="2577"/>
      <c r="G43" s="2577"/>
      <c r="H43" s="2577"/>
      <c r="I43" s="2577"/>
      <c r="J43" s="2577"/>
    </row>
    <row r="44" spans="1:12">
      <c r="A44" s="2577"/>
      <c r="B44" s="2577"/>
      <c r="C44" s="2577"/>
      <c r="D44" s="2577"/>
      <c r="E44" s="2577"/>
      <c r="F44" s="2577"/>
      <c r="G44" s="2577"/>
      <c r="H44" s="2577"/>
      <c r="I44" s="2577"/>
      <c r="J44" s="2577"/>
    </row>
    <row r="45" spans="1:12">
      <c r="A45" s="2577" t="s">
        <v>2694</v>
      </c>
      <c r="B45" s="2577"/>
      <c r="C45" s="2577"/>
      <c r="D45" s="2577"/>
      <c r="E45" s="2577"/>
      <c r="F45" s="2577"/>
      <c r="G45" s="2577"/>
      <c r="H45" s="2577"/>
      <c r="I45" s="2577"/>
      <c r="J45" s="2577"/>
    </row>
    <row r="46" spans="1:12">
      <c r="A46" s="2577"/>
      <c r="B46" s="2577"/>
      <c r="C46" s="2577"/>
      <c r="D46" s="2577"/>
      <c r="E46" s="2577"/>
      <c r="F46" s="2577"/>
      <c r="G46" s="2577"/>
      <c r="H46" s="2577"/>
      <c r="I46" s="2577"/>
      <c r="J46" s="257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K47" sqref="K47"/>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2695</v>
      </c>
      <c r="B1" s="141"/>
    </row>
    <row r="2" spans="1:34"/>
    <row r="3" spans="1:34" ht="15.75">
      <c r="A3" s="142" t="s">
        <v>2696</v>
      </c>
      <c r="B3" s="142"/>
      <c r="C3" s="163" t="s">
        <v>2697</v>
      </c>
      <c r="D3" s="12"/>
      <c r="E3" s="164" t="s">
        <v>2698</v>
      </c>
      <c r="F3" s="135"/>
      <c r="G3" s="164" t="s">
        <v>2699</v>
      </c>
      <c r="H3" s="135"/>
      <c r="I3" s="164" t="s">
        <v>2700</v>
      </c>
      <c r="J3" s="135"/>
      <c r="K3" s="164" t="s">
        <v>2701</v>
      </c>
      <c r="L3" s="135"/>
      <c r="M3" s="164" t="s">
        <v>2702</v>
      </c>
      <c r="N3" s="135"/>
      <c r="O3" s="164" t="s">
        <v>2703</v>
      </c>
      <c r="P3" s="135"/>
      <c r="Q3" s="164" t="s">
        <v>2704</v>
      </c>
      <c r="R3" s="135"/>
      <c r="S3" s="164" t="s">
        <v>2705</v>
      </c>
      <c r="T3" s="135"/>
      <c r="U3" s="164" t="s">
        <v>2706</v>
      </c>
      <c r="V3" s="135"/>
      <c r="W3" s="164" t="s">
        <v>2707</v>
      </c>
      <c r="X3" s="135"/>
      <c r="Y3" s="164" t="s">
        <v>2708</v>
      </c>
      <c r="Z3" s="135"/>
      <c r="AA3" s="164" t="s">
        <v>2709</v>
      </c>
      <c r="AB3" s="135"/>
      <c r="AC3" s="164" t="s">
        <v>2710</v>
      </c>
      <c r="AD3" s="135"/>
      <c r="AE3" s="164" t="s">
        <v>2711</v>
      </c>
      <c r="AF3" s="135"/>
      <c r="AG3" s="164" t="s">
        <v>2712</v>
      </c>
      <c r="AH3" s="12"/>
    </row>
    <row r="4" spans="1:34" s="148" customFormat="1" ht="14.25">
      <c r="A4" s="148" t="s">
        <v>2713</v>
      </c>
      <c r="C4" s="1221">
        <v>1.0249999999999999</v>
      </c>
      <c r="E4" s="148">
        <f>Application!Y809</f>
        <v>1132092</v>
      </c>
      <c r="G4" s="148">
        <f>E4*$C$4</f>
        <v>1160394.2999999998</v>
      </c>
      <c r="I4" s="148">
        <f>G4*$C$4</f>
        <v>1189404.1574999997</v>
      </c>
      <c r="K4" s="148">
        <f>I4*$C$4</f>
        <v>1219139.2614374997</v>
      </c>
      <c r="M4" s="148">
        <f>K4*$C$4</f>
        <v>1249617.7429734371</v>
      </c>
      <c r="O4" s="148">
        <f>M4*$C$4</f>
        <v>1280858.186547773</v>
      </c>
      <c r="Q4" s="148">
        <f>O4*$C$4</f>
        <v>1312879.6412114671</v>
      </c>
      <c r="S4" s="148">
        <f>Q4*$C$4</f>
        <v>1345701.6322417536</v>
      </c>
      <c r="U4" s="148">
        <f>S4*$C$4</f>
        <v>1379344.1730477973</v>
      </c>
      <c r="W4" s="148">
        <f>U4*$C$4</f>
        <v>1413827.7773739921</v>
      </c>
      <c r="Y4" s="148">
        <f>W4*$C$4</f>
        <v>1449173.4718083418</v>
      </c>
      <c r="AA4" s="148">
        <f>Y4*$C$4</f>
        <v>1485402.8086035503</v>
      </c>
      <c r="AC4" s="148">
        <f>AA4*$C$4</f>
        <v>1522537.8788186389</v>
      </c>
      <c r="AE4" s="148">
        <f>AC4*$C$4</f>
        <v>1560601.3257891047</v>
      </c>
      <c r="AG4" s="148">
        <f>AE4*$C$4</f>
        <v>1599616.3589338323</v>
      </c>
    </row>
    <row r="5" spans="1:34" s="140" customFormat="1" ht="14.25">
      <c r="B5" s="140" t="s">
        <v>2267</v>
      </c>
      <c r="C5" s="1222">
        <f>IF(Application!$D$211="Special Needs",(((0.1*Application!$T$212)+(0.05*(1-Application!$T$212)))),0.05)</f>
        <v>0.05</v>
      </c>
      <c r="E5" s="150">
        <f>-E4*$C$5</f>
        <v>-56604.600000000006</v>
      </c>
      <c r="F5" s="150"/>
      <c r="G5" s="150">
        <f>-G4*$C$5</f>
        <v>-58019.714999999997</v>
      </c>
      <c r="H5" s="150"/>
      <c r="I5" s="150">
        <f>-I4*$C$5</f>
        <v>-59470.207874999993</v>
      </c>
      <c r="J5" s="150"/>
      <c r="K5" s="150">
        <f>-K4*$C$5</f>
        <v>-60956.963071874983</v>
      </c>
      <c r="L5" s="150"/>
      <c r="M5" s="150">
        <f>-M4*$C$5</f>
        <v>-62480.887148671856</v>
      </c>
      <c r="N5" s="150"/>
      <c r="O5" s="150">
        <f>-O4*$C$5</f>
        <v>-64042.909327388654</v>
      </c>
      <c r="P5" s="150"/>
      <c r="Q5" s="150">
        <f>-Q4*$C$5</f>
        <v>-65643.982060573355</v>
      </c>
      <c r="R5" s="150"/>
      <c r="S5" s="150">
        <f>-S4*$C$5</f>
        <v>-67285.081612087684</v>
      </c>
      <c r="T5" s="150"/>
      <c r="U5" s="150">
        <f>-U4*$C$5</f>
        <v>-68967.208652389862</v>
      </c>
      <c r="V5" s="150"/>
      <c r="W5" s="150">
        <f>-W4*$C$5</f>
        <v>-70691.388868699607</v>
      </c>
      <c r="X5" s="150"/>
      <c r="Y5" s="150">
        <f>-Y4*$C$5</f>
        <v>-72458.673590417093</v>
      </c>
      <c r="Z5" s="150"/>
      <c r="AA5" s="150">
        <f>-AA4*$C$5</f>
        <v>-74270.140430177518</v>
      </c>
      <c r="AB5" s="150"/>
      <c r="AC5" s="150">
        <f>-AC4*$C$5</f>
        <v>-76126.893940931943</v>
      </c>
      <c r="AD5" s="150"/>
      <c r="AE5" s="150">
        <f>-AE4*$C$5</f>
        <v>-78030.066289455237</v>
      </c>
      <c r="AF5" s="150"/>
      <c r="AG5" s="150">
        <f>-AG4*$C$5</f>
        <v>-79980.817946691619</v>
      </c>
    </row>
    <row r="6" spans="1:34" s="140" customFormat="1" ht="14.25">
      <c r="A6" s="140" t="s">
        <v>2714</v>
      </c>
      <c r="C6" s="1221">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2267</v>
      </c>
      <c r="C7" s="1222">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1">
        <v>1.0249999999999999</v>
      </c>
      <c r="E8" s="151">
        <f>Application!Z825</f>
        <v>8064</v>
      </c>
      <c r="F8" s="151"/>
      <c r="G8" s="151">
        <f>E8*$C$8</f>
        <v>8265.5999999999985</v>
      </c>
      <c r="H8" s="151"/>
      <c r="I8" s="151">
        <f>G8*$C$8</f>
        <v>8472.239999999998</v>
      </c>
      <c r="J8" s="151"/>
      <c r="K8" s="151">
        <f>I8*$C$8</f>
        <v>8684.0459999999966</v>
      </c>
      <c r="L8" s="151"/>
      <c r="M8" s="151">
        <f>K8*$C$8</f>
        <v>8901.1471499999952</v>
      </c>
      <c r="N8" s="151"/>
      <c r="O8" s="151">
        <f>M8*$C$8</f>
        <v>9123.6758287499943</v>
      </c>
      <c r="P8" s="151"/>
      <c r="Q8" s="151">
        <f>O8*$C$8</f>
        <v>9351.7677244687438</v>
      </c>
      <c r="R8" s="151"/>
      <c r="S8" s="151">
        <f>Q8*$C$8</f>
        <v>9585.5619175804623</v>
      </c>
      <c r="T8" s="151"/>
      <c r="U8" s="151">
        <f>S8*$C$8</f>
        <v>9825.2009655199727</v>
      </c>
      <c r="V8" s="151"/>
      <c r="W8" s="151">
        <f>U8*$C$8</f>
        <v>10070.83098965797</v>
      </c>
      <c r="X8" s="151"/>
      <c r="Y8" s="151">
        <f>W8*$C$8</f>
        <v>10322.601764399418</v>
      </c>
      <c r="Z8" s="151"/>
      <c r="AA8" s="151">
        <f>Y8*$C$8</f>
        <v>10580.666808509402</v>
      </c>
      <c r="AB8" s="151"/>
      <c r="AC8" s="151">
        <f>AA8*$C$8</f>
        <v>10845.183478722136</v>
      </c>
      <c r="AD8" s="151"/>
      <c r="AE8" s="151">
        <f>AC8*$C$8</f>
        <v>11116.313065690189</v>
      </c>
      <c r="AF8" s="151"/>
      <c r="AG8" s="151">
        <f>AE8*$C$8</f>
        <v>11394.220892332442</v>
      </c>
    </row>
    <row r="9" spans="1:34" s="140" customFormat="1" ht="14.25">
      <c r="B9" s="140" t="s">
        <v>2267</v>
      </c>
      <c r="C9" s="1222">
        <f>IF(Application!$D$211="Special Needs",(((0.1*Application!$T$212)+(0.05*(1-Application!$T$212)))),0.05)</f>
        <v>0.05</v>
      </c>
      <c r="E9" s="150">
        <f>-E8*$C$9</f>
        <v>-403.20000000000005</v>
      </c>
      <c r="F9" s="150"/>
      <c r="G9" s="150">
        <f>-G8*$C$9</f>
        <v>-413.28</v>
      </c>
      <c r="H9" s="150"/>
      <c r="I9" s="150">
        <f>-I8*$C$9</f>
        <v>-423.61199999999991</v>
      </c>
      <c r="J9" s="150"/>
      <c r="K9" s="150">
        <f>-K8*$C$9</f>
        <v>-434.20229999999987</v>
      </c>
      <c r="L9" s="150"/>
      <c r="M9" s="150">
        <f>-M8*$C$9</f>
        <v>-445.0573574999998</v>
      </c>
      <c r="N9" s="150"/>
      <c r="O9" s="150">
        <f>-O8*$C$9</f>
        <v>-456.18379143749974</v>
      </c>
      <c r="P9" s="150"/>
      <c r="Q9" s="150">
        <f>-Q8*$C$9</f>
        <v>-467.58838622343723</v>
      </c>
      <c r="R9" s="150"/>
      <c r="S9" s="150">
        <f>-S8*$C$9</f>
        <v>-479.27809587902311</v>
      </c>
      <c r="T9" s="150"/>
      <c r="U9" s="150">
        <f>-U8*$C$9</f>
        <v>-491.26004827599866</v>
      </c>
      <c r="V9" s="150"/>
      <c r="W9" s="150">
        <f>-W8*$C$9</f>
        <v>-503.54154948289852</v>
      </c>
      <c r="X9" s="150"/>
      <c r="Y9" s="150">
        <f>-Y8*$C$9</f>
        <v>-516.13008821997096</v>
      </c>
      <c r="Z9" s="150"/>
      <c r="AA9" s="150">
        <f>-AA8*$C$9</f>
        <v>-529.0333404254701</v>
      </c>
      <c r="AB9" s="150"/>
      <c r="AC9" s="150">
        <f>-AC8*$C$9</f>
        <v>-542.25917393610678</v>
      </c>
      <c r="AD9" s="150"/>
      <c r="AE9" s="150">
        <f>-AE8*$C$9</f>
        <v>-555.81565328450949</v>
      </c>
      <c r="AF9" s="150"/>
      <c r="AG9" s="150">
        <f>-AG8*$C$9</f>
        <v>-569.71104461662208</v>
      </c>
    </row>
    <row r="10" spans="1:34" s="140" customFormat="1" ht="14.25">
      <c r="A10" s="1026" t="s">
        <v>2715</v>
      </c>
      <c r="B10" s="1026"/>
      <c r="C10" s="1222"/>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2716</v>
      </c>
      <c r="C11" s="145"/>
      <c r="E11" s="152">
        <f>SUM(E4:E10)</f>
        <v>1083148.2</v>
      </c>
      <c r="G11" s="152">
        <f>SUM(G4:G10)</f>
        <v>1110226.9049999998</v>
      </c>
      <c r="I11" s="152">
        <f>SUM(I4:I10)</f>
        <v>1137982.5776249997</v>
      </c>
      <c r="K11" s="152">
        <f>SUM(K4:K10)</f>
        <v>1166432.1420656247</v>
      </c>
      <c r="M11" s="152">
        <f>SUM(M4:M10)</f>
        <v>1195592.9456172653</v>
      </c>
      <c r="O11" s="152">
        <f>SUM(O4:O10)</f>
        <v>1225482.7692576968</v>
      </c>
      <c r="Q11" s="152">
        <f>SUM(Q4:Q10)</f>
        <v>1256119.8384891392</v>
      </c>
      <c r="S11" s="152">
        <f>SUM(S4:S10)</f>
        <v>1287522.8344513671</v>
      </c>
      <c r="U11" s="152">
        <f>SUM(U4:U10)</f>
        <v>1319710.9053126513</v>
      </c>
      <c r="W11" s="152">
        <f>SUM(W4:W10)</f>
        <v>1352703.6779454676</v>
      </c>
      <c r="Y11" s="152">
        <f>SUM(Y4:Y10)</f>
        <v>1386521.2698941042</v>
      </c>
      <c r="AA11" s="152">
        <f>SUM(AA4:AA10)</f>
        <v>1421184.3016414568</v>
      </c>
      <c r="AC11" s="152">
        <f>SUM(AC4:AC10)</f>
        <v>1456713.9091824929</v>
      </c>
      <c r="AE11" s="152">
        <f>SUM(AE4:AE10)</f>
        <v>1493131.7569120552</v>
      </c>
      <c r="AG11" s="152">
        <f>SUM(AG4:AG10)</f>
        <v>1530460.0508348567</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2717</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2718</v>
      </c>
      <c r="C14" s="1221">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2719</v>
      </c>
      <c r="C15" s="859"/>
      <c r="E15" s="148">
        <f>Application!W855</f>
        <v>30300</v>
      </c>
      <c r="G15" s="148">
        <f>E15*$C$14</f>
        <v>31360.499999999996</v>
      </c>
      <c r="I15" s="148">
        <f>G15*$C$14</f>
        <v>32458.117499999993</v>
      </c>
      <c r="K15" s="148">
        <f>I15*$C$14</f>
        <v>33594.151612499991</v>
      </c>
      <c r="M15" s="148">
        <f>K15*$C$14</f>
        <v>34769.946918937487</v>
      </c>
      <c r="O15" s="148">
        <f>M15*$C$14</f>
        <v>35986.895061100295</v>
      </c>
      <c r="Q15" s="148">
        <f>O15*$C$14</f>
        <v>37246.436388238799</v>
      </c>
      <c r="S15" s="148">
        <f>Q15*$C$14</f>
        <v>38550.061661827152</v>
      </c>
      <c r="U15" s="148">
        <f>S15*$C$14</f>
        <v>39899.313819991097</v>
      </c>
      <c r="W15" s="148">
        <f>U15*$C$14</f>
        <v>41295.789803690779</v>
      </c>
      <c r="Y15" s="148">
        <f>W15*$C$14</f>
        <v>42741.142446819955</v>
      </c>
      <c r="AA15" s="148">
        <f>Y15*$C$14</f>
        <v>44237.08243245865</v>
      </c>
      <c r="AC15" s="148">
        <f>AA15*$C$14</f>
        <v>45785.380317594696</v>
      </c>
      <c r="AE15" s="148">
        <f>AC15*$C$14</f>
        <v>47387.868628710508</v>
      </c>
      <c r="AG15" s="148">
        <f>AE15*$C$14</f>
        <v>49046.444030715371</v>
      </c>
    </row>
    <row r="16" spans="1:34" s="140" customFormat="1" ht="14.25">
      <c r="A16" s="140" t="s">
        <v>1545</v>
      </c>
      <c r="C16" s="851"/>
      <c r="E16" s="151">
        <f>Application!W857</f>
        <v>48384</v>
      </c>
      <c r="F16" s="151"/>
      <c r="G16" s="151">
        <f t="shared" ref="G16:AG21" si="0">E16*$C$14</f>
        <v>50077.439999999995</v>
      </c>
      <c r="H16" s="151"/>
      <c r="I16" s="151">
        <f t="shared" si="0"/>
        <v>51830.150399999991</v>
      </c>
      <c r="J16" s="151"/>
      <c r="K16" s="151">
        <f t="shared" si="0"/>
        <v>53644.205663999986</v>
      </c>
      <c r="L16" s="151"/>
      <c r="M16" s="151">
        <f t="shared" si="0"/>
        <v>55521.752862239984</v>
      </c>
      <c r="N16" s="151"/>
      <c r="O16" s="151">
        <f t="shared" si="0"/>
        <v>57465.014212418377</v>
      </c>
      <c r="P16" s="151"/>
      <c r="Q16" s="151">
        <f t="shared" si="0"/>
        <v>59476.289709853016</v>
      </c>
      <c r="R16" s="151"/>
      <c r="S16" s="151">
        <f t="shared" si="0"/>
        <v>61557.959849697865</v>
      </c>
      <c r="T16" s="151"/>
      <c r="U16" s="151">
        <f t="shared" si="0"/>
        <v>63712.488444437287</v>
      </c>
      <c r="V16" s="151"/>
      <c r="W16" s="151">
        <f t="shared" si="0"/>
        <v>65942.42553999259</v>
      </c>
      <c r="X16" s="151"/>
      <c r="Y16" s="151">
        <f t="shared" si="0"/>
        <v>68250.410433892321</v>
      </c>
      <c r="Z16" s="151"/>
      <c r="AA16" s="151">
        <f t="shared" si="0"/>
        <v>70639.174799078552</v>
      </c>
      <c r="AB16" s="151"/>
      <c r="AC16" s="151">
        <f t="shared" si="0"/>
        <v>73111.5459170463</v>
      </c>
      <c r="AD16" s="151"/>
      <c r="AE16" s="151">
        <f t="shared" si="0"/>
        <v>75670.45002414292</v>
      </c>
      <c r="AF16" s="151"/>
      <c r="AG16" s="151">
        <f t="shared" si="0"/>
        <v>78318.915774987909</v>
      </c>
    </row>
    <row r="17" spans="1:33" s="140" customFormat="1" ht="14.25">
      <c r="A17" s="140" t="s">
        <v>230</v>
      </c>
      <c r="C17" s="851"/>
      <c r="E17" s="151">
        <f>Application!W863</f>
        <v>72000</v>
      </c>
      <c r="F17" s="151"/>
      <c r="G17" s="151">
        <f t="shared" si="0"/>
        <v>74520</v>
      </c>
      <c r="H17" s="151"/>
      <c r="I17" s="151">
        <f t="shared" si="0"/>
        <v>77128.2</v>
      </c>
      <c r="J17" s="151"/>
      <c r="K17" s="151">
        <f t="shared" si="0"/>
        <v>79827.686999999991</v>
      </c>
      <c r="L17" s="151"/>
      <c r="M17" s="151">
        <f t="shared" si="0"/>
        <v>82621.656044999982</v>
      </c>
      <c r="N17" s="151"/>
      <c r="O17" s="151">
        <f t="shared" si="0"/>
        <v>85513.414006574967</v>
      </c>
      <c r="P17" s="151"/>
      <c r="Q17" s="151">
        <f t="shared" si="0"/>
        <v>88506.38349680508</v>
      </c>
      <c r="R17" s="151"/>
      <c r="S17" s="151">
        <f t="shared" si="0"/>
        <v>91604.106919193247</v>
      </c>
      <c r="T17" s="151"/>
      <c r="U17" s="151">
        <f t="shared" si="0"/>
        <v>94810.250661365004</v>
      </c>
      <c r="V17" s="151"/>
      <c r="W17" s="151">
        <f t="shared" si="0"/>
        <v>98128.609434512779</v>
      </c>
      <c r="X17" s="151"/>
      <c r="Y17" s="151">
        <f t="shared" si="0"/>
        <v>101563.11076472072</v>
      </c>
      <c r="Z17" s="151"/>
      <c r="AA17" s="151">
        <f t="shared" si="0"/>
        <v>105117.81964148594</v>
      </c>
      <c r="AB17" s="151"/>
      <c r="AC17" s="151">
        <f t="shared" si="0"/>
        <v>108796.94332893794</v>
      </c>
      <c r="AD17" s="151"/>
      <c r="AE17" s="151">
        <f t="shared" si="0"/>
        <v>112604.83634545076</v>
      </c>
      <c r="AF17" s="151"/>
      <c r="AG17" s="151">
        <f t="shared" si="0"/>
        <v>116546.00561754154</v>
      </c>
    </row>
    <row r="18" spans="1:33" s="140" customFormat="1" ht="14.25">
      <c r="A18" s="140" t="s">
        <v>2720</v>
      </c>
      <c r="C18" s="851"/>
      <c r="E18" s="151">
        <f>Application!W870</f>
        <v>163990</v>
      </c>
      <c r="F18" s="151"/>
      <c r="G18" s="151">
        <f t="shared" si="0"/>
        <v>169729.65</v>
      </c>
      <c r="H18" s="151"/>
      <c r="I18" s="151">
        <f t="shared" si="0"/>
        <v>175670.18774999998</v>
      </c>
      <c r="J18" s="151"/>
      <c r="K18" s="151">
        <f t="shared" si="0"/>
        <v>181818.64432124997</v>
      </c>
      <c r="L18" s="151"/>
      <c r="M18" s="151">
        <f t="shared" si="0"/>
        <v>188182.29687249369</v>
      </c>
      <c r="N18" s="151"/>
      <c r="O18" s="151">
        <f t="shared" si="0"/>
        <v>194768.67726303096</v>
      </c>
      <c r="P18" s="151"/>
      <c r="Q18" s="151">
        <f t="shared" si="0"/>
        <v>201585.58096723704</v>
      </c>
      <c r="R18" s="151"/>
      <c r="S18" s="151">
        <f t="shared" si="0"/>
        <v>208641.07630109033</v>
      </c>
      <c r="T18" s="151"/>
      <c r="U18" s="151">
        <f t="shared" si="0"/>
        <v>215943.51397162848</v>
      </c>
      <c r="V18" s="151"/>
      <c r="W18" s="151">
        <f t="shared" si="0"/>
        <v>223501.53696063545</v>
      </c>
      <c r="X18" s="151"/>
      <c r="Y18" s="151">
        <f t="shared" si="0"/>
        <v>231324.09075425766</v>
      </c>
      <c r="Z18" s="151"/>
      <c r="AA18" s="151">
        <f t="shared" si="0"/>
        <v>239420.43393065667</v>
      </c>
      <c r="AB18" s="151"/>
      <c r="AC18" s="151">
        <f t="shared" si="0"/>
        <v>247800.14911822963</v>
      </c>
      <c r="AD18" s="151"/>
      <c r="AE18" s="151">
        <f t="shared" si="0"/>
        <v>256473.15433736765</v>
      </c>
      <c r="AF18" s="151"/>
      <c r="AG18" s="151">
        <f t="shared" si="0"/>
        <v>265449.71473917551</v>
      </c>
    </row>
    <row r="19" spans="1:33" s="140" customFormat="1" ht="14.25">
      <c r="A19" s="140" t="s">
        <v>1559</v>
      </c>
      <c r="C19" s="851"/>
      <c r="E19" s="151">
        <f>Application!W872</f>
        <v>106875</v>
      </c>
      <c r="F19" s="151"/>
      <c r="G19" s="151">
        <f t="shared" si="0"/>
        <v>110615.62499999999</v>
      </c>
      <c r="H19" s="151"/>
      <c r="I19" s="151">
        <f t="shared" si="0"/>
        <v>114487.17187499997</v>
      </c>
      <c r="J19" s="151"/>
      <c r="K19" s="151">
        <f t="shared" si="0"/>
        <v>118494.22289062497</v>
      </c>
      <c r="L19" s="151"/>
      <c r="M19" s="151">
        <f t="shared" si="0"/>
        <v>122641.52069179683</v>
      </c>
      <c r="N19" s="151"/>
      <c r="O19" s="151">
        <f t="shared" si="0"/>
        <v>126933.97391600971</v>
      </c>
      <c r="P19" s="151"/>
      <c r="Q19" s="151">
        <f t="shared" si="0"/>
        <v>131376.66300307005</v>
      </c>
      <c r="R19" s="151"/>
      <c r="S19" s="151">
        <f t="shared" si="0"/>
        <v>135974.84620817748</v>
      </c>
      <c r="T19" s="151"/>
      <c r="U19" s="151">
        <f t="shared" si="0"/>
        <v>140733.96582546367</v>
      </c>
      <c r="V19" s="151"/>
      <c r="W19" s="151">
        <f t="shared" si="0"/>
        <v>145659.65462935489</v>
      </c>
      <c r="X19" s="151"/>
      <c r="Y19" s="151">
        <f t="shared" si="0"/>
        <v>150757.74254138229</v>
      </c>
      <c r="Z19" s="151"/>
      <c r="AA19" s="151">
        <f t="shared" si="0"/>
        <v>156034.26353033067</v>
      </c>
      <c r="AB19" s="151"/>
      <c r="AC19" s="151">
        <f t="shared" si="0"/>
        <v>161495.46275389224</v>
      </c>
      <c r="AD19" s="151"/>
      <c r="AE19" s="151">
        <f t="shared" si="0"/>
        <v>167147.80395027844</v>
      </c>
      <c r="AF19" s="151"/>
      <c r="AG19" s="151">
        <f t="shared" si="0"/>
        <v>172997.97708853817</v>
      </c>
    </row>
    <row r="20" spans="1:33" s="140" customFormat="1" ht="14.25">
      <c r="A20" s="140" t="s">
        <v>232</v>
      </c>
      <c r="C20" s="851"/>
      <c r="E20" s="151">
        <f>Application!W881</f>
        <v>105022</v>
      </c>
      <c r="F20" s="151"/>
      <c r="G20" s="151">
        <f t="shared" si="0"/>
        <v>108697.76999999999</v>
      </c>
      <c r="H20" s="151"/>
      <c r="I20" s="151">
        <f t="shared" si="0"/>
        <v>112502.19194999998</v>
      </c>
      <c r="J20" s="151"/>
      <c r="K20" s="151">
        <f t="shared" si="0"/>
        <v>116439.76866824996</v>
      </c>
      <c r="L20" s="151"/>
      <c r="M20" s="151">
        <f t="shared" si="0"/>
        <v>120515.1605716387</v>
      </c>
      <c r="N20" s="151"/>
      <c r="O20" s="151">
        <f t="shared" si="0"/>
        <v>124733.19119164604</v>
      </c>
      <c r="P20" s="151"/>
      <c r="Q20" s="151">
        <f t="shared" si="0"/>
        <v>129098.85288335364</v>
      </c>
      <c r="R20" s="151"/>
      <c r="S20" s="151">
        <f t="shared" si="0"/>
        <v>133617.31273427102</v>
      </c>
      <c r="T20" s="151"/>
      <c r="U20" s="151">
        <f t="shared" si="0"/>
        <v>138293.91867997049</v>
      </c>
      <c r="V20" s="151"/>
      <c r="W20" s="151">
        <f t="shared" si="0"/>
        <v>143134.20583376946</v>
      </c>
      <c r="X20" s="151"/>
      <c r="Y20" s="151">
        <f t="shared" si="0"/>
        <v>148143.90303795139</v>
      </c>
      <c r="Z20" s="151"/>
      <c r="AA20" s="151">
        <f t="shared" si="0"/>
        <v>153328.93964427969</v>
      </c>
      <c r="AB20" s="151"/>
      <c r="AC20" s="151">
        <f t="shared" si="0"/>
        <v>158695.45253182948</v>
      </c>
      <c r="AD20" s="151"/>
      <c r="AE20" s="151">
        <f t="shared" si="0"/>
        <v>164249.79337044348</v>
      </c>
      <c r="AF20" s="151"/>
      <c r="AG20" s="151">
        <f t="shared" si="0"/>
        <v>169998.53613840899</v>
      </c>
    </row>
    <row r="21" spans="1:33" s="140" customFormat="1" ht="14.25">
      <c r="A21" s="155" t="s">
        <v>2721</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2722</v>
      </c>
      <c r="C22" s="851"/>
      <c r="E22" s="152">
        <f>SUM(E15:E21)</f>
        <v>526571</v>
      </c>
      <c r="G22" s="152">
        <f>SUM(G15:G21)</f>
        <v>545000.98499999999</v>
      </c>
      <c r="I22" s="152">
        <f>SUM(I15:I21)</f>
        <v>564076.01947499998</v>
      </c>
      <c r="K22" s="152">
        <f>SUM(K15:K21)</f>
        <v>583818.68015662488</v>
      </c>
      <c r="M22" s="152">
        <f>SUM(M15:M21)</f>
        <v>604252.33396210673</v>
      </c>
      <c r="O22" s="152">
        <f>SUM(O15:O21)</f>
        <v>625401.16565078031</v>
      </c>
      <c r="Q22" s="152">
        <f>SUM(Q15:Q21)</f>
        <v>647290.20644855755</v>
      </c>
      <c r="S22" s="152">
        <f>SUM(S15:S21)</f>
        <v>669945.36367425718</v>
      </c>
      <c r="U22" s="152">
        <f>SUM(U15:U21)</f>
        <v>693393.45140285604</v>
      </c>
      <c r="W22" s="152">
        <f>SUM(W15:W21)</f>
        <v>717662.22220195597</v>
      </c>
      <c r="Y22" s="152">
        <f>SUM(Y15:Y21)</f>
        <v>742780.39997902443</v>
      </c>
      <c r="AA22" s="152">
        <f>SUM(AA15:AA21)</f>
        <v>768777.71397829009</v>
      </c>
      <c r="AC22" s="152">
        <f>SUM(AC15:AC21)</f>
        <v>795684.93396753026</v>
      </c>
      <c r="AE22" s="152">
        <f>SUM(AE15:AE21)</f>
        <v>823533.90665639378</v>
      </c>
      <c r="AG22" s="152">
        <f>SUM(AG15:AG21)</f>
        <v>852357.59338936745</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2723</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2724</v>
      </c>
      <c r="C26" s="1221">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2319</v>
      </c>
      <c r="C27" s="1221">
        <v>1.0349999999999999</v>
      </c>
      <c r="E27" s="151">
        <f>Application!AC897</f>
        <v>80000</v>
      </c>
      <c r="F27" s="151"/>
      <c r="G27" s="151">
        <f>E27*$C$27</f>
        <v>82800</v>
      </c>
      <c r="H27" s="151"/>
      <c r="I27" s="151">
        <f>G27*$C$27</f>
        <v>85698</v>
      </c>
      <c r="J27" s="151"/>
      <c r="K27" s="151">
        <f>I27*$C$27</f>
        <v>88697.43</v>
      </c>
      <c r="L27" s="151"/>
      <c r="M27" s="151">
        <f>K27*$C$27</f>
        <v>91801.840049999984</v>
      </c>
      <c r="N27" s="151"/>
      <c r="O27" s="151">
        <f>M27*$C$27</f>
        <v>95014.904451749971</v>
      </c>
      <c r="P27" s="151"/>
      <c r="Q27" s="151">
        <f>O27*$C$27</f>
        <v>98340.426107561216</v>
      </c>
      <c r="R27" s="151"/>
      <c r="S27" s="151">
        <f>Q27*$C$27</f>
        <v>101782.34102132585</v>
      </c>
      <c r="T27" s="151"/>
      <c r="U27" s="151">
        <f>S27*$C$27</f>
        <v>105344.72295707224</v>
      </c>
      <c r="V27" s="151"/>
      <c r="W27" s="151">
        <f>U27*$C$27</f>
        <v>109031.78826056977</v>
      </c>
      <c r="X27" s="151"/>
      <c r="Y27" s="151">
        <f>W27*$C$27</f>
        <v>112847.9008496897</v>
      </c>
      <c r="Z27" s="151"/>
      <c r="AA27" s="151">
        <f>Y27*$C$27</f>
        <v>116797.57737942883</v>
      </c>
      <c r="AB27" s="151"/>
      <c r="AC27" s="151">
        <f>AA27*$C$27</f>
        <v>120885.49258770882</v>
      </c>
      <c r="AD27" s="151"/>
      <c r="AE27" s="151">
        <f>AC27*$C$27</f>
        <v>125116.48482827863</v>
      </c>
      <c r="AF27" s="151"/>
      <c r="AG27" s="151">
        <f>AE27*$C$27</f>
        <v>129495.56179726837</v>
      </c>
    </row>
    <row r="28" spans="1:33" s="140" customFormat="1" ht="14.25">
      <c r="A28" s="140" t="s">
        <v>2725</v>
      </c>
      <c r="C28" s="1221"/>
      <c r="E28" s="151">
        <f>Application!AC898</f>
        <v>42000</v>
      </c>
      <c r="F28" s="151"/>
      <c r="G28" s="151">
        <f>$E$28</f>
        <v>42000</v>
      </c>
      <c r="H28" s="151"/>
      <c r="I28" s="151">
        <f>$E$28</f>
        <v>42000</v>
      </c>
      <c r="J28" s="151"/>
      <c r="K28" s="151">
        <f>$E$28</f>
        <v>42000</v>
      </c>
      <c r="L28" s="151"/>
      <c r="M28" s="151">
        <f>$E$28</f>
        <v>42000</v>
      </c>
      <c r="N28" s="151"/>
      <c r="O28" s="151">
        <f>$E$28</f>
        <v>42000</v>
      </c>
      <c r="P28" s="151"/>
      <c r="Q28" s="151">
        <f>$E$28</f>
        <v>42000</v>
      </c>
      <c r="R28" s="151"/>
      <c r="S28" s="151">
        <f>$E$28</f>
        <v>42000</v>
      </c>
      <c r="T28" s="151"/>
      <c r="U28" s="151">
        <f>$E$28</f>
        <v>42000</v>
      </c>
      <c r="V28" s="151"/>
      <c r="W28" s="151">
        <f>$E$28</f>
        <v>42000</v>
      </c>
      <c r="X28" s="151"/>
      <c r="Y28" s="151">
        <f>$E$28</f>
        <v>42000</v>
      </c>
      <c r="Z28" s="151"/>
      <c r="AA28" s="151">
        <f>$E$28</f>
        <v>42000</v>
      </c>
      <c r="AB28" s="151"/>
      <c r="AC28" s="151">
        <f>$E$28</f>
        <v>42000</v>
      </c>
      <c r="AD28" s="151"/>
      <c r="AE28" s="151">
        <f>$E$28</f>
        <v>42000</v>
      </c>
      <c r="AF28" s="151"/>
      <c r="AG28" s="151">
        <f>$E$28</f>
        <v>42000</v>
      </c>
    </row>
    <row r="29" spans="1:33" s="140" customFormat="1" ht="14.25">
      <c r="A29" s="140" t="s">
        <v>2726</v>
      </c>
      <c r="C29" s="1221"/>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2727</v>
      </c>
      <c r="C30" s="1221">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2728</v>
      </c>
      <c r="C31" s="1221">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SHRA Issuance, Trustee Fees:</v>
      </c>
      <c r="C32" s="1223">
        <v>1</v>
      </c>
      <c r="E32" s="151">
        <f>Application!AC903</f>
        <v>18000</v>
      </c>
      <c r="F32" s="151"/>
      <c r="G32" s="151">
        <f>E32*$C$32</f>
        <v>18000</v>
      </c>
      <c r="H32" s="151"/>
      <c r="I32" s="151">
        <f>G32*$C$32</f>
        <v>18000</v>
      </c>
      <c r="J32" s="151"/>
      <c r="K32" s="151">
        <f>I32*$C$32</f>
        <v>18000</v>
      </c>
      <c r="L32" s="151"/>
      <c r="M32" s="151">
        <f>K32*$C$32</f>
        <v>18000</v>
      </c>
      <c r="N32" s="151"/>
      <c r="O32" s="151">
        <f>M32*$C$32</f>
        <v>18000</v>
      </c>
      <c r="P32" s="151"/>
      <c r="Q32" s="151">
        <f>O32*$C$32</f>
        <v>18000</v>
      </c>
      <c r="R32" s="151"/>
      <c r="S32" s="151">
        <f>Q32*$C$32</f>
        <v>18000</v>
      </c>
      <c r="T32" s="151"/>
      <c r="U32" s="151">
        <f>S32*$C$32</f>
        <v>18000</v>
      </c>
      <c r="V32" s="151"/>
      <c r="W32" s="151">
        <f>U32*$C$32</f>
        <v>18000</v>
      </c>
      <c r="X32" s="151"/>
      <c r="Y32" s="151">
        <f>W32*$C$32</f>
        <v>18000</v>
      </c>
      <c r="Z32" s="151"/>
      <c r="AA32" s="151">
        <f>Y32*$C$32</f>
        <v>18000</v>
      </c>
      <c r="AB32" s="151"/>
      <c r="AC32" s="151">
        <f>AA32*$C$32</f>
        <v>18000</v>
      </c>
      <c r="AD32" s="151"/>
      <c r="AE32" s="151">
        <f>AC32*$C$32</f>
        <v>18000</v>
      </c>
      <c r="AF32" s="151"/>
      <c r="AG32" s="151">
        <f>AE32*$C$32</f>
        <v>18000</v>
      </c>
    </row>
    <row r="33" spans="1:33" s="140" customFormat="1" ht="14.25">
      <c r="A33" s="140" t="str">
        <f>Application!C904</f>
        <v>Other SHRA Administration Fee:</v>
      </c>
      <c r="C33" s="1223">
        <v>1</v>
      </c>
      <c r="E33" s="151">
        <f>Application!AC904</f>
        <v>1000</v>
      </c>
      <c r="F33" s="151"/>
      <c r="G33" s="151">
        <f>E33*$C$33</f>
        <v>1000</v>
      </c>
      <c r="H33" s="151"/>
      <c r="I33" s="151">
        <f>G33*$C$33</f>
        <v>1000</v>
      </c>
      <c r="J33" s="151"/>
      <c r="K33" s="151">
        <f>I33*$C$33</f>
        <v>1000</v>
      </c>
      <c r="L33" s="151"/>
      <c r="M33" s="151">
        <f>K33*$C$33</f>
        <v>1000</v>
      </c>
      <c r="N33" s="151"/>
      <c r="O33" s="151">
        <f>M33*$C$33</f>
        <v>1000</v>
      </c>
      <c r="P33" s="151"/>
      <c r="Q33" s="151">
        <f>O33*$C$33</f>
        <v>1000</v>
      </c>
      <c r="R33" s="151"/>
      <c r="S33" s="151">
        <f>Q33*$C$33</f>
        <v>1000</v>
      </c>
      <c r="T33" s="151"/>
      <c r="U33" s="151">
        <f>S33*$C$33</f>
        <v>1000</v>
      </c>
      <c r="V33" s="151"/>
      <c r="W33" s="151">
        <f>U33*$C$33</f>
        <v>1000</v>
      </c>
      <c r="X33" s="151"/>
      <c r="Y33" s="151">
        <f>W33*$C$33</f>
        <v>1000</v>
      </c>
      <c r="Z33" s="151"/>
      <c r="AA33" s="151">
        <f>Y33*$C$33</f>
        <v>1000</v>
      </c>
      <c r="AB33" s="151"/>
      <c r="AC33" s="151">
        <f>AA33*$C$33</f>
        <v>1000</v>
      </c>
      <c r="AD33" s="151"/>
      <c r="AE33" s="151">
        <f>AC33*$C$33</f>
        <v>1000</v>
      </c>
      <c r="AF33" s="151"/>
      <c r="AG33" s="151">
        <f>AE33*$C$33</f>
        <v>1000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1571</v>
      </c>
      <c r="C35" s="153"/>
      <c r="E35" s="152">
        <f>SUM(E22:E33)</f>
        <v>667571</v>
      </c>
      <c r="G35" s="152">
        <f>SUM(G22:G33)</f>
        <v>688800.98499999999</v>
      </c>
      <c r="I35" s="152">
        <f>SUM(I22:I33)</f>
        <v>710774.01947499998</v>
      </c>
      <c r="K35" s="152">
        <f>SUM(K22:K33)</f>
        <v>733516.11015662481</v>
      </c>
      <c r="M35" s="152">
        <f>SUM(M22:M33)</f>
        <v>757054.17401210673</v>
      </c>
      <c r="O35" s="152">
        <f>SUM(O22:O33)</f>
        <v>781416.0701025303</v>
      </c>
      <c r="Q35" s="152">
        <f>SUM(Q22:Q33)</f>
        <v>806630.63255611877</v>
      </c>
      <c r="S35" s="152">
        <f>SUM(S22:S33)</f>
        <v>832727.70469558309</v>
      </c>
      <c r="U35" s="152">
        <f>SUM(U22:U33)</f>
        <v>859738.17435992823</v>
      </c>
      <c r="W35" s="152">
        <f>SUM(W22:W33)</f>
        <v>887694.01046252577</v>
      </c>
      <c r="Y35" s="152">
        <f>SUM(Y22:Y33)</f>
        <v>916628.30082871416</v>
      </c>
      <c r="AA35" s="152">
        <f>SUM(AA22:AA33)</f>
        <v>946575.29135771887</v>
      </c>
      <c r="AC35" s="152">
        <f>SUM(AC22:AC33)</f>
        <v>977570.42655523913</v>
      </c>
      <c r="AE35" s="152">
        <f>SUM(AE22:AE33)</f>
        <v>1009650.3914846724</v>
      </c>
      <c r="AG35" s="152">
        <f>SUM(AG22:AG33)</f>
        <v>1042853.1551866358</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2729</v>
      </c>
      <c r="C37" s="153"/>
      <c r="E37" s="152">
        <f>E11-E35</f>
        <v>415577.19999999995</v>
      </c>
      <c r="G37" s="152">
        <f>G11-G35</f>
        <v>421425.91999999981</v>
      </c>
      <c r="I37" s="152">
        <f>I11-I35</f>
        <v>427208.55814999971</v>
      </c>
      <c r="K37" s="152">
        <f>K11-K35</f>
        <v>432916.0319089999</v>
      </c>
      <c r="M37" s="152">
        <f>M11-M35</f>
        <v>438538.77160515857</v>
      </c>
      <c r="O37" s="152">
        <f>O11-O35</f>
        <v>444066.69915516651</v>
      </c>
      <c r="Q37" s="152">
        <f>Q11-Q35</f>
        <v>449489.20593302045</v>
      </c>
      <c r="S37" s="152">
        <f>S11-S35</f>
        <v>454795.12975578406</v>
      </c>
      <c r="U37" s="152">
        <f>U11-U35</f>
        <v>459972.73095272307</v>
      </c>
      <c r="W37" s="152">
        <f>W11-W35</f>
        <v>465009.66748294188</v>
      </c>
      <c r="Y37" s="152">
        <f>Y11-Y35</f>
        <v>469892.96906539006</v>
      </c>
      <c r="AA37" s="152">
        <f>AA11-AA35</f>
        <v>474609.01028373791</v>
      </c>
      <c r="AC37" s="152">
        <f>AC11-AC35</f>
        <v>479143.48262725375</v>
      </c>
      <c r="AE37" s="152">
        <f>AE11-AE35</f>
        <v>483481.36542738276</v>
      </c>
      <c r="AG37" s="152">
        <f>AG11-AG35</f>
        <v>487606.8956482209</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2730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US Bank</v>
      </c>
      <c r="B40" s="155"/>
      <c r="C40" s="149"/>
      <c r="E40" s="151">
        <f>Application!AF635</f>
        <v>267155.20658552786</v>
      </c>
      <c r="F40" s="151"/>
      <c r="G40" s="151">
        <f>$E$40</f>
        <v>267155.20658552786</v>
      </c>
      <c r="H40" s="151"/>
      <c r="I40" s="151">
        <f>$E$40</f>
        <v>267155.20658552786</v>
      </c>
      <c r="J40" s="151"/>
      <c r="K40" s="151">
        <f>$E$40</f>
        <v>267155.20658552786</v>
      </c>
      <c r="L40" s="151"/>
      <c r="M40" s="151">
        <f>$E$40</f>
        <v>267155.20658552786</v>
      </c>
      <c r="N40" s="151"/>
      <c r="O40" s="151">
        <f>$E$40</f>
        <v>267155.20658552786</v>
      </c>
      <c r="P40" s="151"/>
      <c r="Q40" s="151">
        <f>$E$40</f>
        <v>267155.20658552786</v>
      </c>
      <c r="R40" s="151"/>
      <c r="S40" s="151">
        <f>$E$40</f>
        <v>267155.20658552786</v>
      </c>
      <c r="T40" s="151"/>
      <c r="U40" s="151">
        <f>$E$40</f>
        <v>267155.20658552786</v>
      </c>
      <c r="V40" s="151"/>
      <c r="W40" s="151">
        <f>$E$40</f>
        <v>267155.20658552786</v>
      </c>
      <c r="X40" s="151"/>
      <c r="Y40" s="151">
        <f>$E$40</f>
        <v>267155.20658552786</v>
      </c>
      <c r="Z40" s="151"/>
      <c r="AA40" s="151">
        <f>$E$40</f>
        <v>267155.20658552786</v>
      </c>
      <c r="AB40" s="151"/>
      <c r="AC40" s="151">
        <f>$E$40</f>
        <v>267155.20658552786</v>
      </c>
      <c r="AD40" s="151"/>
      <c r="AE40" s="151">
        <f>$E$40</f>
        <v>267155.20658552786</v>
      </c>
      <c r="AF40" s="151"/>
      <c r="AG40" s="151">
        <f>$E$40</f>
        <v>267155.20658552786</v>
      </c>
    </row>
    <row r="41" spans="1:33" s="140" customFormat="1" ht="14.25">
      <c r="A41" s="154" t="s">
        <v>2731</v>
      </c>
      <c r="B41" s="155"/>
      <c r="C41" s="149"/>
      <c r="E41" s="151">
        <f>Application!AF636</f>
        <v>91819</v>
      </c>
      <c r="F41" s="151"/>
      <c r="G41" s="151">
        <f>$E$41</f>
        <v>91819</v>
      </c>
      <c r="H41" s="151"/>
      <c r="I41" s="151">
        <f>$E$41</f>
        <v>91819</v>
      </c>
      <c r="J41" s="151"/>
      <c r="K41" s="151">
        <f>$E$41</f>
        <v>91819</v>
      </c>
      <c r="L41" s="151"/>
      <c r="M41" s="151">
        <f>$E$41</f>
        <v>91819</v>
      </c>
      <c r="N41" s="151"/>
      <c r="O41" s="151">
        <f>$E$41</f>
        <v>91819</v>
      </c>
      <c r="P41" s="151"/>
      <c r="Q41" s="151">
        <f>$E$41</f>
        <v>91819</v>
      </c>
      <c r="R41" s="151"/>
      <c r="S41" s="151">
        <f>$E$41</f>
        <v>91819</v>
      </c>
      <c r="T41" s="151"/>
      <c r="U41" s="151">
        <f>$E$41</f>
        <v>91819</v>
      </c>
      <c r="V41" s="151"/>
      <c r="W41" s="151">
        <f>$E$41</f>
        <v>91819</v>
      </c>
      <c r="X41" s="151"/>
      <c r="Y41" s="151">
        <f>$E$41</f>
        <v>91819</v>
      </c>
      <c r="Z41" s="151"/>
      <c r="AA41" s="151">
        <f>$E$41</f>
        <v>91819</v>
      </c>
      <c r="AB41" s="151"/>
      <c r="AC41" s="151">
        <f>$E$41</f>
        <v>91819</v>
      </c>
      <c r="AD41" s="151"/>
      <c r="AE41" s="151">
        <f>$E$41</f>
        <v>91819</v>
      </c>
      <c r="AF41" s="151"/>
      <c r="AG41" s="151">
        <f>$E$41</f>
        <v>91819</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2732</v>
      </c>
      <c r="C43" s="153"/>
      <c r="E43" s="152">
        <f>SUM(E40:E42)</f>
        <v>358974.20658552786</v>
      </c>
      <c r="G43" s="152">
        <f>SUM(G40:G42)</f>
        <v>358974.20658552786</v>
      </c>
      <c r="I43" s="152">
        <f>SUM(I40:I42)</f>
        <v>358974.20658552786</v>
      </c>
      <c r="K43" s="152">
        <f>SUM(K40:K42)</f>
        <v>358974.20658552786</v>
      </c>
      <c r="M43" s="152">
        <f>SUM(M40:M42)</f>
        <v>358974.20658552786</v>
      </c>
      <c r="O43" s="152">
        <f>SUM(O40:O42)</f>
        <v>358974.20658552786</v>
      </c>
      <c r="Q43" s="152">
        <f>SUM(Q40:Q42)</f>
        <v>358974.20658552786</v>
      </c>
      <c r="S43" s="152">
        <f>SUM(S40:S42)</f>
        <v>358974.20658552786</v>
      </c>
      <c r="U43" s="152">
        <f>SUM(U40:U42)</f>
        <v>358974.20658552786</v>
      </c>
      <c r="W43" s="152">
        <f>SUM(W40:W42)</f>
        <v>358974.20658552786</v>
      </c>
      <c r="Y43" s="152">
        <f>SUM(Y40:Y42)</f>
        <v>358974.20658552786</v>
      </c>
      <c r="AA43" s="152">
        <f>SUM(AA40:AA42)</f>
        <v>358974.20658552786</v>
      </c>
      <c r="AC43" s="152">
        <f>SUM(AC40:AC42)</f>
        <v>358974.20658552786</v>
      </c>
      <c r="AE43" s="152">
        <f>SUM(AE40:AE42)</f>
        <v>358974.20658552786</v>
      </c>
      <c r="AG43" s="152">
        <f>SUM(AG40:AG42)</f>
        <v>358974.20658552786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2733</v>
      </c>
      <c r="C45" s="153"/>
      <c r="E45" s="152">
        <f>E37-E43</f>
        <v>56602.99341447209</v>
      </c>
      <c r="G45" s="152">
        <f>G37-G43</f>
        <v>62451.713414471946</v>
      </c>
      <c r="I45" s="152">
        <f>I37-I43</f>
        <v>68234.351564471843</v>
      </c>
      <c r="K45" s="152">
        <f>K37-K43</f>
        <v>73941.825323472032</v>
      </c>
      <c r="M45" s="152">
        <f>M37-M43</f>
        <v>79564.565019630711</v>
      </c>
      <c r="O45" s="152">
        <f>O37-O43</f>
        <v>85092.492569638649</v>
      </c>
      <c r="Q45" s="152">
        <f>Q37-Q43</f>
        <v>90514.999347492587</v>
      </c>
      <c r="S45" s="152">
        <f>S37-S43</f>
        <v>95820.923170256196</v>
      </c>
      <c r="U45" s="152">
        <f>U37-U43</f>
        <v>100998.5243671952</v>
      </c>
      <c r="W45" s="152">
        <f>W37-W43</f>
        <v>106035.46089741401</v>
      </c>
      <c r="Y45" s="152">
        <f>Y37-Y43</f>
        <v>110918.7624798622</v>
      </c>
      <c r="AA45" s="152">
        <f>AA37-AA43</f>
        <v>115634.80369821005</v>
      </c>
      <c r="AC45" s="152">
        <f>AC37-AC43</f>
        <v>120169.27604172588</v>
      </c>
      <c r="AE45" s="152">
        <f>AE37-AE43</f>
        <v>124507.15884185489</v>
      </c>
      <c r="AG45" s="152">
        <f>AG37-AG43</f>
        <v>128632.68906269304</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2734</v>
      </c>
      <c r="C47" s="149"/>
      <c r="E47" s="156">
        <f>E45/(E4+E6+E8)</f>
        <v>4.9644955089015966E-2</v>
      </c>
      <c r="G47" s="156">
        <f>G45/(G4+G6+G8)</f>
        <v>5.3438740744396168E-2</v>
      </c>
      <c r="I47" s="156">
        <f>I45/(I4+I6+I8)</f>
        <v>5.696276486194967E-2</v>
      </c>
      <c r="K47" s="156">
        <f>K45/(K4+K6+K8)</f>
        <v>6.0221877916449243E-2</v>
      </c>
      <c r="M47" s="156">
        <f>M45/(M4+M6+M8)</f>
        <v>6.3220795209380537E-2</v>
      </c>
      <c r="O47" s="156">
        <f>O45/(O4+O6+O8)</f>
        <v>6.5964100001277115E-2</v>
      </c>
      <c r="Q47" s="156">
        <f>Q45/(Q4+Q6+Q8)</f>
        <v>6.8456246566048845E-2</v>
      </c>
      <c r="S47" s="156">
        <f>S45/(S4+S6+S8)</f>
        <v>7.0701563169194251E-2</v>
      </c>
      <c r="U47" s="156">
        <f>U45/(U4+U6+U8)</f>
        <v>7.2704254971738949E-2</v>
      </c>
      <c r="W47" s="156">
        <f>W45/(W4+W6+W8)</f>
        <v>7.4468406861686862E-2</v>
      </c>
      <c r="Y47" s="156">
        <f>Y45/(Y4+Y6+Y8)</f>
        <v>7.5997986214749499E-2</v>
      </c>
      <c r="AA47" s="156">
        <f>AA45/(AA4+AA6+AA8)</f>
        <v>7.7296845586051086E-2</v>
      </c>
      <c r="AC47" s="156">
        <f>AC45/(AC4+AC6+AC8)</f>
        <v>7.836872533448011E-2</v>
      </c>
      <c r="AE47" s="156">
        <f>AE45/(AE4+AE6+AE8)</f>
        <v>7.9217256181316961E-2</v>
      </c>
      <c r="AG47" s="156">
        <f>AG45/(AG4+AG6+AG8)</f>
        <v>7.9845961704716473E-2</v>
      </c>
    </row>
    <row r="48" spans="1:33" s="156" customFormat="1" ht="14.25">
      <c r="A48" s="156" t="s">
        <v>2735</v>
      </c>
      <c r="C48" s="149"/>
      <c r="E48" s="156">
        <f>E45/E43</f>
        <v>0.15767983430582797</v>
      </c>
      <c r="G48" s="156">
        <f>G45/G43</f>
        <v>0.17397270407948498</v>
      </c>
      <c r="I48" s="156">
        <f>I45/I43</f>
        <v>0.19008148862142432</v>
      </c>
      <c r="K48" s="156">
        <f>K45/K43</f>
        <v>0.20598088655669172</v>
      </c>
      <c r="M48" s="156">
        <f>M45/M43</f>
        <v>0.22164423950241102</v>
      </c>
      <c r="O48" s="156">
        <f>O45/O43</f>
        <v>0.23704347278601709</v>
      </c>
      <c r="Q48" s="156">
        <f>Q45/Q43</f>
        <v>0.25214903379395537</v>
      </c>
      <c r="S48" s="156">
        <f>S45/S43</f>
        <v>0.26692982786056041</v>
      </c>
      <c r="U48" s="156">
        <f>U45/U43</f>
        <v>0.28135315160347507</v>
      </c>
      <c r="W48" s="156">
        <f>W45/W43</f>
        <v>0.2953846236084664</v>
      </c>
      <c r="Y48" s="156">
        <f>Y45/Y43</f>
        <v>0.30898811236298424</v>
      </c>
      <c r="AA48" s="156">
        <f>AA45/AA43</f>
        <v>0.32212566133399706</v>
      </c>
      <c r="AC48" s="156">
        <f>AC45/AC43</f>
        <v>0.3347574110818316</v>
      </c>
      <c r="AE48" s="156">
        <f>AE45/AE43</f>
        <v>0.34684151829775067</v>
      </c>
      <c r="AG48" s="156">
        <f>AG45/AG43</f>
        <v>0.35833407164880937</v>
      </c>
    </row>
    <row r="49" spans="1:34" s="157" customFormat="1" ht="14.25">
      <c r="A49" s="157" t="s">
        <v>2273</v>
      </c>
      <c r="C49" s="158"/>
      <c r="E49" s="157">
        <f>E37/E43</f>
        <v>1.1576798343058279</v>
      </c>
      <c r="G49" s="157">
        <f>G37/G43</f>
        <v>1.173972704079485</v>
      </c>
      <c r="I49" s="157">
        <f>I37/I43</f>
        <v>1.1900814886214244</v>
      </c>
      <c r="K49" s="157">
        <f>K37/K43</f>
        <v>1.2059808865566917</v>
      </c>
      <c r="M49" s="157">
        <f>M37/M43</f>
        <v>1.221644239502411</v>
      </c>
      <c r="O49" s="157">
        <f>O37/O43</f>
        <v>1.2370434727860171</v>
      </c>
      <c r="Q49" s="157">
        <f>Q37/Q43</f>
        <v>1.2521490337939554</v>
      </c>
      <c r="S49" s="157">
        <f>S37/S43</f>
        <v>1.2669298278605603</v>
      </c>
      <c r="U49" s="157">
        <f>U37/U43</f>
        <v>1.2813531516034751</v>
      </c>
      <c r="W49" s="157">
        <f>W37/W43</f>
        <v>1.2953846236084665</v>
      </c>
      <c r="Y49" s="157">
        <f>Y37/Y43</f>
        <v>1.3089881123629843</v>
      </c>
      <c r="AA49" s="157">
        <f>AA37/AA43</f>
        <v>1.3221256613339971</v>
      </c>
      <c r="AC49" s="157">
        <f>AC37/AC43</f>
        <v>1.3347574110818317</v>
      </c>
      <c r="AE49" s="157">
        <f>AE37/AE43</f>
        <v>1.3468415182977507</v>
      </c>
      <c r="AG49" s="157">
        <f>AG37/AG43</f>
        <v>1.3583340716488095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2736</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79" t="s">
        <v>1038</v>
      </c>
      <c r="B52" s="2579"/>
      <c r="C52" s="2579"/>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2044</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2737</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2738</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2739</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2740</v>
      </c>
      <c r="C60" s="859"/>
      <c r="E60" s="852">
        <f>E45-E58</f>
        <v>56602.99341447209</v>
      </c>
      <c r="G60" s="852">
        <f>G45-G58</f>
        <v>62451.713414471946</v>
      </c>
      <c r="I60" s="852">
        <f>I45-I58</f>
        <v>68234.351564471843</v>
      </c>
      <c r="K60" s="852">
        <f>K45-K58</f>
        <v>73941.825323472032</v>
      </c>
      <c r="M60" s="852">
        <f>M45-M58</f>
        <v>79564.565019630711</v>
      </c>
      <c r="O60" s="852">
        <f>O45-O58</f>
        <v>85092.492569638649</v>
      </c>
      <c r="Q60" s="852">
        <f>Q45-Q58</f>
        <v>90514.999347492587</v>
      </c>
      <c r="S60" s="852">
        <f>S45-S58</f>
        <v>95820.923170256196</v>
      </c>
      <c r="U60" s="852">
        <f>U45-U58</f>
        <v>100998.5243671952</v>
      </c>
      <c r="W60" s="852">
        <f>W45-W58</f>
        <v>106035.46089741401</v>
      </c>
      <c r="Y60" s="852">
        <f>Y45-Y58</f>
        <v>110918.7624798622</v>
      </c>
      <c r="AA60" s="852">
        <f>AA45-AA58</f>
        <v>115634.80369821005</v>
      </c>
      <c r="AC60" s="852">
        <f>AC45-AC58</f>
        <v>120169.27604172588</v>
      </c>
      <c r="AE60" s="852">
        <f>AE45-AE58</f>
        <v>124507.15884185489</v>
      </c>
      <c r="AG60" s="852">
        <f>AG45-AG58</f>
        <v>128632.68906269304</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2741</v>
      </c>
      <c r="C62" s="849"/>
      <c r="E62" s="854"/>
      <c r="G62" s="852">
        <f>G60*$C$62</f>
        <v>0</v>
      </c>
      <c r="I62" s="852">
        <f>I60*$C$62</f>
        <v>0</v>
      </c>
      <c r="K62" s="852">
        <f>K60*$C$62</f>
        <v>0</v>
      </c>
      <c r="M62" s="852">
        <f>M60*$C$62</f>
        <v>0</v>
      </c>
      <c r="O62" s="852">
        <f>O60*$C$62</f>
        <v>0</v>
      </c>
      <c r="Q62" s="852">
        <f>Q60*$C$62</f>
        <v>0</v>
      </c>
      <c r="S62" s="852">
        <f>S60*$C$62</f>
        <v>0</v>
      </c>
      <c r="U62" s="852">
        <f>U60*$C$62</f>
        <v>0</v>
      </c>
      <c r="W62" s="852">
        <f>W60*$C$62</f>
        <v>0</v>
      </c>
      <c r="Y62" s="852">
        <f>Y60*$C$62</f>
        <v>0</v>
      </c>
      <c r="AA62" s="852">
        <f>AA60*$C$62</f>
        <v>0</v>
      </c>
      <c r="AC62" s="852">
        <f>AC60*$C$62</f>
        <v>0</v>
      </c>
      <c r="AE62" s="852">
        <f>AE60*$C$62</f>
        <v>0</v>
      </c>
      <c r="AG62" s="852">
        <f>AG60*$C$62</f>
        <v>0</v>
      </c>
    </row>
    <row r="63" spans="1:34" s="852" customFormat="1">
      <c r="A63" s="2579" t="s">
        <v>1038</v>
      </c>
      <c r="B63" s="2579"/>
      <c r="C63" s="2579"/>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2742</v>
      </c>
      <c r="C65" s="849"/>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2739</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2743</v>
      </c>
      <c r="C72" s="860"/>
      <c r="E72" s="852">
        <f>E60-E62-E70</f>
        <v>56602.99341447209</v>
      </c>
      <c r="G72" s="852">
        <f>G60-G62-G70</f>
        <v>62451.713414471946</v>
      </c>
      <c r="I72" s="852">
        <f>I60-I62-I70</f>
        <v>68234.351564471843</v>
      </c>
      <c r="K72" s="852">
        <f>K60-K62-K70</f>
        <v>73941.825323472032</v>
      </c>
      <c r="M72" s="852">
        <f>M60-M62-M70</f>
        <v>79564.565019630711</v>
      </c>
      <c r="O72" s="852">
        <f>O60-O62-O70</f>
        <v>85092.492569638649</v>
      </c>
      <c r="Q72" s="852">
        <f>Q60-Q62-Q70</f>
        <v>90514.999347492587</v>
      </c>
      <c r="S72" s="852">
        <f>S60-S62-S70</f>
        <v>95820.923170256196</v>
      </c>
      <c r="U72" s="852">
        <f>U60-U62-U70</f>
        <v>100998.5243671952</v>
      </c>
      <c r="W72" s="852">
        <f>W60-W62-W70</f>
        <v>106035.46089741401</v>
      </c>
      <c r="Y72" s="852">
        <f>Y60-Y62-Y70</f>
        <v>110918.7624798622</v>
      </c>
      <c r="AA72" s="852">
        <f>AA60-AA62-AA70</f>
        <v>115634.80369821005</v>
      </c>
      <c r="AC72" s="852">
        <f>AC60-AC62-AC70</f>
        <v>120169.27604172588</v>
      </c>
      <c r="AE72" s="852">
        <f>AE60-AE62-AE70</f>
        <v>124507.15884185489</v>
      </c>
      <c r="AG72" s="852">
        <f>AG60-AG62-AG70</f>
        <v>128632.68906269304</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2744</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8" t="s">
        <v>2745</v>
      </c>
      <c r="B77" s="2578"/>
      <c r="C77" s="2578"/>
      <c r="D77" s="2578"/>
      <c r="E77" s="2578"/>
      <c r="F77" s="2578"/>
      <c r="G77" s="2578"/>
      <c r="H77" s="2578"/>
      <c r="I77" s="2578"/>
      <c r="J77" s="2578"/>
      <c r="K77" s="2578"/>
      <c r="L77" s="2578"/>
      <c r="M77" s="2578"/>
      <c r="N77" s="2578"/>
      <c r="O77" s="2578"/>
      <c r="P77" s="2578"/>
      <c r="Q77" s="2578"/>
      <c r="R77" s="2578"/>
      <c r="S77" s="2578"/>
      <c r="T77" s="2578"/>
      <c r="U77" s="2578"/>
      <c r="V77" s="2578"/>
      <c r="W77" s="2578"/>
      <c r="X77" s="2578"/>
      <c r="Y77" s="2578"/>
      <c r="Z77" s="2578"/>
      <c r="AA77" s="2578"/>
      <c r="AB77" s="2578"/>
      <c r="AC77" s="2578"/>
      <c r="AD77" s="2578"/>
      <c r="AE77" s="2578"/>
      <c r="AF77" s="2578"/>
      <c r="AG77" s="2578"/>
      <c r="AH77" s="122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2746</v>
      </c>
    </row>
    <row r="2" spans="1:1" ht="15.75">
      <c r="A2" s="221"/>
    </row>
    <row r="3" spans="1:1" ht="15.75">
      <c r="A3" s="222" t="s">
        <v>2747</v>
      </c>
    </row>
    <row r="4" spans="1:1" ht="15.75">
      <c r="A4" s="222" t="s">
        <v>2748</v>
      </c>
    </row>
    <row r="5" spans="1:1" ht="15.75">
      <c r="A5" s="222" t="s">
        <v>2749</v>
      </c>
    </row>
    <row r="6" spans="1:1" ht="15.75">
      <c r="A6" s="222" t="s">
        <v>2750</v>
      </c>
    </row>
    <row r="7" spans="1:1" ht="15.75">
      <c r="A7" s="222" t="s">
        <v>2751</v>
      </c>
    </row>
    <row r="8" spans="1:1" ht="15.75">
      <c r="A8" s="249" t="s">
        <v>2752</v>
      </c>
    </row>
    <row r="9" spans="1:1" ht="15.75">
      <c r="A9" s="222" t="s">
        <v>2753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2754</v>
      </c>
      <c r="D1" s="192"/>
    </row>
    <row r="2" spans="1:6" s="187" customFormat="1">
      <c r="A2" s="171" t="s">
        <v>2755</v>
      </c>
      <c r="B2" s="173"/>
      <c r="C2" s="173"/>
      <c r="D2" s="170"/>
      <c r="E2" s="174"/>
      <c r="F2" s="173"/>
    </row>
    <row r="3" spans="1:6" s="254" customFormat="1" ht="80.25" customHeight="1">
      <c r="A3" s="189"/>
      <c r="B3" s="175" t="s">
        <v>2756</v>
      </c>
      <c r="C3" s="175" t="s">
        <v>2757</v>
      </c>
      <c r="D3" s="175" t="s">
        <v>2758</v>
      </c>
      <c r="E3" s="172" t="s">
        <v>2759</v>
      </c>
      <c r="F3" s="172"/>
    </row>
    <row r="4" spans="1:6" s="255" customFormat="1">
      <c r="A4" s="176" t="s">
        <v>1755</v>
      </c>
      <c r="B4" s="176"/>
      <c r="C4" s="176"/>
      <c r="D4" s="176"/>
      <c r="E4" s="194"/>
      <c r="F4" s="176"/>
    </row>
    <row r="5" spans="1:6" s="255" customFormat="1">
      <c r="A5" s="267" t="s">
        <v>1756</v>
      </c>
      <c r="B5" s="178">
        <f>'Sources and Uses Budget'!$C4</f>
        <v>2550000</v>
      </c>
      <c r="C5" s="178">
        <f>'Sources and Uses Budget'!$C4</f>
        <v>2550000</v>
      </c>
      <c r="D5" s="182">
        <f>C5-B5</f>
        <v>0</v>
      </c>
      <c r="E5" s="180"/>
      <c r="F5" s="179"/>
    </row>
    <row r="6" spans="1:6" s="255" customFormat="1">
      <c r="A6" s="267" t="s">
        <v>696</v>
      </c>
      <c r="B6" s="178">
        <f>'Sources and Uses Budget'!$C5</f>
        <v>48000</v>
      </c>
      <c r="C6" s="178">
        <f>'Sources and Uses Budget'!$C5</f>
        <v>48000</v>
      </c>
      <c r="D6" s="182">
        <f t="shared" ref="D6:D77" si="0">C6-B6</f>
        <v>0</v>
      </c>
      <c r="E6" s="180"/>
      <c r="F6" s="179"/>
    </row>
    <row r="7" spans="1:6" s="255" customFormat="1">
      <c r="A7" s="267" t="s">
        <v>1757</v>
      </c>
      <c r="B7" s="178">
        <f>'Sources and Uses Budget'!$C6</f>
        <v>20000</v>
      </c>
      <c r="C7" s="178">
        <f>'Sources and Uses Budget'!$C6</f>
        <v>20000</v>
      </c>
      <c r="D7" s="182">
        <f t="shared" si="0"/>
        <v>0</v>
      </c>
      <c r="E7" s="180"/>
      <c r="F7" s="179"/>
    </row>
    <row r="8" spans="1:6" s="255" customFormat="1">
      <c r="A8" s="267" t="s">
        <v>1758</v>
      </c>
      <c r="B8" s="178">
        <f>'Sources and Uses Budget'!$C7</f>
        <v>0</v>
      </c>
      <c r="C8" s="178">
        <f>'Sources and Uses Budget'!$C7</f>
        <v>0</v>
      </c>
      <c r="D8" s="182">
        <f t="shared" si="0"/>
        <v>0</v>
      </c>
      <c r="E8" s="180"/>
      <c r="F8" s="179"/>
    </row>
    <row r="9" spans="1:6" s="255" customFormat="1">
      <c r="A9" s="268" t="s">
        <v>1759</v>
      </c>
      <c r="B9" s="182">
        <f>SUM(B5:B8)</f>
        <v>2618000</v>
      </c>
      <c r="C9" s="182">
        <f>SUM(C5:C8)</f>
        <v>2618000</v>
      </c>
      <c r="D9" s="182">
        <f t="shared" si="0"/>
        <v>0</v>
      </c>
      <c r="E9" s="180"/>
      <c r="F9" s="179"/>
    </row>
    <row r="10" spans="1:6" s="255" customFormat="1">
      <c r="A10" s="267" t="s">
        <v>1760</v>
      </c>
      <c r="B10" s="178">
        <f>'Sources and Uses Budget'!$C9</f>
        <v>0</v>
      </c>
      <c r="C10" s="178">
        <f>'Sources and Uses Budget'!$C9</f>
        <v>0</v>
      </c>
      <c r="D10" s="182">
        <f t="shared" si="0"/>
        <v>0</v>
      </c>
      <c r="E10" s="180"/>
      <c r="F10" s="179"/>
    </row>
    <row r="11" spans="1:6" s="255" customFormat="1">
      <c r="A11" s="267" t="s">
        <v>1761</v>
      </c>
      <c r="B11" s="178">
        <f>'Sources and Uses Budget'!$C10</f>
        <v>0</v>
      </c>
      <c r="C11" s="178">
        <f>'Sources and Uses Budget'!$C10</f>
        <v>0</v>
      </c>
      <c r="D11" s="182">
        <f t="shared" si="0"/>
        <v>0</v>
      </c>
      <c r="E11" s="180"/>
      <c r="F11" s="179"/>
    </row>
    <row r="12" spans="1:6" s="255" customFormat="1">
      <c r="A12" s="268" t="s">
        <v>1762</v>
      </c>
      <c r="B12" s="182">
        <f>SUM(B10:B11)</f>
        <v>0</v>
      </c>
      <c r="C12" s="182">
        <f>SUM(C10:C11)</f>
        <v>0</v>
      </c>
      <c r="D12" s="182">
        <f t="shared" si="0"/>
        <v>0</v>
      </c>
      <c r="E12" s="180"/>
      <c r="F12" s="179"/>
    </row>
    <row r="13" spans="1:6" s="255" customFormat="1">
      <c r="A13" s="268" t="s">
        <v>1763</v>
      </c>
      <c r="B13" s="182">
        <f>SUM(B9+B12)</f>
        <v>2618000</v>
      </c>
      <c r="C13" s="182">
        <f>SUM(C9+C12)</f>
        <v>2618000</v>
      </c>
      <c r="D13" s="182">
        <f t="shared" si="0"/>
        <v>0</v>
      </c>
      <c r="E13" s="180"/>
      <c r="F13" s="179"/>
    </row>
    <row r="14" spans="1:6" s="255" customFormat="1">
      <c r="A14" s="269" t="s">
        <v>1764</v>
      </c>
      <c r="B14" s="178">
        <f>'Sources and Uses Budget'!$C13</f>
        <v>340850</v>
      </c>
      <c r="C14" s="178">
        <f>'Sources and Uses Budget'!$C13</f>
        <v>340850</v>
      </c>
      <c r="D14" s="182">
        <f t="shared" si="0"/>
        <v>0</v>
      </c>
      <c r="E14" s="180"/>
      <c r="F14" s="179"/>
    </row>
    <row r="15" spans="1:6" s="255" customFormat="1" ht="24">
      <c r="A15" s="267" t="s">
        <v>1885</v>
      </c>
      <c r="B15" s="178">
        <f>'Sources and Uses Budget'!$C14</f>
        <v>0</v>
      </c>
      <c r="C15" s="178">
        <f>'Sources and Uses Budget'!$C14</f>
        <v>0</v>
      </c>
      <c r="D15" s="182">
        <f t="shared" si="0"/>
        <v>0</v>
      </c>
      <c r="E15" s="180"/>
      <c r="F15" s="179"/>
    </row>
    <row r="16" spans="1:6" s="255" customFormat="1">
      <c r="A16" s="267" t="s">
        <v>1766</v>
      </c>
      <c r="B16" s="178">
        <f>'Sources and Uses Budget'!$C15</f>
        <v>0</v>
      </c>
      <c r="C16" s="178">
        <f>'Sources and Uses Budget'!$C15</f>
        <v>0</v>
      </c>
      <c r="D16" s="182">
        <f t="shared" si="0"/>
        <v>0</v>
      </c>
      <c r="E16" s="180"/>
      <c r="F16" s="179"/>
    </row>
    <row r="17" spans="1:6" s="255" customFormat="1">
      <c r="A17" s="176" t="s">
        <v>1767</v>
      </c>
      <c r="B17" s="176"/>
      <c r="C17" s="176"/>
      <c r="D17" s="176"/>
      <c r="E17" s="194"/>
      <c r="F17" s="176"/>
    </row>
    <row r="18" spans="1:6" s="255" customFormat="1">
      <c r="A18" s="195" t="s">
        <v>1768</v>
      </c>
      <c r="B18" s="178">
        <f>'Sources and Uses Budget'!$C17</f>
        <v>0</v>
      </c>
      <c r="C18" s="178">
        <f>'Sources and Uses Budget'!$C17</f>
        <v>0</v>
      </c>
      <c r="D18" s="182">
        <f t="shared" si="0"/>
        <v>0</v>
      </c>
      <c r="E18" s="180"/>
      <c r="F18" s="179"/>
    </row>
    <row r="19" spans="1:6" s="255" customFormat="1">
      <c r="A19" s="195" t="s">
        <v>1769</v>
      </c>
      <c r="B19" s="178">
        <f>'Sources and Uses Budget'!$C18</f>
        <v>0</v>
      </c>
      <c r="C19" s="178">
        <f>'Sources and Uses Budget'!$C18</f>
        <v>0</v>
      </c>
      <c r="D19" s="182">
        <f t="shared" si="0"/>
        <v>0</v>
      </c>
      <c r="E19" s="180"/>
      <c r="F19" s="179"/>
    </row>
    <row r="20" spans="1:6" s="255" customFormat="1">
      <c r="A20" s="195" t="s">
        <v>1770</v>
      </c>
      <c r="B20" s="178">
        <f>'Sources and Uses Budget'!$C19</f>
        <v>0</v>
      </c>
      <c r="C20" s="178">
        <f>'Sources and Uses Budget'!$C19</f>
        <v>0</v>
      </c>
      <c r="D20" s="182">
        <f t="shared" si="0"/>
        <v>0</v>
      </c>
      <c r="E20" s="180"/>
      <c r="F20" s="179"/>
    </row>
    <row r="21" spans="1:6" s="255" customFormat="1">
      <c r="A21" s="195" t="s">
        <v>1771</v>
      </c>
      <c r="B21" s="178">
        <f>'Sources and Uses Budget'!$C20</f>
        <v>0</v>
      </c>
      <c r="C21" s="178">
        <f>'Sources and Uses Budget'!$C20</f>
        <v>0</v>
      </c>
      <c r="D21" s="182">
        <f t="shared" si="0"/>
        <v>0</v>
      </c>
      <c r="E21" s="180"/>
      <c r="F21" s="179"/>
    </row>
    <row r="22" spans="1:6" s="255" customFormat="1">
      <c r="A22" s="195" t="s">
        <v>1772</v>
      </c>
      <c r="B22" s="178">
        <f>'Sources and Uses Budget'!$C21</f>
        <v>0</v>
      </c>
      <c r="C22" s="178">
        <f>'Sources and Uses Budget'!$C21</f>
        <v>0</v>
      </c>
      <c r="D22" s="182">
        <f t="shared" si="0"/>
        <v>0</v>
      </c>
      <c r="E22" s="180"/>
      <c r="F22" s="179"/>
    </row>
    <row r="23" spans="1:6" s="255" customFormat="1">
      <c r="A23" s="195" t="s">
        <v>1773</v>
      </c>
      <c r="B23" s="178">
        <f>'Sources and Uses Budget'!$C22</f>
        <v>0</v>
      </c>
      <c r="C23" s="178">
        <f>'Sources and Uses Budget'!$C22</f>
        <v>0</v>
      </c>
      <c r="D23" s="182">
        <f t="shared" si="0"/>
        <v>0</v>
      </c>
      <c r="E23" s="180"/>
      <c r="F23" s="179"/>
    </row>
    <row r="24" spans="1:6" s="255" customFormat="1">
      <c r="A24" s="195" t="s">
        <v>1774</v>
      </c>
      <c r="B24" s="178">
        <f>'Sources and Uses Budget'!$C23</f>
        <v>0</v>
      </c>
      <c r="C24" s="178">
        <f>'Sources and Uses Budget'!$C23</f>
        <v>0</v>
      </c>
      <c r="D24" s="182">
        <f t="shared" si="0"/>
        <v>0</v>
      </c>
      <c r="E24" s="180"/>
      <c r="F24" s="179"/>
    </row>
    <row r="25" spans="1:6" s="255" customFormat="1">
      <c r="A25" s="409" t="s">
        <v>1775</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1777</v>
      </c>
      <c r="B27" s="182">
        <f>SUM(B18:B26)</f>
        <v>0</v>
      </c>
      <c r="C27" s="182">
        <f>SUM(C18:C26)</f>
        <v>0</v>
      </c>
      <c r="D27" s="182">
        <f>SUM(D18:D26)</f>
        <v>0</v>
      </c>
      <c r="E27" s="180"/>
      <c r="F27" s="179"/>
    </row>
    <row r="28" spans="1:6" s="255" customFormat="1">
      <c r="A28" s="183" t="s">
        <v>1778</v>
      </c>
      <c r="B28" s="178">
        <f>'Sources and Uses Budget'!$C$27</f>
        <v>0</v>
      </c>
      <c r="C28" s="178">
        <f>'Sources and Uses Budget'!$C$27</f>
        <v>0</v>
      </c>
      <c r="D28" s="182">
        <f t="shared" si="0"/>
        <v>0</v>
      </c>
      <c r="E28" s="180"/>
      <c r="F28" s="179"/>
    </row>
    <row r="29" spans="1:6" s="255" customFormat="1">
      <c r="A29" s="176" t="s">
        <v>1779</v>
      </c>
      <c r="B29" s="176"/>
      <c r="C29" s="176"/>
      <c r="D29" s="176"/>
      <c r="E29" s="194"/>
      <c r="F29" s="176"/>
    </row>
    <row r="30" spans="1:6" s="255" customFormat="1">
      <c r="A30" s="195" t="s">
        <v>1768</v>
      </c>
      <c r="B30" s="178">
        <f>'Sources and Uses Budget'!$C29</f>
        <v>2005421</v>
      </c>
      <c r="C30" s="178">
        <f>'Sources and Uses Budget'!$C29</f>
        <v>2005421</v>
      </c>
      <c r="D30" s="182">
        <f t="shared" si="0"/>
        <v>0</v>
      </c>
      <c r="E30" s="180"/>
      <c r="F30" s="179"/>
    </row>
    <row r="31" spans="1:6" s="255" customFormat="1">
      <c r="A31" s="195" t="s">
        <v>1769</v>
      </c>
      <c r="B31" s="178">
        <f>'Sources and Uses Budget'!$C30</f>
        <v>23611819</v>
      </c>
      <c r="C31" s="178">
        <f>'Sources and Uses Budget'!$C30</f>
        <v>23611819</v>
      </c>
      <c r="D31" s="182">
        <f t="shared" si="0"/>
        <v>0</v>
      </c>
      <c r="E31" s="180"/>
      <c r="F31" s="179"/>
    </row>
    <row r="32" spans="1:6" s="255" customFormat="1">
      <c r="A32" s="195" t="s">
        <v>1770</v>
      </c>
      <c r="B32" s="178">
        <f>'Sources and Uses Budget'!$C31</f>
        <v>3180593</v>
      </c>
      <c r="C32" s="178">
        <f>'Sources and Uses Budget'!$C31</f>
        <v>3180593</v>
      </c>
      <c r="D32" s="182">
        <f t="shared" si="0"/>
        <v>0</v>
      </c>
      <c r="E32" s="180"/>
      <c r="F32" s="179"/>
    </row>
    <row r="33" spans="1:6" s="255" customFormat="1">
      <c r="A33" s="195" t="s">
        <v>1771</v>
      </c>
      <c r="B33" s="178">
        <f>'Sources and Uses Budget'!$C32</f>
        <v>993709</v>
      </c>
      <c r="C33" s="178">
        <f>'Sources and Uses Budget'!$C32</f>
        <v>993709</v>
      </c>
      <c r="D33" s="182">
        <f t="shared" si="0"/>
        <v>0</v>
      </c>
      <c r="E33" s="180"/>
      <c r="F33" s="179"/>
    </row>
    <row r="34" spans="1:6" s="255" customFormat="1">
      <c r="A34" s="195" t="s">
        <v>1772</v>
      </c>
      <c r="B34" s="178">
        <f>'Sources and Uses Budget'!$C33</f>
        <v>993710</v>
      </c>
      <c r="C34" s="178">
        <f>'Sources and Uses Budget'!$C33</f>
        <v>993710</v>
      </c>
      <c r="D34" s="182">
        <f t="shared" si="0"/>
        <v>0</v>
      </c>
      <c r="E34" s="180"/>
      <c r="F34" s="179"/>
    </row>
    <row r="35" spans="1:6" s="255" customFormat="1">
      <c r="A35" s="195" t="s">
        <v>1773</v>
      </c>
      <c r="B35" s="178">
        <f>'Sources and Uses Budget'!$C34</f>
        <v>10119350</v>
      </c>
      <c r="C35" s="178">
        <f>'Sources and Uses Budget'!$C34</f>
        <v>10119350</v>
      </c>
      <c r="D35" s="182">
        <f t="shared" si="0"/>
        <v>0</v>
      </c>
      <c r="E35" s="180"/>
      <c r="F35" s="179"/>
    </row>
    <row r="36" spans="1:6" s="255" customFormat="1">
      <c r="A36" s="195" t="s">
        <v>1774</v>
      </c>
      <c r="B36" s="178">
        <f>'Sources and Uses Budget'!$C35</f>
        <v>389652</v>
      </c>
      <c r="C36" s="178">
        <f>'Sources and Uses Budget'!$C35</f>
        <v>389652</v>
      </c>
      <c r="D36" s="182">
        <f t="shared" si="0"/>
        <v>0</v>
      </c>
      <c r="E36" s="180"/>
      <c r="F36" s="179"/>
    </row>
    <row r="37" spans="1:6" s="255" customFormat="1">
      <c r="A37" s="195" t="s">
        <v>1775</v>
      </c>
      <c r="B37" s="178">
        <f>'Sources and Uses Budget'!$C36</f>
        <v>0</v>
      </c>
      <c r="C37" s="178">
        <f>'Sources and Uses Budget'!$C36</f>
        <v>0</v>
      </c>
      <c r="D37" s="182"/>
      <c r="E37" s="180"/>
      <c r="F37" s="179"/>
    </row>
    <row r="38" spans="1:6" s="255" customFormat="1">
      <c r="A38" s="409" t="str">
        <f>'Sources and Uses Budget'!A37</f>
        <v>Other: Bond Premium</v>
      </c>
      <c r="B38" s="178">
        <f>'Sources and Uses Budget'!$C37</f>
        <v>393549</v>
      </c>
      <c r="C38" s="178">
        <f>'Sources and Uses Budget'!$C37</f>
        <v>393549</v>
      </c>
      <c r="D38" s="182">
        <f t="shared" si="0"/>
        <v>0</v>
      </c>
      <c r="E38" s="180"/>
      <c r="F38" s="179"/>
    </row>
    <row r="39" spans="1:6" s="255" customFormat="1">
      <c r="A39" s="183" t="s">
        <v>1781</v>
      </c>
      <c r="B39" s="182">
        <f>SUM(B30:B38)</f>
        <v>41687803</v>
      </c>
      <c r="C39" s="182">
        <f>SUM(C30:C38)</f>
        <v>41687803</v>
      </c>
      <c r="D39" s="182">
        <f t="shared" si="0"/>
        <v>0</v>
      </c>
      <c r="E39" s="180"/>
      <c r="F39" s="179"/>
    </row>
    <row r="40" spans="1:6" s="255" customFormat="1">
      <c r="A40" s="176" t="s">
        <v>1782</v>
      </c>
      <c r="B40" s="176"/>
      <c r="C40" s="176"/>
      <c r="D40" s="176"/>
      <c r="E40" s="194"/>
      <c r="F40" s="176"/>
    </row>
    <row r="41" spans="1:6" s="255" customFormat="1">
      <c r="A41" s="181" t="s">
        <v>1783</v>
      </c>
      <c r="B41" s="178">
        <f>'Sources and Uses Budget'!$C40</f>
        <v>2000000</v>
      </c>
      <c r="C41" s="178">
        <f>'Sources and Uses Budget'!$C40</f>
        <v>2000000</v>
      </c>
      <c r="D41" s="182">
        <f t="shared" si="0"/>
        <v>0</v>
      </c>
      <c r="E41" s="180"/>
      <c r="F41" s="179"/>
    </row>
    <row r="42" spans="1:6" s="255" customFormat="1">
      <c r="A42" s="181" t="s">
        <v>1784</v>
      </c>
      <c r="B42" s="178">
        <f>'Sources and Uses Budget'!$C41</f>
        <v>0</v>
      </c>
      <c r="C42" s="178">
        <f>'Sources and Uses Budget'!$C41</f>
        <v>0</v>
      </c>
      <c r="D42" s="182">
        <f t="shared" si="0"/>
        <v>0</v>
      </c>
      <c r="E42" s="180"/>
      <c r="F42" s="179"/>
    </row>
    <row r="43" spans="1:6" s="255" customFormat="1">
      <c r="A43" s="183" t="s">
        <v>1785</v>
      </c>
      <c r="B43" s="182">
        <f>SUM(B41:B42)</f>
        <v>2000000</v>
      </c>
      <c r="C43" s="182">
        <f>SUM(C41:C42)</f>
        <v>2000000</v>
      </c>
      <c r="D43" s="182">
        <f t="shared" si="0"/>
        <v>0</v>
      </c>
      <c r="E43" s="180"/>
      <c r="F43" s="179"/>
    </row>
    <row r="44" spans="1:6" s="255" customFormat="1">
      <c r="A44" s="183" t="s">
        <v>1786</v>
      </c>
      <c r="B44" s="178">
        <f>'Sources and Uses Budget'!$C43</f>
        <v>414466</v>
      </c>
      <c r="C44" s="178">
        <f>'Sources and Uses Budget'!$C43</f>
        <v>414466</v>
      </c>
      <c r="D44" s="182">
        <f t="shared" si="0"/>
        <v>0</v>
      </c>
      <c r="E44" s="180"/>
      <c r="F44" s="179"/>
    </row>
    <row r="45" spans="1:6" s="255" customFormat="1" ht="12" customHeight="1">
      <c r="A45" s="176" t="s">
        <v>1787</v>
      </c>
      <c r="B45" s="176"/>
      <c r="C45" s="176"/>
      <c r="D45" s="176"/>
      <c r="E45" s="194"/>
      <c r="F45" s="176"/>
    </row>
    <row r="46" spans="1:6" s="255" customFormat="1">
      <c r="A46" s="195" t="s">
        <v>1788</v>
      </c>
      <c r="B46" s="178">
        <f>'Sources and Uses Budget'!$C45</f>
        <v>5006396</v>
      </c>
      <c r="C46" s="178">
        <f>'Sources and Uses Budget'!$C45</f>
        <v>5006396</v>
      </c>
      <c r="D46" s="182">
        <f t="shared" si="0"/>
        <v>0</v>
      </c>
      <c r="E46" s="180"/>
      <c r="F46" s="179"/>
    </row>
    <row r="47" spans="1:6" s="255" customFormat="1">
      <c r="A47" s="195" t="s">
        <v>1789</v>
      </c>
      <c r="B47" s="178">
        <f>'Sources and Uses Budget'!$C46</f>
        <v>411290</v>
      </c>
      <c r="C47" s="178">
        <f>'Sources and Uses Budget'!$C46</f>
        <v>411290</v>
      </c>
      <c r="D47" s="182">
        <f t="shared" si="0"/>
        <v>0</v>
      </c>
      <c r="E47" s="180"/>
      <c r="F47" s="179"/>
    </row>
    <row r="48" spans="1:6" s="255" customFormat="1" ht="12" customHeight="1">
      <c r="A48" s="1210" t="s">
        <v>1790</v>
      </c>
      <c r="B48" s="178">
        <f>'Sources and Uses Budget'!$C47</f>
        <v>0</v>
      </c>
      <c r="C48" s="178">
        <f>'Sources and Uses Budget'!$C47</f>
        <v>0</v>
      </c>
      <c r="D48" s="182">
        <f t="shared" si="0"/>
        <v>0</v>
      </c>
      <c r="E48" s="180"/>
      <c r="F48" s="179"/>
    </row>
    <row r="49" spans="1:6" s="255" customFormat="1">
      <c r="A49" s="195" t="s">
        <v>1791</v>
      </c>
      <c r="B49" s="178">
        <f>'Sources and Uses Budget'!$C48</f>
        <v>0</v>
      </c>
      <c r="C49" s="178">
        <f>'Sources and Uses Budget'!$C48</f>
        <v>0</v>
      </c>
      <c r="D49" s="182">
        <f t="shared" si="0"/>
        <v>0</v>
      </c>
      <c r="E49" s="180"/>
      <c r="F49" s="179"/>
    </row>
    <row r="50" spans="1:6" s="255" customFormat="1">
      <c r="A50" s="195" t="s">
        <v>1792</v>
      </c>
      <c r="B50" s="178">
        <f>'Sources and Uses Budget'!$C49</f>
        <v>279422</v>
      </c>
      <c r="C50" s="178">
        <f>'Sources and Uses Budget'!$C49</f>
        <v>279422</v>
      </c>
      <c r="D50" s="182">
        <f t="shared" si="0"/>
        <v>0</v>
      </c>
      <c r="E50" s="180"/>
      <c r="F50" s="179"/>
    </row>
    <row r="51" spans="1:6" s="255" customFormat="1">
      <c r="A51" s="195" t="s">
        <v>1793</v>
      </c>
      <c r="B51" s="178">
        <f>'Sources and Uses Budget'!$C50</f>
        <v>55000</v>
      </c>
      <c r="C51" s="178">
        <f>'Sources and Uses Budget'!$C50</f>
        <v>55000</v>
      </c>
      <c r="D51" s="182">
        <f t="shared" si="0"/>
        <v>0</v>
      </c>
      <c r="E51" s="180"/>
      <c r="F51" s="179"/>
    </row>
    <row r="52" spans="1:6" s="255" customFormat="1">
      <c r="A52" s="195" t="s">
        <v>1794</v>
      </c>
      <c r="B52" s="178">
        <f>'Sources and Uses Budget'!$C51</f>
        <v>36975</v>
      </c>
      <c r="C52" s="178">
        <f>'Sources and Uses Budget'!$C51</f>
        <v>36975</v>
      </c>
      <c r="D52" s="182">
        <f t="shared" si="0"/>
        <v>0</v>
      </c>
      <c r="E52" s="180"/>
      <c r="F52" s="179"/>
    </row>
    <row r="53" spans="1:6" s="255" customFormat="1">
      <c r="A53" s="195" t="s">
        <v>1559</v>
      </c>
      <c r="B53" s="178">
        <f>'Sources and Uses Budget'!$C52</f>
        <v>624000</v>
      </c>
      <c r="C53" s="178">
        <f>'Sources and Uses Budget'!$C52</f>
        <v>624000</v>
      </c>
      <c r="D53" s="182">
        <f t="shared" si="0"/>
        <v>0</v>
      </c>
      <c r="E53" s="180"/>
      <c r="F53" s="179"/>
    </row>
    <row r="54" spans="1:6" s="255" customFormat="1">
      <c r="A54" s="409" t="str">
        <f>'Sources and Uses Budget'!A53</f>
        <v>Other: Construction Lender Expenses</v>
      </c>
      <c r="B54" s="178">
        <f>'Sources and Uses Budget'!$C53</f>
        <v>120000</v>
      </c>
      <c r="C54" s="178">
        <f>'Sources and Uses Budget'!$C53</f>
        <v>120000</v>
      </c>
      <c r="D54" s="182">
        <f t="shared" si="0"/>
        <v>0</v>
      </c>
      <c r="E54" s="180"/>
      <c r="F54" s="179"/>
    </row>
    <row r="55" spans="1:6" s="256" customFormat="1">
      <c r="A55" s="183" t="s">
        <v>1796</v>
      </c>
      <c r="B55" s="185">
        <f>SUM(B46:B54)</f>
        <v>6533083</v>
      </c>
      <c r="C55" s="185">
        <f>SUM(C46:C54)</f>
        <v>6533083</v>
      </c>
      <c r="D55" s="182">
        <f t="shared" si="0"/>
        <v>0</v>
      </c>
      <c r="E55" s="180"/>
      <c r="F55" s="179"/>
    </row>
    <row r="56" spans="1:6" s="255" customFormat="1">
      <c r="A56" s="176" t="s">
        <v>1360</v>
      </c>
      <c r="B56" s="176"/>
      <c r="C56" s="176"/>
      <c r="D56" s="176"/>
      <c r="E56" s="194"/>
      <c r="F56" s="176"/>
    </row>
    <row r="57" spans="1:6" s="255" customFormat="1">
      <c r="A57" s="181" t="s">
        <v>1797</v>
      </c>
      <c r="B57" s="178">
        <f>'Sources and Uses Budget'!$C56</f>
        <v>30540</v>
      </c>
      <c r="C57" s="178">
        <f>'Sources and Uses Budget'!$C56</f>
        <v>30540</v>
      </c>
      <c r="D57" s="182">
        <f t="shared" si="0"/>
        <v>0</v>
      </c>
      <c r="E57" s="180"/>
      <c r="F57" s="179"/>
    </row>
    <row r="58" spans="1:6" s="255" customFormat="1" ht="12" customHeight="1">
      <c r="A58" s="181" t="s">
        <v>1790</v>
      </c>
      <c r="B58" s="178">
        <f>'Sources and Uses Budget'!$C57</f>
        <v>0</v>
      </c>
      <c r="C58" s="178">
        <f>'Sources and Uses Budget'!$C57</f>
        <v>0</v>
      </c>
      <c r="D58" s="182">
        <f t="shared" si="0"/>
        <v>0</v>
      </c>
      <c r="E58" s="180"/>
      <c r="F58" s="179"/>
    </row>
    <row r="59" spans="1:6" s="255" customFormat="1">
      <c r="A59" s="181" t="s">
        <v>1793</v>
      </c>
      <c r="B59" s="178">
        <f>'Sources and Uses Budget'!$C58</f>
        <v>10000</v>
      </c>
      <c r="C59" s="178">
        <f>'Sources and Uses Budget'!$C58</f>
        <v>10000</v>
      </c>
      <c r="D59" s="182">
        <f t="shared" si="0"/>
        <v>0</v>
      </c>
      <c r="E59" s="180"/>
      <c r="F59" s="179"/>
    </row>
    <row r="60" spans="1:6" s="255" customFormat="1">
      <c r="A60" s="181" t="s">
        <v>1794</v>
      </c>
      <c r="B60" s="178">
        <f>'Sources and Uses Budget'!$C59</f>
        <v>0</v>
      </c>
      <c r="C60" s="178">
        <f>'Sources and Uses Budget'!$C59</f>
        <v>0</v>
      </c>
      <c r="D60" s="182">
        <f t="shared" si="0"/>
        <v>0</v>
      </c>
      <c r="E60" s="180"/>
      <c r="F60" s="179"/>
    </row>
    <row r="61" spans="1:6" s="255" customFormat="1">
      <c r="A61" s="181" t="s">
        <v>1559</v>
      </c>
      <c r="B61" s="178">
        <f>'Sources and Uses Budget'!$C60</f>
        <v>0</v>
      </c>
      <c r="C61" s="178">
        <f>'Sources and Uses Budget'!$C60</f>
        <v>0</v>
      </c>
      <c r="D61" s="182">
        <f t="shared" si="0"/>
        <v>0</v>
      </c>
      <c r="E61" s="180"/>
      <c r="F61" s="179"/>
    </row>
    <row r="62" spans="1:6" s="255" customFormat="1">
      <c r="A62" s="906" t="str">
        <f>'Sources and Uses Budget'!A61</f>
        <v>Other: Perm Lender + Owner Counsel</v>
      </c>
      <c r="B62" s="178">
        <f>'Sources and Uses Budget'!$C61</f>
        <v>84127</v>
      </c>
      <c r="C62" s="178">
        <f>'Sources and Uses Budget'!$C61</f>
        <v>84127</v>
      </c>
      <c r="D62" s="182">
        <f t="shared" si="0"/>
        <v>0</v>
      </c>
      <c r="E62" s="180"/>
      <c r="F62" s="179"/>
    </row>
    <row r="63" spans="1:6" s="255" customFormat="1" ht="13.7" customHeight="1">
      <c r="A63" s="183" t="s">
        <v>1799</v>
      </c>
      <c r="B63" s="182">
        <f>SUM(B57:B62)</f>
        <v>124667</v>
      </c>
      <c r="C63" s="182">
        <f>SUM(C57:C62)</f>
        <v>124667</v>
      </c>
      <c r="D63" s="182">
        <f t="shared" si="0"/>
        <v>0</v>
      </c>
      <c r="E63" s="180"/>
      <c r="F63" s="179"/>
    </row>
    <row r="64" spans="1:6" s="255" customFormat="1">
      <c r="A64" s="186" t="s">
        <v>1800</v>
      </c>
      <c r="B64" s="182">
        <f>SUM(B9+B12+B14+B15+B17+B26+B28+B39+B43+B44+B55+B63)</f>
        <v>53718869</v>
      </c>
      <c r="C64" s="182">
        <f>SUM(C9+C12+C14+C15+C17+C26+C28+C39+C43+C44+C55+C63)</f>
        <v>53718869</v>
      </c>
      <c r="D64" s="182">
        <f t="shared" si="0"/>
        <v>0</v>
      </c>
      <c r="E64" s="180"/>
      <c r="F64" s="179"/>
    </row>
    <row r="65" spans="1:6" s="255" customFormat="1" ht="24">
      <c r="A65" s="104" t="s">
        <v>1801</v>
      </c>
      <c r="B65" s="176"/>
      <c r="C65" s="176"/>
      <c r="D65" s="176"/>
      <c r="E65" s="194"/>
      <c r="F65" s="176"/>
    </row>
    <row r="66" spans="1:6" s="255" customFormat="1">
      <c r="A66" s="195" t="s">
        <v>1802</v>
      </c>
      <c r="B66" s="178">
        <f>'Sources and Uses Budget'!$C65</f>
        <v>150000</v>
      </c>
      <c r="C66" s="178">
        <f>'Sources and Uses Budget'!$C65</f>
        <v>150000</v>
      </c>
      <c r="D66" s="182">
        <f t="shared" si="0"/>
        <v>0</v>
      </c>
      <c r="E66" s="180"/>
      <c r="F66" s="179"/>
    </row>
    <row r="67" spans="1:6" s="255" customFormat="1" ht="24">
      <c r="A67" s="195" t="s">
        <v>1803</v>
      </c>
      <c r="B67" s="178">
        <f>'Sources and Uses Budget'!$C66</f>
        <v>0</v>
      </c>
      <c r="C67" s="178">
        <f>'Sources and Uses Budget'!$C66</f>
        <v>0</v>
      </c>
      <c r="D67" s="182"/>
      <c r="E67" s="180"/>
      <c r="F67" s="179"/>
    </row>
    <row r="68" spans="1:6" s="255" customFormat="1" ht="24">
      <c r="A68" s="195" t="s">
        <v>1804</v>
      </c>
      <c r="B68" s="178">
        <f>'Sources and Uses Budget'!$C67</f>
        <v>0</v>
      </c>
      <c r="C68" s="178">
        <f>'Sources and Uses Budget'!$C67</f>
        <v>0</v>
      </c>
      <c r="D68" s="182"/>
      <c r="E68" s="180"/>
      <c r="F68" s="179"/>
    </row>
    <row r="69" spans="1:6" s="255" customFormat="1">
      <c r="A69" s="195" t="s">
        <v>1805</v>
      </c>
      <c r="B69" s="178">
        <f>'Sources and Uses Budget'!$C68</f>
        <v>0</v>
      </c>
      <c r="C69" s="178">
        <f>'Sources and Uses Budget'!$C68</f>
        <v>0</v>
      </c>
      <c r="D69" s="182"/>
      <c r="E69" s="180"/>
      <c r="F69" s="179"/>
    </row>
    <row r="70" spans="1:6" s="255" customFormat="1">
      <c r="A70" s="409" t="str">
        <f>'Sources and Uses Budget'!A69</f>
        <v>Other: Owner Construction Legal</v>
      </c>
      <c r="B70" s="178">
        <f>'Sources and Uses Budget'!$C69</f>
        <v>57500</v>
      </c>
      <c r="C70" s="178">
        <f>'Sources and Uses Budget'!$C69</f>
        <v>57500</v>
      </c>
      <c r="D70" s="182">
        <f t="shared" si="0"/>
        <v>0</v>
      </c>
      <c r="E70" s="180"/>
      <c r="F70" s="179"/>
    </row>
    <row r="71" spans="1:6" s="255" customFormat="1">
      <c r="A71" s="106" t="s">
        <v>1807</v>
      </c>
      <c r="B71" s="182">
        <f>SUM(B66:B70)</f>
        <v>207500</v>
      </c>
      <c r="C71" s="182">
        <f>SUM(C66:C70)</f>
        <v>207500</v>
      </c>
      <c r="D71" s="182">
        <f t="shared" si="0"/>
        <v>0</v>
      </c>
      <c r="E71" s="180"/>
      <c r="F71" s="179"/>
    </row>
    <row r="72" spans="1:6" s="255" customFormat="1">
      <c r="A72" s="176" t="s">
        <v>1808</v>
      </c>
      <c r="B72" s="176"/>
      <c r="C72" s="176"/>
      <c r="D72" s="176"/>
      <c r="E72" s="194"/>
      <c r="F72" s="176"/>
    </row>
    <row r="73" spans="1:6" s="255" customFormat="1">
      <c r="A73" s="181" t="s">
        <v>1809</v>
      </c>
      <c r="B73" s="178">
        <f>'Sources and Uses Budget'!$C72</f>
        <v>0</v>
      </c>
      <c r="C73" s="178">
        <f>'Sources and Uses Budget'!$C72</f>
        <v>0</v>
      </c>
      <c r="D73" s="182">
        <f t="shared" si="0"/>
        <v>0</v>
      </c>
      <c r="E73" s="180"/>
      <c r="F73" s="179"/>
    </row>
    <row r="74" spans="1:6" s="255" customFormat="1">
      <c r="A74" s="181" t="s">
        <v>1810</v>
      </c>
      <c r="B74" s="178">
        <f>'Sources and Uses Budget'!$C73</f>
        <v>0</v>
      </c>
      <c r="C74" s="178">
        <f>'Sources and Uses Budget'!$C73</f>
        <v>0</v>
      </c>
      <c r="D74" s="182">
        <f t="shared" si="0"/>
        <v>0</v>
      </c>
      <c r="E74" s="180"/>
      <c r="F74" s="179"/>
    </row>
    <row r="75" spans="1:6" s="255" customFormat="1">
      <c r="A75" s="197" t="s">
        <v>1811</v>
      </c>
      <c r="B75" s="178">
        <f>'Sources and Uses Budget'!$C74</f>
        <v>0</v>
      </c>
      <c r="C75" s="178">
        <f>'Sources and Uses Budget'!$C74</f>
        <v>0</v>
      </c>
      <c r="D75" s="182">
        <f t="shared" si="0"/>
        <v>0</v>
      </c>
      <c r="E75" s="180"/>
      <c r="F75" s="179"/>
    </row>
    <row r="76" spans="1:6" s="255" customFormat="1">
      <c r="A76" s="181" t="s">
        <v>1812</v>
      </c>
      <c r="B76" s="178">
        <f>'Sources and Uses Budget'!$C75</f>
        <v>256637</v>
      </c>
      <c r="C76" s="178">
        <f>'Sources and Uses Budget'!$C75</f>
        <v>256637</v>
      </c>
      <c r="D76" s="182">
        <f t="shared" si="0"/>
        <v>0</v>
      </c>
      <c r="E76" s="180"/>
      <c r="F76" s="179"/>
    </row>
    <row r="77" spans="1:6" s="255" customFormat="1">
      <c r="A77" s="184" t="s">
        <v>1776</v>
      </c>
      <c r="B77" s="178">
        <f>'Sources and Uses Budget'!$C76</f>
        <v>0</v>
      </c>
      <c r="C77" s="178">
        <f>'Sources and Uses Budget'!$C76</f>
        <v>0</v>
      </c>
      <c r="D77" s="182">
        <f t="shared" si="0"/>
        <v>0</v>
      </c>
      <c r="E77" s="180"/>
      <c r="F77" s="179"/>
    </row>
    <row r="78" spans="1:6" s="255" customFormat="1">
      <c r="A78" s="183" t="s">
        <v>1814</v>
      </c>
      <c r="B78" s="182">
        <f>SUM(B73:B77)</f>
        <v>256637</v>
      </c>
      <c r="C78" s="182">
        <f>SUM(C73:C77)</f>
        <v>256637</v>
      </c>
      <c r="D78" s="182">
        <f t="shared" ref="D78:D106" si="1">C78-B78</f>
        <v>0</v>
      </c>
      <c r="E78" s="180"/>
      <c r="F78" s="179"/>
    </row>
    <row r="79" spans="1:6" s="255" customFormat="1">
      <c r="A79" s="176" t="s">
        <v>1815</v>
      </c>
      <c r="B79" s="176"/>
      <c r="C79" s="176"/>
      <c r="D79" s="176"/>
      <c r="E79" s="194"/>
      <c r="F79" s="176"/>
    </row>
    <row r="80" spans="1:6" s="255" customFormat="1">
      <c r="A80" s="410" t="s">
        <v>1816</v>
      </c>
      <c r="B80" s="178">
        <f>'Sources and Uses Budget'!$C79</f>
        <v>2086790</v>
      </c>
      <c r="C80" s="178">
        <f>'Sources and Uses Budget'!$C79</f>
        <v>2086790</v>
      </c>
      <c r="D80" s="182">
        <f t="shared" si="1"/>
        <v>0</v>
      </c>
      <c r="E80" s="180"/>
      <c r="F80" s="179"/>
    </row>
    <row r="81" spans="1:6" s="255" customFormat="1">
      <c r="A81" s="410" t="s">
        <v>1817</v>
      </c>
      <c r="B81" s="178">
        <f>'Sources and Uses Budget'!$C80</f>
        <v>277456</v>
      </c>
      <c r="C81" s="178">
        <f>'Sources and Uses Budget'!$C80</f>
        <v>277456</v>
      </c>
      <c r="D81" s="182">
        <f>C81-B81</f>
        <v>0</v>
      </c>
      <c r="E81" s="180"/>
      <c r="F81" s="179"/>
    </row>
    <row r="82" spans="1:6" s="255" customFormat="1">
      <c r="A82" s="183" t="s">
        <v>1818</v>
      </c>
      <c r="B82" s="182">
        <f>SUM(B80:B81)</f>
        <v>2364246</v>
      </c>
      <c r="C82" s="182">
        <f>SUM(C80:C81)</f>
        <v>2364246</v>
      </c>
      <c r="D82" s="182">
        <f t="shared" si="1"/>
        <v>0</v>
      </c>
      <c r="E82" s="180"/>
      <c r="F82" s="179"/>
    </row>
    <row r="83" spans="1:6" s="255" customFormat="1">
      <c r="A83" s="176" t="s">
        <v>1819</v>
      </c>
      <c r="B83" s="176"/>
      <c r="C83" s="176"/>
      <c r="D83" s="176"/>
      <c r="E83" s="194"/>
      <c r="F83" s="176"/>
    </row>
    <row r="84" spans="1:6" s="255" customFormat="1" ht="13.7" customHeight="1">
      <c r="A84" s="181" t="s">
        <v>2760</v>
      </c>
      <c r="B84" s="178">
        <f>'Sources and Uses Budget'!$C83</f>
        <v>91105</v>
      </c>
      <c r="C84" s="178">
        <f>'Sources and Uses Budget'!$C83</f>
        <v>91105</v>
      </c>
      <c r="D84" s="182">
        <f t="shared" si="1"/>
        <v>0</v>
      </c>
      <c r="E84" s="180"/>
      <c r="F84" s="179"/>
    </row>
    <row r="85" spans="1:6" s="255" customFormat="1">
      <c r="A85" s="181" t="s">
        <v>1821</v>
      </c>
      <c r="B85" s="178">
        <f>'Sources and Uses Budget'!$C84</f>
        <v>69800</v>
      </c>
      <c r="C85" s="178">
        <f>'Sources and Uses Budget'!$C84</f>
        <v>69800</v>
      </c>
      <c r="D85" s="182">
        <f t="shared" si="1"/>
        <v>0</v>
      </c>
      <c r="E85" s="180"/>
      <c r="F85" s="179"/>
    </row>
    <row r="86" spans="1:6" s="255" customFormat="1">
      <c r="A86" s="181" t="s">
        <v>1822</v>
      </c>
      <c r="B86" s="178">
        <f>'Sources and Uses Budget'!$C85</f>
        <v>1000000</v>
      </c>
      <c r="C86" s="178">
        <f>'Sources and Uses Budget'!$C85</f>
        <v>1000000</v>
      </c>
      <c r="D86" s="182">
        <f t="shared" si="1"/>
        <v>0</v>
      </c>
      <c r="E86" s="180"/>
      <c r="F86" s="179"/>
    </row>
    <row r="87" spans="1:6" s="255" customFormat="1">
      <c r="A87" s="181" t="s">
        <v>1823</v>
      </c>
      <c r="B87" s="178">
        <f>'Sources and Uses Budget'!$C86</f>
        <v>210000</v>
      </c>
      <c r="C87" s="178">
        <f>'Sources and Uses Budget'!$C86</f>
        <v>210000</v>
      </c>
      <c r="D87" s="182">
        <f t="shared" si="1"/>
        <v>0</v>
      </c>
      <c r="E87" s="180"/>
      <c r="F87" s="179"/>
    </row>
    <row r="88" spans="1:6" s="255" customFormat="1">
      <c r="A88" s="181" t="s">
        <v>1824</v>
      </c>
      <c r="B88" s="178">
        <f>'Sources and Uses Budget'!$C87</f>
        <v>0</v>
      </c>
      <c r="C88" s="178">
        <f>'Sources and Uses Budget'!$C87</f>
        <v>0</v>
      </c>
      <c r="D88" s="182">
        <f t="shared" si="1"/>
        <v>0</v>
      </c>
      <c r="E88" s="180"/>
      <c r="F88" s="179"/>
    </row>
    <row r="89" spans="1:6" s="255" customFormat="1">
      <c r="A89" s="181" t="s">
        <v>1825</v>
      </c>
      <c r="B89" s="178">
        <f>'Sources and Uses Budget'!$C88</f>
        <v>100000</v>
      </c>
      <c r="C89" s="178">
        <f>'Sources and Uses Budget'!$C88</f>
        <v>100000</v>
      </c>
      <c r="D89" s="182">
        <f t="shared" si="1"/>
        <v>0</v>
      </c>
      <c r="E89" s="180"/>
      <c r="F89" s="179"/>
    </row>
    <row r="90" spans="1:6" s="255" customFormat="1">
      <c r="A90" s="181" t="s">
        <v>1826</v>
      </c>
      <c r="B90" s="178">
        <f>'Sources and Uses Budget'!$C89</f>
        <v>0</v>
      </c>
      <c r="C90" s="178">
        <f>'Sources and Uses Budget'!$C89</f>
        <v>0</v>
      </c>
      <c r="D90" s="182">
        <f t="shared" si="1"/>
        <v>0</v>
      </c>
      <c r="E90" s="180"/>
      <c r="F90" s="179"/>
    </row>
    <row r="91" spans="1:6" s="255" customFormat="1">
      <c r="A91" s="181" t="s">
        <v>1827</v>
      </c>
      <c r="B91" s="178">
        <f>'Sources and Uses Budget'!$C90</f>
        <v>20000</v>
      </c>
      <c r="C91" s="178">
        <f>'Sources and Uses Budget'!$C90</f>
        <v>20000</v>
      </c>
      <c r="D91" s="182">
        <f t="shared" si="1"/>
        <v>0</v>
      </c>
      <c r="E91" s="180"/>
      <c r="F91" s="179"/>
    </row>
    <row r="92" spans="1:6" s="255" customFormat="1">
      <c r="A92" s="181" t="s">
        <v>1828</v>
      </c>
      <c r="B92" s="178">
        <f>'Sources and Uses Budget'!$C91</f>
        <v>10000</v>
      </c>
      <c r="C92" s="178">
        <f>'Sources and Uses Budget'!$C91</f>
        <v>10000</v>
      </c>
      <c r="D92" s="182">
        <f t="shared" si="1"/>
        <v>0</v>
      </c>
      <c r="E92" s="180"/>
      <c r="F92" s="179"/>
    </row>
    <row r="93" spans="1:6" s="255" customFormat="1">
      <c r="A93" s="410" t="s">
        <v>1829</v>
      </c>
      <c r="B93" s="178">
        <f>'Sources and Uses Budget'!$C92</f>
        <v>10000</v>
      </c>
      <c r="C93" s="178">
        <f>'Sources and Uses Budget'!$C92</f>
        <v>10000</v>
      </c>
      <c r="D93" s="182">
        <f t="shared" si="1"/>
        <v>0</v>
      </c>
      <c r="E93" s="180"/>
      <c r="F93" s="179"/>
    </row>
    <row r="94" spans="1:6" s="255" customFormat="1">
      <c r="A94" s="184" t="s">
        <v>1776</v>
      </c>
      <c r="B94" s="178">
        <f>'Sources and Uses Budget'!$C93</f>
        <v>368805</v>
      </c>
      <c r="C94" s="178">
        <f>'Sources and Uses Budget'!$C93</f>
        <v>368805</v>
      </c>
      <c r="D94" s="182">
        <f t="shared" si="1"/>
        <v>0</v>
      </c>
      <c r="E94" s="180"/>
      <c r="F94" s="179"/>
    </row>
    <row r="95" spans="1:6" s="255" customFormat="1">
      <c r="A95" s="184" t="s">
        <v>1776</v>
      </c>
      <c r="B95" s="178">
        <f>'Sources and Uses Budget'!$C94</f>
        <v>145200</v>
      </c>
      <c r="C95" s="178">
        <f>'Sources and Uses Budget'!$C94</f>
        <v>145200</v>
      </c>
      <c r="D95" s="182">
        <f t="shared" si="1"/>
        <v>0</v>
      </c>
      <c r="E95" s="180"/>
      <c r="F95" s="179"/>
    </row>
    <row r="96" spans="1:6" s="255" customFormat="1">
      <c r="A96" s="184" t="s">
        <v>1776</v>
      </c>
      <c r="B96" s="178">
        <f>'Sources and Uses Budget'!$C95</f>
        <v>261583</v>
      </c>
      <c r="C96" s="178">
        <f>'Sources and Uses Budget'!$C95</f>
        <v>261583</v>
      </c>
      <c r="D96" s="182">
        <f t="shared" si="1"/>
        <v>0</v>
      </c>
      <c r="E96" s="180"/>
      <c r="F96" s="179"/>
    </row>
    <row r="97" spans="1:6" s="255" customFormat="1">
      <c r="A97" s="183" t="s">
        <v>1833</v>
      </c>
      <c r="B97" s="182">
        <f>SUM(B84:B96)</f>
        <v>2286493</v>
      </c>
      <c r="C97" s="182">
        <f>SUM(C84:C96)</f>
        <v>2286493</v>
      </c>
      <c r="D97" s="182">
        <f t="shared" si="1"/>
        <v>0</v>
      </c>
      <c r="E97" s="180"/>
      <c r="F97" s="179"/>
    </row>
    <row r="98" spans="1:6" s="255" customFormat="1">
      <c r="A98" s="183" t="s">
        <v>1834</v>
      </c>
      <c r="B98" s="182">
        <f>SUM(B64+B71+B78+B82+B97)</f>
        <v>58833745</v>
      </c>
      <c r="C98" s="182">
        <f>SUM(C64+C71+C78+C82+C97)</f>
        <v>58833745</v>
      </c>
      <c r="D98" s="182">
        <f t="shared" si="1"/>
        <v>0</v>
      </c>
      <c r="E98" s="180"/>
      <c r="F98" s="179"/>
    </row>
    <row r="99" spans="1:6" s="255" customFormat="1">
      <c r="A99" s="176" t="s">
        <v>1835</v>
      </c>
      <c r="B99" s="176"/>
      <c r="C99" s="176"/>
      <c r="D99" s="176"/>
      <c r="E99" s="194"/>
      <c r="F99" s="176"/>
    </row>
    <row r="100" spans="1:6" s="255" customFormat="1">
      <c r="A100" s="195" t="s">
        <v>1836</v>
      </c>
      <c r="B100" s="178">
        <f>'Sources and Uses Budget'!$C99</f>
        <v>7902627</v>
      </c>
      <c r="C100" s="178">
        <f>'Sources and Uses Budget'!$C99</f>
        <v>7902627</v>
      </c>
      <c r="D100" s="182">
        <f t="shared" si="1"/>
        <v>0</v>
      </c>
      <c r="E100" s="180"/>
      <c r="F100" s="179"/>
    </row>
    <row r="101" spans="1:6" s="255" customFormat="1">
      <c r="A101" s="195" t="s">
        <v>1837</v>
      </c>
      <c r="B101" s="178">
        <f>'Sources and Uses Budget'!$C100</f>
        <v>0</v>
      </c>
      <c r="C101" s="178">
        <f>'Sources and Uses Budget'!$C100</f>
        <v>0</v>
      </c>
      <c r="D101" s="182">
        <f t="shared" si="1"/>
        <v>0</v>
      </c>
      <c r="E101" s="180"/>
      <c r="F101" s="179"/>
    </row>
    <row r="102" spans="1:6" s="255" customFormat="1">
      <c r="A102" s="195" t="s">
        <v>1838</v>
      </c>
      <c r="B102" s="178">
        <f>'Sources and Uses Budget'!$C101</f>
        <v>0</v>
      </c>
      <c r="C102" s="178">
        <f>'Sources and Uses Budget'!$C101</f>
        <v>0</v>
      </c>
      <c r="D102" s="182">
        <f t="shared" si="1"/>
        <v>0</v>
      </c>
      <c r="E102" s="180"/>
      <c r="F102" s="179"/>
    </row>
    <row r="103" spans="1:6" s="255" customFormat="1" ht="12" customHeight="1">
      <c r="A103" s="195" t="s">
        <v>1839</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1840</v>
      </c>
      <c r="B105" s="182">
        <f>SUM(B100:B104)</f>
        <v>7902627</v>
      </c>
      <c r="C105" s="182">
        <f>SUM(C100:C104)</f>
        <v>7902627</v>
      </c>
      <c r="D105" s="182">
        <f t="shared" si="1"/>
        <v>0</v>
      </c>
      <c r="E105" s="180"/>
      <c r="F105" s="179"/>
    </row>
    <row r="106" spans="1:6" s="255" customFormat="1">
      <c r="A106" s="183" t="s">
        <v>1841</v>
      </c>
      <c r="B106" s="185">
        <f>SUM(B98+B105)</f>
        <v>66736372</v>
      </c>
      <c r="C106" s="185">
        <f>SUM(C98+C105)</f>
        <v>66736372</v>
      </c>
      <c r="D106" s="182">
        <f t="shared" si="1"/>
        <v>0</v>
      </c>
      <c r="E106" s="180"/>
      <c r="F106" s="179"/>
    </row>
    <row r="107" spans="1:6" s="255" customFormat="1">
      <c r="A107" s="189" t="s">
        <v>2761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241" t="s">
        <v>293</v>
      </c>
      <c r="B1" s="2581"/>
      <c r="C1" s="2581"/>
      <c r="D1" s="2581"/>
      <c r="E1" s="2581"/>
      <c r="F1" s="2581"/>
      <c r="G1" s="2581"/>
      <c r="H1" s="2581"/>
      <c r="I1" s="2581"/>
      <c r="J1" s="2581"/>
    </row>
    <row r="2" spans="1:10" ht="15">
      <c r="A2" s="1244" t="s">
        <v>294</v>
      </c>
      <c r="B2" s="2582"/>
      <c r="C2" s="2582"/>
      <c r="D2" s="2582"/>
      <c r="E2" s="2582"/>
      <c r="F2" s="2582"/>
      <c r="G2" s="2582"/>
      <c r="H2" s="2582"/>
      <c r="I2" s="2582"/>
      <c r="J2" s="2582"/>
    </row>
    <row r="3" spans="1:10" ht="12.75"/>
    <row r="4" spans="1:10" ht="12.75" customHeight="1">
      <c r="A4" s="1242" t="s">
        <v>295</v>
      </c>
      <c r="B4" s="1242"/>
      <c r="C4" s="1242"/>
      <c r="D4" s="1242"/>
      <c r="E4" s="1242"/>
      <c r="F4" s="1242"/>
      <c r="G4" s="1242"/>
      <c r="H4" s="1242"/>
      <c r="I4" s="1242"/>
      <c r="J4" s="1242"/>
    </row>
    <row r="5" spans="1:10" ht="12.75">
      <c r="A5" s="1242"/>
      <c r="B5" s="1242"/>
      <c r="C5" s="1242"/>
      <c r="D5" s="1242"/>
      <c r="E5" s="1242"/>
      <c r="F5" s="1242"/>
      <c r="G5" s="1242"/>
      <c r="H5" s="1242"/>
      <c r="I5" s="1242"/>
      <c r="J5" s="1242"/>
    </row>
    <row r="6" spans="1:10" ht="30" customHeight="1">
      <c r="A6" s="1242"/>
      <c r="B6" s="1242"/>
      <c r="C6" s="1242"/>
      <c r="D6" s="1242"/>
      <c r="E6" s="1242"/>
      <c r="F6" s="1242"/>
      <c r="G6" s="1242"/>
      <c r="H6" s="1242"/>
      <c r="I6" s="1242"/>
      <c r="J6" s="1242"/>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5" t="s">
        <v>297</v>
      </c>
      <c r="B10" s="1245"/>
      <c r="C10" s="1245"/>
      <c r="D10" s="1245"/>
      <c r="E10" s="1245"/>
      <c r="F10" s="1245"/>
      <c r="G10" s="1245"/>
      <c r="H10" s="1245"/>
      <c r="I10" s="1245"/>
      <c r="J10" s="1245"/>
    </row>
    <row r="11" spans="1:10" ht="12.75">
      <c r="A11" s="1245"/>
      <c r="B11" s="1245"/>
      <c r="C11" s="1245"/>
      <c r="D11" s="1245"/>
      <c r="E11" s="1245"/>
      <c r="F11" s="1245"/>
      <c r="G11" s="1245"/>
      <c r="H11" s="1245"/>
      <c r="I11" s="1245"/>
      <c r="J11" s="1245"/>
    </row>
    <row r="12" spans="1:10" ht="12.75">
      <c r="A12" s="1245"/>
      <c r="B12" s="1245"/>
      <c r="C12" s="1245"/>
      <c r="D12" s="1245"/>
      <c r="E12" s="1245"/>
      <c r="F12" s="1245"/>
      <c r="G12" s="1245"/>
      <c r="H12" s="1245"/>
      <c r="I12" s="1245"/>
      <c r="J12" s="1245"/>
    </row>
    <row r="13" spans="1:10" ht="12.75">
      <c r="A13" s="1245"/>
      <c r="B13" s="1245"/>
      <c r="C13" s="1245"/>
      <c r="D13" s="1245"/>
      <c r="E13" s="1245"/>
      <c r="F13" s="1245"/>
      <c r="G13" s="1245"/>
      <c r="H13" s="1245"/>
      <c r="I13" s="1245"/>
      <c r="J13" s="1245"/>
    </row>
    <row r="14" spans="1:10" ht="12.75">
      <c r="A14" s="1245"/>
      <c r="B14" s="1245"/>
      <c r="C14" s="1245"/>
      <c r="D14" s="1245"/>
      <c r="E14" s="1245"/>
      <c r="F14" s="1245"/>
      <c r="G14" s="1245"/>
      <c r="H14" s="1245"/>
      <c r="I14" s="1245"/>
      <c r="J14" s="1245"/>
    </row>
    <row r="15" spans="1:10" ht="12.75">
      <c r="A15" s="1245"/>
      <c r="B15" s="1245"/>
      <c r="C15" s="1245"/>
      <c r="D15" s="1245"/>
      <c r="E15" s="1245"/>
      <c r="F15" s="1245"/>
      <c r="G15" s="1245"/>
      <c r="H15" s="1245"/>
      <c r="I15" s="1245"/>
      <c r="J15" s="1245"/>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82" t="s">
        <v>299</v>
      </c>
      <c r="B19" s="2582"/>
      <c r="C19" s="2582"/>
      <c r="D19" s="2582"/>
      <c r="E19" s="258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2" t="s">
        <v>300</v>
      </c>
      <c r="B76" s="1242"/>
      <c r="C76" s="1242"/>
      <c r="D76" s="1242"/>
      <c r="E76" s="1242"/>
      <c r="F76" s="1242"/>
      <c r="G76" s="1242"/>
      <c r="H76" s="1242"/>
      <c r="I76" s="1242"/>
      <c r="J76" s="1242"/>
    </row>
    <row r="77" spans="1:10" ht="12.75">
      <c r="A77" s="1242"/>
      <c r="B77" s="1242"/>
      <c r="C77" s="1242"/>
      <c r="D77" s="1242"/>
      <c r="E77" s="1242"/>
      <c r="F77" s="1242"/>
      <c r="G77" s="1242"/>
      <c r="H77" s="1242"/>
      <c r="I77" s="1242"/>
      <c r="J77" s="1242"/>
    </row>
    <row r="78" spans="1:10" ht="12.75">
      <c r="A78" s="1242"/>
      <c r="B78" s="1242"/>
      <c r="C78" s="1242"/>
      <c r="D78" s="1242"/>
      <c r="E78" s="1242"/>
      <c r="F78" s="1242"/>
      <c r="G78" s="1242"/>
      <c r="H78" s="1242"/>
      <c r="I78" s="1242"/>
      <c r="J78" s="1242"/>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3" t="s">
        <v>301</v>
      </c>
      <c r="B89" s="1243"/>
      <c r="C89" s="1243"/>
      <c r="D89" s="1243"/>
      <c r="E89" s="1243"/>
      <c r="F89" s="1243"/>
      <c r="G89" s="1243"/>
      <c r="H89" s="1243"/>
      <c r="I89" s="1243"/>
    </row>
    <row r="90" spans="1:9" ht="12.75">
      <c r="A90" s="1237" t="s">
        <v>302</v>
      </c>
      <c r="B90" s="1237"/>
      <c r="C90" s="1237"/>
      <c r="D90" s="1237"/>
      <c r="E90" s="1237"/>
    </row>
    <row r="91" spans="1:9" ht="12.75">
      <c r="A91" s="1237" t="s">
        <v>303</v>
      </c>
      <c r="B91" s="1237"/>
      <c r="C91" s="1237"/>
      <c r="D91" s="1237"/>
      <c r="E91" s="1237"/>
    </row>
    <row r="92" spans="1:9" ht="12.75">
      <c r="A92" s="1237" t="s">
        <v>304</v>
      </c>
      <c r="B92" s="1237"/>
      <c r="C92" s="1237"/>
      <c r="D92" s="1237"/>
      <c r="E92" s="123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496" workbookViewId="0">
      <selection activeCell="B1129" sqref="B1129"/>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297" t="s">
        <v>305</v>
      </c>
      <c r="B2" s="1297"/>
      <c r="C2" s="1297"/>
      <c r="D2" s="1297"/>
      <c r="E2" s="1297"/>
      <c r="F2" s="1297"/>
      <c r="G2" s="1297"/>
      <c r="H2" s="1297"/>
      <c r="I2" s="1297"/>
    </row>
    <row r="3" spans="1:13">
      <c r="A3" s="1287" t="s">
        <v>306</v>
      </c>
      <c r="B3" s="1287"/>
      <c r="C3" s="1287"/>
      <c r="D3" s="1287"/>
      <c r="E3" s="1287"/>
      <c r="F3" s="1287"/>
      <c r="G3" s="1287"/>
      <c r="H3" s="1287"/>
      <c r="I3" s="1287"/>
    </row>
    <row r="4" spans="1:13">
      <c r="A4" s="1287"/>
      <c r="B4" s="1287"/>
      <c r="C4" s="2582"/>
      <c r="D4" s="2582"/>
      <c r="E4" s="2582"/>
      <c r="F4" s="2582"/>
      <c r="G4" s="2582"/>
    </row>
    <row r="5" spans="1:13">
      <c r="A5" s="1287"/>
      <c r="B5" s="1287"/>
      <c r="C5" s="2582"/>
      <c r="D5" s="2582"/>
      <c r="E5" s="2582"/>
      <c r="F5" s="2582"/>
      <c r="G5" s="2582"/>
    </row>
    <row r="6" spans="1:13" ht="12.75" customHeight="1">
      <c r="A6" s="1290" t="s">
        <v>307</v>
      </c>
      <c r="B6" s="1290"/>
      <c r="C6" s="1290"/>
      <c r="D6" s="1290"/>
      <c r="E6" s="1290"/>
      <c r="F6" s="1290"/>
      <c r="G6" s="1290"/>
      <c r="I6" s="391"/>
    </row>
    <row r="7" spans="1:13">
      <c r="A7" s="1290"/>
      <c r="B7" s="1290"/>
      <c r="C7" s="1290"/>
      <c r="D7" s="1290"/>
      <c r="E7" s="1290"/>
      <c r="F7" s="1290"/>
      <c r="G7" s="1290"/>
      <c r="I7" s="391"/>
    </row>
    <row r="8" spans="1:13">
      <c r="A8" s="382"/>
      <c r="B8" s="382"/>
      <c r="C8" s="383"/>
      <c r="D8" s="383"/>
      <c r="E8" s="383"/>
      <c r="F8" s="383"/>
    </row>
    <row r="9" spans="1:13">
      <c r="A9" s="1266" t="s">
        <v>308</v>
      </c>
      <c r="B9" s="1266"/>
      <c r="C9" s="1266"/>
      <c r="D9" s="1266"/>
      <c r="E9" s="1266"/>
      <c r="F9" s="1266"/>
      <c r="G9" s="1266"/>
      <c r="H9" s="914"/>
      <c r="I9" s="915"/>
    </row>
    <row r="10" spans="1:13">
      <c r="A10" s="383"/>
      <c r="B10" s="383"/>
      <c r="E10" s="307"/>
    </row>
    <row r="11" spans="1:13" ht="13.7" customHeight="1">
      <c r="C11" s="383"/>
      <c r="D11" s="1289" t="s">
        <v>309</v>
      </c>
      <c r="E11" s="1289"/>
      <c r="F11" s="1289"/>
    </row>
    <row r="12" spans="1:13">
      <c r="C12" s="383"/>
      <c r="D12" s="1289"/>
      <c r="E12" s="1289"/>
      <c r="F12" s="1289"/>
    </row>
    <row r="13" spans="1:13">
      <c r="A13" s="384"/>
      <c r="B13" s="384"/>
      <c r="C13" s="384"/>
      <c r="D13" s="1267" t="s">
        <v>310</v>
      </c>
      <c r="E13" s="1267"/>
      <c r="F13" s="1267"/>
      <c r="M13" s="71"/>
    </row>
    <row r="14" spans="1:13">
      <c r="A14" s="384"/>
      <c r="B14" s="384"/>
      <c r="C14" s="384"/>
      <c r="D14" s="377"/>
      <c r="L14" s="219"/>
    </row>
    <row r="15" spans="1:13" ht="14.25">
      <c r="A15" s="385"/>
      <c r="B15" s="386" t="s">
        <v>311</v>
      </c>
      <c r="C15" s="384"/>
      <c r="D15" s="1265" t="s">
        <v>312</v>
      </c>
      <c r="E15" s="1265"/>
      <c r="F15" s="1265"/>
      <c r="I15" s="391"/>
    </row>
    <row r="16" spans="1:13">
      <c r="A16" s="384"/>
      <c r="B16" s="384"/>
      <c r="C16" s="384"/>
      <c r="D16" s="1265"/>
      <c r="E16" s="1265"/>
      <c r="F16" s="1265"/>
      <c r="I16" s="391"/>
    </row>
    <row r="17" spans="1:9">
      <c r="A17" s="384"/>
      <c r="B17" s="384"/>
      <c r="C17" s="384"/>
      <c r="D17" s="1265"/>
      <c r="E17" s="1265"/>
      <c r="F17" s="1265"/>
      <c r="I17" s="391"/>
    </row>
    <row r="18" spans="1:9">
      <c r="A18" s="384"/>
      <c r="B18" s="384"/>
      <c r="C18" s="384"/>
      <c r="D18" s="347"/>
      <c r="E18" s="219" t="s">
        <v>313</v>
      </c>
      <c r="F18" s="347"/>
      <c r="I18" s="391"/>
    </row>
    <row r="19" spans="1:9">
      <c r="A19" s="384"/>
      <c r="B19" s="384"/>
      <c r="C19" s="384"/>
      <c r="I19" s="391"/>
    </row>
    <row r="20" spans="1:9" ht="14.25">
      <c r="A20" s="385"/>
      <c r="B20" s="386" t="s">
        <v>311</v>
      </c>
      <c r="D20" s="1265" t="s">
        <v>314</v>
      </c>
      <c r="E20" s="1265"/>
      <c r="F20" s="1265"/>
      <c r="I20" s="391"/>
    </row>
    <row r="21" spans="1:9" ht="14.25">
      <c r="A21" s="385"/>
      <c r="D21" s="1265"/>
      <c r="E21" s="1265"/>
      <c r="F21" s="1265"/>
      <c r="I21" s="391"/>
    </row>
    <row r="22" spans="1:9" ht="14.25">
      <c r="A22" s="385"/>
      <c r="D22" s="295"/>
      <c r="E22" s="71" t="s">
        <v>315</v>
      </c>
      <c r="F22" s="295"/>
      <c r="I22" s="391"/>
    </row>
    <row r="23" spans="1:9" ht="14.25">
      <c r="A23" s="385"/>
      <c r="B23" s="385"/>
      <c r="D23" s="348"/>
      <c r="I23" s="391"/>
    </row>
    <row r="24" spans="1:9" ht="14.25">
      <c r="A24" s="385"/>
      <c r="B24" s="386" t="s">
        <v>316</v>
      </c>
      <c r="D24" s="1265" t="s">
        <v>317</v>
      </c>
      <c r="E24" s="1265"/>
      <c r="F24" s="1265"/>
      <c r="I24" s="391"/>
    </row>
    <row r="25" spans="1:9" ht="14.25">
      <c r="A25" s="385"/>
      <c r="B25" s="385"/>
      <c r="D25" s="1265"/>
      <c r="E25" s="1265"/>
      <c r="F25" s="1265"/>
      <c r="I25" s="391"/>
    </row>
    <row r="26" spans="1:9">
      <c r="I26" s="391"/>
    </row>
    <row r="27" spans="1:9" ht="14.25">
      <c r="A27" s="385"/>
      <c r="B27" s="386" t="s">
        <v>311</v>
      </c>
      <c r="D27" s="1265" t="s">
        <v>318</v>
      </c>
      <c r="E27" s="1265"/>
      <c r="F27" s="1265"/>
      <c r="I27" s="391"/>
    </row>
    <row r="28" spans="1:9">
      <c r="D28" s="1265"/>
      <c r="E28" s="1265"/>
      <c r="F28" s="1265"/>
      <c r="I28" s="391"/>
    </row>
    <row r="29" spans="1:9">
      <c r="D29" s="1265"/>
      <c r="E29" s="1265"/>
      <c r="F29" s="1265"/>
      <c r="I29" s="391"/>
    </row>
    <row r="30" spans="1:9">
      <c r="D30" s="1265"/>
      <c r="E30" s="1265"/>
      <c r="F30" s="1265"/>
      <c r="I30" s="391"/>
    </row>
    <row r="31" spans="1:9">
      <c r="D31" s="1265"/>
      <c r="E31" s="1265"/>
      <c r="F31" s="1265"/>
      <c r="I31" s="391"/>
    </row>
    <row r="32" spans="1:9">
      <c r="D32" s="349"/>
      <c r="I32" s="391"/>
    </row>
    <row r="33" spans="1:9">
      <c r="B33" s="386" t="s">
        <v>311</v>
      </c>
      <c r="D33" s="1265" t="s">
        <v>319</v>
      </c>
      <c r="E33" s="1265"/>
      <c r="F33" s="1265"/>
      <c r="I33" s="391"/>
    </row>
    <row r="34" spans="1:9">
      <c r="D34" s="1265"/>
      <c r="E34" s="1265"/>
      <c r="F34" s="1265"/>
      <c r="I34" s="391"/>
    </row>
    <row r="35" spans="1:9" ht="14.25">
      <c r="A35" s="385"/>
      <c r="B35" s="385"/>
      <c r="D35" s="349"/>
      <c r="I35" s="391"/>
    </row>
    <row r="36" spans="1:9" ht="14.45" customHeight="1">
      <c r="A36" s="385"/>
      <c r="B36" s="386" t="s">
        <v>316</v>
      </c>
      <c r="D36" s="1265" t="s">
        <v>320</v>
      </c>
      <c r="E36" s="1265"/>
      <c r="F36" s="1265"/>
      <c r="I36" s="391"/>
    </row>
    <row r="37" spans="1:9" ht="14.25">
      <c r="A37" s="385"/>
      <c r="B37" s="385"/>
      <c r="D37" s="1265"/>
      <c r="E37" s="1265"/>
      <c r="F37" s="1265"/>
      <c r="I37" s="391"/>
    </row>
    <row r="38" spans="1:9" ht="14.25">
      <c r="A38" s="385"/>
      <c r="B38" s="385"/>
      <c r="D38" s="1265"/>
      <c r="E38" s="1265"/>
      <c r="F38" s="1265"/>
      <c r="I38" s="391"/>
    </row>
    <row r="39" spans="1:9" ht="14.25">
      <c r="A39" s="385"/>
      <c r="B39" s="385"/>
      <c r="D39" s="1265"/>
      <c r="E39" s="1265"/>
      <c r="F39" s="1265"/>
      <c r="I39" s="391"/>
    </row>
    <row r="40" spans="1:9" ht="14.25">
      <c r="A40" s="385"/>
      <c r="B40" s="385"/>
      <c r="I40" s="391"/>
    </row>
    <row r="41" spans="1:9" ht="14.25">
      <c r="A41" s="385"/>
      <c r="B41" s="386" t="s">
        <v>311</v>
      </c>
      <c r="D41" s="1265" t="s">
        <v>321</v>
      </c>
      <c r="E41" s="1265"/>
      <c r="F41" s="1265"/>
      <c r="I41" s="391"/>
    </row>
    <row r="42" spans="1:9" ht="14.25">
      <c r="A42" s="385"/>
      <c r="B42" s="385"/>
      <c r="D42" s="1265"/>
      <c r="E42" s="1265"/>
      <c r="F42" s="1265"/>
      <c r="I42" s="391"/>
    </row>
    <row r="43" spans="1:9" ht="14.25">
      <c r="A43" s="385"/>
      <c r="B43" s="385"/>
      <c r="D43" s="1265"/>
      <c r="E43" s="1265"/>
      <c r="F43" s="1265"/>
      <c r="I43" s="391"/>
    </row>
    <row r="44" spans="1:9" ht="14.25">
      <c r="A44" s="385"/>
      <c r="B44" s="385"/>
      <c r="D44" s="1265"/>
      <c r="E44" s="1265"/>
      <c r="F44" s="1265"/>
      <c r="I44" s="391"/>
    </row>
    <row r="45" spans="1:9" ht="14.25">
      <c r="A45" s="385"/>
      <c r="B45" s="385"/>
      <c r="D45" s="1265"/>
      <c r="E45" s="1265"/>
      <c r="F45" s="1265"/>
      <c r="I45" s="391"/>
    </row>
    <row r="46" spans="1:9" ht="14.25">
      <c r="A46" s="385"/>
      <c r="B46" s="385"/>
      <c r="D46" s="347"/>
      <c r="E46" s="347"/>
      <c r="F46" s="347"/>
      <c r="I46" s="391"/>
    </row>
    <row r="47" spans="1:9" ht="14.25">
      <c r="A47" s="385"/>
      <c r="B47" s="386" t="s">
        <v>316</v>
      </c>
      <c r="D47" s="1265" t="s">
        <v>322</v>
      </c>
      <c r="E47" s="1265"/>
      <c r="F47" s="1265"/>
      <c r="I47" s="391"/>
    </row>
    <row r="48" spans="1:9" ht="14.25">
      <c r="A48" s="385"/>
      <c r="B48" s="385"/>
      <c r="D48" s="1265"/>
      <c r="E48" s="1265"/>
      <c r="F48" s="1265"/>
      <c r="I48" s="391"/>
    </row>
    <row r="49" spans="1:9" ht="14.25">
      <c r="A49" s="385"/>
      <c r="B49" s="385"/>
      <c r="D49" s="1265"/>
      <c r="E49" s="1265"/>
      <c r="F49" s="1265"/>
      <c r="I49" s="391"/>
    </row>
    <row r="50" spans="1:9" ht="23.25" customHeight="1">
      <c r="A50" s="385"/>
      <c r="B50" s="385"/>
      <c r="D50" s="1265"/>
      <c r="E50" s="1265"/>
      <c r="F50" s="1265"/>
      <c r="I50" s="391"/>
    </row>
    <row r="51" spans="1:9" ht="14.25">
      <c r="A51" s="385"/>
      <c r="B51" s="385"/>
      <c r="D51" s="348"/>
      <c r="I51" s="391"/>
    </row>
    <row r="52" spans="1:9" ht="14.45" customHeight="1">
      <c r="A52" s="385"/>
      <c r="B52" s="386" t="s">
        <v>316</v>
      </c>
      <c r="D52" s="1265" t="s">
        <v>323</v>
      </c>
      <c r="E52" s="1265"/>
      <c r="F52" s="1265"/>
      <c r="I52" s="391"/>
    </row>
    <row r="53" spans="1:9" ht="14.25">
      <c r="A53" s="385"/>
      <c r="B53" s="385"/>
      <c r="D53" s="1265"/>
      <c r="E53" s="1265"/>
      <c r="F53" s="1265"/>
      <c r="I53" s="391"/>
    </row>
    <row r="54" spans="1:9" ht="14.25">
      <c r="A54" s="385"/>
      <c r="B54" s="385"/>
      <c r="D54" s="1265"/>
      <c r="E54" s="1265"/>
      <c r="F54" s="1265"/>
      <c r="I54" s="391"/>
    </row>
    <row r="55" spans="1:9" ht="14.25">
      <c r="A55" s="385"/>
      <c r="B55" s="385"/>
      <c r="I55" s="391"/>
    </row>
    <row r="56" spans="1:9" ht="14.25">
      <c r="A56" s="385"/>
      <c r="B56" s="386" t="s">
        <v>311</v>
      </c>
      <c r="D56" s="1292" t="s">
        <v>324</v>
      </c>
      <c r="E56" s="1292"/>
      <c r="F56" s="1292"/>
      <c r="I56" s="391"/>
    </row>
    <row r="57" spans="1:9" ht="14.25">
      <c r="A57" s="385"/>
      <c r="B57" s="385"/>
      <c r="D57" s="1292"/>
      <c r="E57" s="1292"/>
      <c r="F57" s="1292"/>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265" t="s">
        <v>326</v>
      </c>
      <c r="E61" s="1265"/>
      <c r="F61" s="1265"/>
      <c r="I61" s="391"/>
    </row>
    <row r="62" spans="1:9">
      <c r="D62" s="1265"/>
      <c r="E62" s="1265"/>
      <c r="F62" s="1265"/>
      <c r="I62" s="391"/>
    </row>
    <row r="63" spans="1:9">
      <c r="D63" s="1265"/>
      <c r="E63" s="1265"/>
      <c r="F63" s="1265"/>
      <c r="I63" s="391"/>
    </row>
    <row r="64" spans="1:9">
      <c r="I64" s="391"/>
    </row>
    <row r="65" spans="1:9" ht="14.25">
      <c r="A65" s="385"/>
      <c r="B65" s="386" t="s">
        <v>316</v>
      </c>
      <c r="D65" s="1265" t="s">
        <v>327</v>
      </c>
      <c r="E65" s="1265"/>
      <c r="F65" s="1265"/>
      <c r="I65" s="391"/>
    </row>
    <row r="66" spans="1:9">
      <c r="D66" s="1265"/>
      <c r="E66" s="1265"/>
      <c r="F66" s="1265"/>
      <c r="I66" s="391"/>
    </row>
    <row r="67" spans="1:9">
      <c r="I67" s="391"/>
    </row>
    <row r="68" spans="1:9" ht="14.25">
      <c r="A68" s="385"/>
      <c r="B68" s="386" t="s">
        <v>316</v>
      </c>
      <c r="D68" s="1265" t="s">
        <v>328</v>
      </c>
      <c r="E68" s="1265"/>
      <c r="F68" s="1265"/>
      <c r="I68" s="391"/>
    </row>
    <row r="69" spans="1:9">
      <c r="D69" s="1265"/>
      <c r="E69" s="1265"/>
      <c r="F69" s="1265"/>
      <c r="I69" s="391"/>
    </row>
    <row r="70" spans="1:9">
      <c r="D70" s="1265"/>
      <c r="E70" s="1265"/>
      <c r="F70" s="1265"/>
      <c r="I70" s="391"/>
    </row>
    <row r="71" spans="1:9">
      <c r="I71" s="391"/>
    </row>
    <row r="72" spans="1:9" ht="14.25">
      <c r="A72" s="385"/>
      <c r="B72" s="386" t="s">
        <v>311</v>
      </c>
      <c r="D72" s="1265" t="s">
        <v>329</v>
      </c>
      <c r="E72" s="1265"/>
      <c r="F72" s="1265"/>
      <c r="I72" s="391"/>
    </row>
    <row r="73" spans="1:9">
      <c r="D73" s="1265"/>
      <c r="E73" s="1265"/>
      <c r="F73" s="1265"/>
      <c r="I73" s="391"/>
    </row>
    <row r="74" spans="1:9" ht="14.25">
      <c r="A74" s="385"/>
      <c r="B74" s="385"/>
      <c r="D74" s="348"/>
      <c r="I74" s="391"/>
    </row>
    <row r="75" spans="1:9">
      <c r="A75" s="1266" t="s">
        <v>330</v>
      </c>
      <c r="B75" s="1266"/>
      <c r="C75" s="1266"/>
      <c r="D75" s="1266"/>
      <c r="E75" s="1266"/>
      <c r="F75" s="1266"/>
      <c r="G75" s="1266"/>
      <c r="H75" s="914"/>
      <c r="I75" s="1036"/>
    </row>
    <row r="76" spans="1:9">
      <c r="I76" s="391"/>
    </row>
    <row r="77" spans="1:9">
      <c r="C77" s="387"/>
      <c r="D77" s="1285" t="s">
        <v>331</v>
      </c>
      <c r="E77" s="1285"/>
      <c r="F77" s="1285"/>
      <c r="I77" s="391"/>
    </row>
    <row r="78" spans="1:9">
      <c r="A78" s="348"/>
      <c r="B78" s="348"/>
      <c r="D78" s="1265" t="s">
        <v>332</v>
      </c>
      <c r="E78" s="1265"/>
      <c r="F78" s="1265"/>
      <c r="I78" s="391"/>
    </row>
    <row r="79" spans="1:9">
      <c r="A79" s="348"/>
      <c r="B79" s="348"/>
      <c r="I79" s="391"/>
    </row>
    <row r="80" spans="1:9" ht="13.7" customHeight="1">
      <c r="A80" s="385"/>
      <c r="B80" s="386" t="s">
        <v>311</v>
      </c>
      <c r="D80" s="1265" t="s">
        <v>333</v>
      </c>
      <c r="E80" s="1265"/>
      <c r="F80" s="1265"/>
      <c r="I80" s="391"/>
    </row>
    <row r="81" spans="1:9" ht="14.25">
      <c r="A81" s="385"/>
      <c r="B81" s="385"/>
      <c r="D81" s="1265"/>
      <c r="E81" s="1265"/>
      <c r="F81" s="1265"/>
      <c r="I81" s="391"/>
    </row>
    <row r="82" spans="1:9" ht="14.25">
      <c r="A82" s="385"/>
      <c r="B82" s="385"/>
      <c r="D82" s="1265"/>
      <c r="E82" s="1265"/>
      <c r="F82" s="1265"/>
      <c r="I82" s="391"/>
    </row>
    <row r="83" spans="1:9" ht="14.25">
      <c r="A83" s="385"/>
      <c r="B83" s="385"/>
      <c r="D83" s="1265"/>
      <c r="E83" s="1265"/>
      <c r="F83" s="1265"/>
      <c r="I83" s="391"/>
    </row>
    <row r="84" spans="1:9" ht="14.25">
      <c r="A84" s="385"/>
      <c r="B84" s="385"/>
      <c r="D84" s="1265"/>
      <c r="E84" s="1265"/>
      <c r="F84" s="1265"/>
      <c r="I84" s="391"/>
    </row>
    <row r="85" spans="1:9" ht="14.25">
      <c r="A85" s="385"/>
      <c r="B85" s="385"/>
      <c r="D85" s="1265"/>
      <c r="E85" s="1265"/>
      <c r="F85" s="1265"/>
      <c r="I85" s="391"/>
    </row>
    <row r="86" spans="1:9" ht="14.25">
      <c r="A86" s="385"/>
      <c r="B86" s="385"/>
      <c r="D86" s="1265"/>
      <c r="E86" s="1265"/>
      <c r="F86" s="1265"/>
      <c r="I86" s="391"/>
    </row>
    <row r="87" spans="1:9" ht="14.25">
      <c r="A87" s="385"/>
      <c r="B87" s="385"/>
      <c r="D87" s="1265"/>
      <c r="E87" s="1265"/>
      <c r="F87" s="1265"/>
      <c r="I87" s="391"/>
    </row>
    <row r="88" spans="1:9" ht="14.25">
      <c r="A88" s="385"/>
      <c r="B88" s="385"/>
      <c r="D88" s="288"/>
      <c r="E88" s="288"/>
      <c r="F88" s="288"/>
      <c r="I88" s="391"/>
    </row>
    <row r="89" spans="1:9" ht="15" customHeight="1">
      <c r="A89" s="385"/>
      <c r="B89" s="386" t="s">
        <v>311</v>
      </c>
      <c r="D89" s="1265" t="s">
        <v>334</v>
      </c>
      <c r="E89" s="1265"/>
      <c r="F89" s="1265"/>
      <c r="I89" s="391"/>
    </row>
    <row r="90" spans="1:9" ht="14.25">
      <c r="A90" s="385"/>
      <c r="B90" s="385"/>
      <c r="D90" s="1265"/>
      <c r="E90" s="1265"/>
      <c r="F90" s="1265"/>
      <c r="I90" s="391"/>
    </row>
    <row r="91" spans="1:9" ht="14.25">
      <c r="A91" s="385"/>
      <c r="B91" s="385"/>
      <c r="D91" s="347"/>
      <c r="E91" s="347"/>
      <c r="F91" s="347"/>
      <c r="I91" s="391"/>
    </row>
    <row r="92" spans="1:9" ht="14.25">
      <c r="A92" s="385"/>
      <c r="B92" s="386" t="s">
        <v>311</v>
      </c>
      <c r="D92" s="1265" t="s">
        <v>335</v>
      </c>
      <c r="E92" s="1265"/>
      <c r="F92" s="1265"/>
      <c r="I92" s="391"/>
    </row>
    <row r="93" spans="1:9" ht="14.25">
      <c r="A93" s="385"/>
      <c r="B93" s="385"/>
      <c r="D93" s="1265"/>
      <c r="E93" s="1265"/>
      <c r="F93" s="1265"/>
      <c r="I93" s="391"/>
    </row>
    <row r="94" spans="1:9" ht="14.25">
      <c r="A94" s="385"/>
      <c r="B94" s="385"/>
      <c r="D94" s="1265"/>
      <c r="E94" s="1265"/>
      <c r="F94" s="1265"/>
      <c r="I94" s="391"/>
    </row>
    <row r="95" spans="1:9" ht="14.25">
      <c r="A95" s="385"/>
      <c r="B95" s="385"/>
      <c r="D95" s="347"/>
      <c r="E95" s="347"/>
      <c r="F95" s="347"/>
      <c r="I95" s="391"/>
    </row>
    <row r="96" spans="1:9" ht="14.25">
      <c r="A96" s="385"/>
      <c r="B96" s="386" t="s">
        <v>311</v>
      </c>
      <c r="D96" s="1265" t="s">
        <v>336</v>
      </c>
      <c r="E96" s="1265"/>
      <c r="F96" s="1265"/>
      <c r="I96" s="391"/>
    </row>
    <row r="97" spans="1:9" s="876" customFormat="1" ht="14.25">
      <c r="A97" s="874"/>
      <c r="B97" s="874"/>
      <c r="C97" s="875"/>
      <c r="D97" s="1265"/>
      <c r="E97" s="1265"/>
      <c r="F97" s="1265"/>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65" t="s">
        <v>338</v>
      </c>
      <c r="E100" s="1265"/>
      <c r="F100" s="1265"/>
      <c r="I100" s="391"/>
    </row>
    <row r="101" spans="1:9" ht="14.25">
      <c r="A101" s="385"/>
      <c r="B101" s="385"/>
      <c r="D101" s="1265"/>
      <c r="E101" s="1265"/>
      <c r="F101" s="1265"/>
      <c r="I101" s="391"/>
    </row>
    <row r="102" spans="1:9" ht="14.25">
      <c r="A102" s="385"/>
      <c r="B102" s="385"/>
      <c r="D102" s="347"/>
      <c r="E102" s="347"/>
      <c r="F102" s="347"/>
      <c r="I102" s="391"/>
    </row>
    <row r="103" spans="1:9" ht="14.45" customHeight="1">
      <c r="A103" s="385"/>
      <c r="B103" s="386" t="s">
        <v>316</v>
      </c>
      <c r="D103" s="1265" t="s">
        <v>339</v>
      </c>
      <c r="E103" s="1265"/>
      <c r="F103" s="1265"/>
      <c r="I103" s="391"/>
    </row>
    <row r="104" spans="1:9" ht="14.25">
      <c r="A104" s="385"/>
      <c r="B104" s="385"/>
      <c r="D104" s="1265"/>
      <c r="E104" s="1265"/>
      <c r="F104" s="1265"/>
      <c r="I104" s="391"/>
    </row>
    <row r="105" spans="1:9" ht="14.25">
      <c r="A105" s="385"/>
      <c r="B105" s="385"/>
      <c r="D105" s="1265"/>
      <c r="E105" s="1265"/>
      <c r="F105" s="1265"/>
      <c r="I105" s="391"/>
    </row>
    <row r="106" spans="1:9" ht="14.25">
      <c r="A106" s="385"/>
      <c r="B106" s="385"/>
      <c r="D106" s="1265"/>
      <c r="E106" s="1265"/>
      <c r="F106" s="1265"/>
      <c r="I106" s="391"/>
    </row>
    <row r="107" spans="1:9" ht="14.25">
      <c r="A107" s="385"/>
      <c r="B107" s="385"/>
      <c r="D107" s="1265"/>
      <c r="E107" s="1265"/>
      <c r="F107" s="1265"/>
      <c r="I107" s="391"/>
    </row>
    <row r="108" spans="1:9" ht="14.25">
      <c r="A108" s="385"/>
      <c r="B108" s="385"/>
      <c r="D108" s="1265"/>
      <c r="E108" s="1265"/>
      <c r="F108" s="1265"/>
      <c r="I108" s="391"/>
    </row>
    <row r="109" spans="1:9" ht="14.25">
      <c r="A109" s="385"/>
      <c r="B109" s="385"/>
      <c r="D109" s="1265"/>
      <c r="E109" s="1265"/>
      <c r="F109" s="1265"/>
      <c r="I109" s="391"/>
    </row>
    <row r="110" spans="1:9" ht="14.25">
      <c r="A110" s="385"/>
      <c r="B110" s="385"/>
      <c r="D110" s="1265"/>
      <c r="E110" s="1265"/>
      <c r="F110" s="1265"/>
      <c r="I110" s="391"/>
    </row>
    <row r="111" spans="1:9" ht="14.25">
      <c r="A111" s="385"/>
      <c r="B111" s="385"/>
      <c r="D111" s="1265"/>
      <c r="E111" s="1265"/>
      <c r="F111" s="1265"/>
      <c r="I111" s="391"/>
    </row>
    <row r="112" spans="1:9" ht="14.25">
      <c r="A112" s="385"/>
      <c r="B112" s="385"/>
      <c r="D112" s="1265"/>
      <c r="E112" s="1265"/>
      <c r="F112" s="1265"/>
      <c r="I112" s="391"/>
    </row>
    <row r="113" spans="1:9" ht="14.25">
      <c r="A113" s="385"/>
      <c r="B113" s="385"/>
      <c r="D113" s="1265"/>
      <c r="E113" s="1265"/>
      <c r="F113" s="1265"/>
      <c r="I113" s="391"/>
    </row>
    <row r="114" spans="1:9" ht="14.25">
      <c r="A114" s="385"/>
      <c r="B114" s="385"/>
      <c r="D114" s="1265"/>
      <c r="E114" s="1265"/>
      <c r="F114" s="1265"/>
      <c r="I114" s="391"/>
    </row>
    <row r="115" spans="1:9" ht="14.25">
      <c r="A115" s="385"/>
      <c r="B115" s="385"/>
      <c r="D115" s="1265"/>
      <c r="E115" s="1265"/>
      <c r="F115" s="1265"/>
      <c r="I115" s="391"/>
    </row>
    <row r="116" spans="1:9" ht="14.25">
      <c r="A116" s="385"/>
      <c r="B116" s="385"/>
      <c r="D116" s="1265"/>
      <c r="E116" s="1265"/>
      <c r="F116" s="1265"/>
      <c r="I116" s="391"/>
    </row>
    <row r="117" spans="1:9" ht="14.25">
      <c r="A117" s="385"/>
      <c r="B117" s="385"/>
      <c r="D117" s="1265"/>
      <c r="E117" s="1265"/>
      <c r="F117" s="1265"/>
      <c r="I117" s="391"/>
    </row>
    <row r="118" spans="1:9" ht="14.25">
      <c r="A118" s="385"/>
      <c r="B118" s="385"/>
      <c r="D118" s="424"/>
      <c r="E118" s="424"/>
      <c r="F118" s="424"/>
      <c r="I118" s="391"/>
    </row>
    <row r="119" spans="1:9" ht="14.25" customHeight="1">
      <c r="A119" s="385"/>
      <c r="B119" s="386" t="s">
        <v>316</v>
      </c>
      <c r="D119" s="1291" t="s">
        <v>340</v>
      </c>
      <c r="E119" s="1291"/>
      <c r="F119" s="1291"/>
      <c r="I119" s="391"/>
    </row>
    <row r="120" spans="1:9" ht="14.25">
      <c r="A120" s="385"/>
      <c r="B120" s="385"/>
      <c r="D120" s="1291"/>
      <c r="E120" s="1291"/>
      <c r="F120" s="1291"/>
      <c r="I120" s="391"/>
    </row>
    <row r="121" spans="1:9" ht="14.25">
      <c r="A121" s="385"/>
      <c r="B121" s="385"/>
      <c r="D121" s="1291"/>
      <c r="E121" s="1291"/>
      <c r="F121" s="1291"/>
      <c r="I121" s="391"/>
    </row>
    <row r="122" spans="1:9" ht="14.25">
      <c r="A122" s="385"/>
      <c r="B122" s="385"/>
      <c r="D122" s="1291"/>
      <c r="E122" s="1291"/>
      <c r="F122" s="1291"/>
      <c r="I122" s="391"/>
    </row>
    <row r="123" spans="1:9" ht="14.25">
      <c r="A123" s="385"/>
      <c r="B123" s="385"/>
      <c r="D123" s="1291"/>
      <c r="E123" s="1291"/>
      <c r="F123" s="1291"/>
      <c r="I123" s="391"/>
    </row>
    <row r="124" spans="1:9" ht="14.25">
      <c r="A124" s="385"/>
      <c r="B124" s="385"/>
      <c r="D124" s="1291"/>
      <c r="E124" s="1291"/>
      <c r="F124" s="1291"/>
      <c r="I124" s="391"/>
    </row>
    <row r="125" spans="1:9" ht="14.25">
      <c r="A125" s="385"/>
      <c r="B125" s="385"/>
      <c r="D125" s="1291"/>
      <c r="E125" s="1291"/>
      <c r="F125" s="1291"/>
      <c r="I125" s="391"/>
    </row>
    <row r="126" spans="1:9" ht="14.25">
      <c r="A126" s="385"/>
      <c r="B126" s="385"/>
      <c r="D126" s="1291"/>
      <c r="E126" s="1291"/>
      <c r="F126" s="1291"/>
      <c r="I126" s="391"/>
    </row>
    <row r="127" spans="1:9">
      <c r="C127" s="305"/>
      <c r="D127" s="425"/>
      <c r="E127" s="425"/>
      <c r="F127" s="425"/>
      <c r="I127" s="391"/>
    </row>
    <row r="128" spans="1:9" ht="14.25">
      <c r="A128" s="385"/>
      <c r="B128" s="386" t="s">
        <v>311</v>
      </c>
      <c r="C128" s="305"/>
      <c r="D128" s="1291" t="s">
        <v>341</v>
      </c>
      <c r="E128" s="1291"/>
      <c r="F128" s="1291"/>
      <c r="I128" s="391"/>
    </row>
    <row r="129" spans="1:9" ht="14.25">
      <c r="A129" s="385"/>
      <c r="B129" s="385"/>
      <c r="C129" s="305"/>
      <c r="D129" s="1291"/>
      <c r="E129" s="1291"/>
      <c r="F129" s="1291"/>
      <c r="I129" s="391"/>
    </row>
    <row r="130" spans="1:9">
      <c r="I130" s="391"/>
    </row>
    <row r="131" spans="1:9" ht="14.25">
      <c r="A131" s="385"/>
      <c r="B131" s="386" t="s">
        <v>311</v>
      </c>
      <c r="D131" s="1265" t="s">
        <v>342</v>
      </c>
      <c r="E131" s="1265"/>
      <c r="F131" s="1265"/>
      <c r="I131" s="391"/>
    </row>
    <row r="132" spans="1:9">
      <c r="D132" s="1265"/>
      <c r="E132" s="1265"/>
      <c r="F132" s="1265"/>
      <c r="I132" s="391"/>
    </row>
    <row r="133" spans="1:9">
      <c r="D133" s="1265"/>
      <c r="E133" s="1265"/>
      <c r="F133" s="1265"/>
      <c r="I133" s="391"/>
    </row>
    <row r="134" spans="1:9">
      <c r="D134" s="1265"/>
      <c r="E134" s="1265"/>
      <c r="F134" s="1265"/>
      <c r="I134" s="391"/>
    </row>
    <row r="135" spans="1:9">
      <c r="D135" s="1265"/>
      <c r="E135" s="1265"/>
      <c r="F135" s="1265"/>
      <c r="I135" s="391"/>
    </row>
    <row r="136" spans="1:9">
      <c r="I136" s="391"/>
    </row>
    <row r="137" spans="1:9" ht="14.25">
      <c r="A137" s="385"/>
      <c r="B137" s="386" t="s">
        <v>311</v>
      </c>
      <c r="D137" s="1265" t="s">
        <v>343</v>
      </c>
      <c r="E137" s="1265"/>
      <c r="F137" s="1265"/>
      <c r="I137" s="391"/>
    </row>
    <row r="138" spans="1:9" s="320" customFormat="1" ht="13.7" customHeight="1">
      <c r="A138" s="389"/>
      <c r="B138" s="389"/>
      <c r="C138" s="389"/>
      <c r="D138" s="1265"/>
      <c r="E138" s="1265"/>
      <c r="F138" s="1265"/>
      <c r="I138" s="1038"/>
    </row>
    <row r="139" spans="1:9" ht="13.7" customHeight="1">
      <c r="D139" s="1265"/>
      <c r="E139" s="1265"/>
      <c r="F139" s="1265"/>
      <c r="I139" s="391"/>
    </row>
    <row r="140" spans="1:9" ht="13.7" customHeight="1">
      <c r="D140" s="1265"/>
      <c r="E140" s="1265"/>
      <c r="F140" s="1265"/>
      <c r="I140" s="391"/>
    </row>
    <row r="141" spans="1:9" ht="13.7" customHeight="1">
      <c r="D141" s="1265"/>
      <c r="E141" s="1265"/>
      <c r="F141" s="1265"/>
      <c r="I141" s="391"/>
    </row>
    <row r="142" spans="1:9" ht="13.7" customHeight="1">
      <c r="A142" s="390"/>
      <c r="B142" s="390"/>
      <c r="D142" s="1265"/>
      <c r="E142" s="1265"/>
      <c r="F142" s="1265"/>
      <c r="I142" s="391"/>
    </row>
    <row r="143" spans="1:9" ht="13.7" customHeight="1">
      <c r="D143" s="1265"/>
      <c r="E143" s="1265"/>
      <c r="F143" s="1265"/>
      <c r="I143" s="391"/>
    </row>
    <row r="144" spans="1:9" ht="13.7" customHeight="1">
      <c r="D144" s="1265"/>
      <c r="E144" s="1265"/>
      <c r="F144" s="1265"/>
      <c r="I144" s="391"/>
    </row>
    <row r="145" spans="2:9" ht="13.7" customHeight="1">
      <c r="D145" s="1265"/>
      <c r="E145" s="1265"/>
      <c r="F145" s="1265"/>
      <c r="I145" s="391"/>
    </row>
    <row r="146" spans="2:9" ht="13.7" customHeight="1">
      <c r="D146" s="1265"/>
      <c r="E146" s="1265"/>
      <c r="F146" s="1265"/>
      <c r="I146" s="391"/>
    </row>
    <row r="147" spans="2:9" ht="13.7" customHeight="1">
      <c r="D147" s="1265"/>
      <c r="E147" s="1265"/>
      <c r="F147" s="1265"/>
      <c r="I147" s="391"/>
    </row>
    <row r="148" spans="2:9" ht="13.7" customHeight="1">
      <c r="D148" s="1265"/>
      <c r="E148" s="1265"/>
      <c r="F148" s="1265"/>
      <c r="I148" s="391"/>
    </row>
    <row r="149" spans="2:9" ht="13.7" customHeight="1">
      <c r="D149" s="1265"/>
      <c r="E149" s="1265"/>
      <c r="F149" s="1265"/>
      <c r="I149" s="391"/>
    </row>
    <row r="150" spans="2:9" ht="13.7" customHeight="1">
      <c r="D150" s="377"/>
      <c r="E150" s="348"/>
      <c r="F150" s="348"/>
      <c r="I150" s="391"/>
    </row>
    <row r="151" spans="2:9" ht="13.7" customHeight="1">
      <c r="B151" s="386" t="s">
        <v>316</v>
      </c>
      <c r="D151" s="1265" t="s">
        <v>344</v>
      </c>
      <c r="E151" s="1265"/>
      <c r="F151" s="1265"/>
      <c r="I151" s="391"/>
    </row>
    <row r="152" spans="2:9" ht="13.7" customHeight="1">
      <c r="D152" s="1265"/>
      <c r="E152" s="1265"/>
      <c r="F152" s="1265"/>
      <c r="I152" s="391"/>
    </row>
    <row r="153" spans="2:9" ht="13.7" customHeight="1">
      <c r="D153" s="1265"/>
      <c r="E153" s="1265"/>
      <c r="F153" s="1265"/>
      <c r="I153" s="391"/>
    </row>
    <row r="154" spans="2:9" ht="13.7" customHeight="1">
      <c r="D154" s="1265"/>
      <c r="E154" s="1265"/>
      <c r="F154" s="1265"/>
      <c r="I154" s="391"/>
    </row>
    <row r="155" spans="2:9" ht="13.7" customHeight="1">
      <c r="D155" s="1265"/>
      <c r="E155" s="1265"/>
      <c r="F155" s="1265"/>
      <c r="I155" s="391"/>
    </row>
    <row r="156" spans="2:9" ht="13.7" customHeight="1">
      <c r="D156" s="1265"/>
      <c r="E156" s="1265"/>
      <c r="F156" s="1265"/>
      <c r="I156" s="391"/>
    </row>
    <row r="157" spans="2:9" ht="13.7" customHeight="1">
      <c r="D157" s="1265"/>
      <c r="E157" s="1265"/>
      <c r="F157" s="1265"/>
      <c r="I157" s="391"/>
    </row>
    <row r="158" spans="2:9" ht="13.7" customHeight="1">
      <c r="D158" s="1265"/>
      <c r="E158" s="1265"/>
      <c r="F158" s="1265"/>
      <c r="I158" s="391"/>
    </row>
    <row r="159" spans="2:9" ht="13.7" customHeight="1">
      <c r="D159" s="1265"/>
      <c r="E159" s="1265"/>
      <c r="F159" s="1265"/>
      <c r="I159" s="391"/>
    </row>
    <row r="160" spans="2:9" ht="13.7" customHeight="1">
      <c r="D160" s="1265"/>
      <c r="E160" s="1265"/>
      <c r="F160" s="1265"/>
      <c r="I160" s="391"/>
    </row>
    <row r="161" spans="1:9" ht="13.7" customHeight="1">
      <c r="D161" s="1265"/>
      <c r="E161" s="1265"/>
      <c r="F161" s="1265"/>
      <c r="I161" s="391"/>
    </row>
    <row r="162" spans="1:9" ht="13.7" customHeight="1">
      <c r="D162" s="1265"/>
      <c r="E162" s="1265"/>
      <c r="F162" s="1265"/>
      <c r="I162" s="391"/>
    </row>
    <row r="163" spans="1:9" ht="13.7" customHeight="1">
      <c r="D163" s="1265"/>
      <c r="E163" s="1265"/>
      <c r="F163" s="1265"/>
      <c r="I163" s="391"/>
    </row>
    <row r="164" spans="1:9" ht="13.7" customHeight="1">
      <c r="D164" s="1265"/>
      <c r="E164" s="1265"/>
      <c r="F164" s="1265"/>
      <c r="I164" s="391"/>
    </row>
    <row r="165" spans="1:9" ht="13.7" customHeight="1">
      <c r="D165" s="1265"/>
      <c r="E165" s="1265"/>
      <c r="F165" s="1265"/>
      <c r="I165" s="391"/>
    </row>
    <row r="166" spans="1:9" ht="13.7" customHeight="1">
      <c r="D166" s="1265"/>
      <c r="E166" s="1265"/>
      <c r="F166" s="1265"/>
      <c r="I166" s="391"/>
    </row>
    <row r="167" spans="1:9" ht="13.7" customHeight="1">
      <c r="D167" s="1265"/>
      <c r="E167" s="1265"/>
      <c r="F167" s="1265"/>
      <c r="I167" s="391"/>
    </row>
    <row r="168" spans="1:9" ht="13.7" customHeight="1">
      <c r="D168" s="1265"/>
      <c r="E168" s="1265"/>
      <c r="F168" s="1265"/>
      <c r="I168" s="391"/>
    </row>
    <row r="169" spans="1:9" ht="13.7" customHeight="1">
      <c r="D169" s="1288" t="s">
        <v>345</v>
      </c>
      <c r="E169" s="1288"/>
      <c r="F169" s="1288"/>
      <c r="G169" s="408"/>
      <c r="I169" s="391"/>
    </row>
    <row r="170" spans="1:9" ht="13.7" customHeight="1">
      <c r="D170" s="1275"/>
      <c r="E170" s="1275"/>
      <c r="F170" s="1275"/>
      <c r="G170" s="1275"/>
      <c r="I170" s="391"/>
    </row>
    <row r="171" spans="1:9" ht="14.45" customHeight="1">
      <c r="A171" s="390"/>
      <c r="B171" s="386" t="s">
        <v>316</v>
      </c>
      <c r="C171" s="377"/>
      <c r="D171" s="1239" t="s">
        <v>346</v>
      </c>
      <c r="E171" s="1239"/>
      <c r="F171" s="1239"/>
      <c r="G171" s="377"/>
      <c r="I171" s="391"/>
    </row>
    <row r="172" spans="1:9" ht="14.45" customHeight="1">
      <c r="A172" s="390"/>
      <c r="B172" s="390"/>
      <c r="C172" s="377"/>
      <c r="D172" s="1239"/>
      <c r="E172" s="1239"/>
      <c r="F172" s="1239"/>
      <c r="G172" s="377"/>
      <c r="I172" s="391"/>
    </row>
    <row r="173" spans="1:9" ht="14.45" customHeight="1">
      <c r="A173" s="390"/>
      <c r="B173" s="390"/>
      <c r="C173" s="377"/>
      <c r="D173" s="1239"/>
      <c r="E173" s="1239"/>
      <c r="F173" s="1239"/>
      <c r="G173" s="377"/>
      <c r="I173" s="391"/>
    </row>
    <row r="174" spans="1:9" ht="14.45" customHeight="1">
      <c r="A174" s="390"/>
      <c r="B174" s="390"/>
      <c r="C174" s="377"/>
      <c r="D174" s="1239"/>
      <c r="E174" s="1239"/>
      <c r="F174" s="1239"/>
      <c r="G174" s="377"/>
      <c r="I174" s="391"/>
    </row>
    <row r="175" spans="1:9" ht="13.7" customHeight="1">
      <c r="A175" s="390"/>
      <c r="B175" s="390"/>
      <c r="C175" s="377"/>
      <c r="D175" s="1239"/>
      <c r="E175" s="1239"/>
      <c r="F175" s="1239"/>
      <c r="G175" s="377"/>
      <c r="I175" s="391"/>
    </row>
    <row r="176" spans="1:9" ht="13.7" customHeight="1">
      <c r="A176" s="390"/>
      <c r="B176" s="390"/>
      <c r="C176" s="377"/>
      <c r="D176" s="377"/>
      <c r="E176" s="377"/>
      <c r="F176" s="377"/>
      <c r="G176" s="377"/>
      <c r="I176" s="391"/>
    </row>
    <row r="177" spans="1:9" ht="13.7" customHeight="1">
      <c r="A177" s="390"/>
      <c r="B177" s="386" t="s">
        <v>316</v>
      </c>
      <c r="C177" s="377"/>
      <c r="D177" s="1239" t="s">
        <v>347</v>
      </c>
      <c r="E177" s="1239"/>
      <c r="F177" s="1239"/>
      <c r="G177" s="377"/>
      <c r="I177" s="391"/>
    </row>
    <row r="178" spans="1:9" ht="13.7" customHeight="1">
      <c r="A178" s="390"/>
      <c r="B178" s="390"/>
      <c r="C178" s="377"/>
      <c r="D178" s="1239"/>
      <c r="E178" s="1239"/>
      <c r="F178" s="1239"/>
      <c r="G178" s="377"/>
      <c r="I178" s="391"/>
    </row>
    <row r="179" spans="1:9" ht="13.7" customHeight="1">
      <c r="A179" s="390"/>
      <c r="B179" s="390"/>
      <c r="C179" s="377"/>
      <c r="D179" s="1239"/>
      <c r="E179" s="1239"/>
      <c r="F179" s="1239"/>
      <c r="G179" s="377"/>
      <c r="I179" s="391"/>
    </row>
    <row r="180" spans="1:9" ht="13.7" customHeight="1">
      <c r="A180" s="390"/>
      <c r="B180" s="390"/>
      <c r="C180" s="377"/>
      <c r="D180" s="1239"/>
      <c r="E180" s="1239"/>
      <c r="F180" s="1239"/>
      <c r="G180" s="377"/>
      <c r="I180" s="391"/>
    </row>
    <row r="181" spans="1:9" ht="13.7" customHeight="1">
      <c r="D181" s="348"/>
      <c r="E181" s="348"/>
      <c r="F181" s="348"/>
      <c r="I181" s="391"/>
    </row>
    <row r="182" spans="1:9" ht="13.7" hidden="1" customHeight="1">
      <c r="B182" s="386" t="s">
        <v>348</v>
      </c>
      <c r="D182" s="1281" t="s">
        <v>349</v>
      </c>
      <c r="E182" s="1281"/>
      <c r="F182" s="1281"/>
      <c r="I182" s="391"/>
    </row>
    <row r="183" spans="1:9" ht="13.7" hidden="1" customHeight="1">
      <c r="D183" s="1281"/>
      <c r="E183" s="1281"/>
      <c r="F183" s="1281"/>
      <c r="I183" s="391"/>
    </row>
    <row r="184" spans="1:9" ht="13.7" hidden="1" customHeight="1">
      <c r="D184" s="1281"/>
      <c r="E184" s="1281"/>
      <c r="F184" s="1281"/>
      <c r="I184" s="391"/>
    </row>
    <row r="185" spans="1:9" ht="13.7" customHeight="1">
      <c r="A185" s="391"/>
      <c r="B185" s="391"/>
      <c r="E185" s="348"/>
      <c r="F185" s="348"/>
      <c r="I185" s="391"/>
    </row>
    <row r="186" spans="1:9">
      <c r="A186" s="1266" t="s">
        <v>350</v>
      </c>
      <c r="B186" s="1266"/>
      <c r="C186" s="1266"/>
      <c r="D186" s="1266"/>
      <c r="E186" s="1266"/>
      <c r="F186" s="1266"/>
      <c r="G186" s="1266"/>
      <c r="H186" s="914"/>
      <c r="I186" s="1036"/>
    </row>
    <row r="187" spans="1:9" ht="12" customHeight="1">
      <c r="D187" s="348"/>
      <c r="E187" s="348"/>
      <c r="F187" s="348"/>
      <c r="I187" s="391"/>
    </row>
    <row r="188" spans="1:9">
      <c r="B188" s="1271" t="s">
        <v>351</v>
      </c>
      <c r="C188" s="1271"/>
      <c r="D188" s="1271"/>
      <c r="E188" s="1271"/>
      <c r="F188" s="1271"/>
      <c r="I188" s="391"/>
    </row>
    <row r="189" spans="1:9">
      <c r="B189" s="295" t="s">
        <v>352</v>
      </c>
      <c r="C189" s="295"/>
      <c r="D189" s="295"/>
      <c r="E189" s="295"/>
      <c r="F189" s="295"/>
      <c r="I189" s="391"/>
    </row>
    <row r="190" spans="1:9" ht="12" customHeight="1">
      <c r="A190" s="383"/>
      <c r="B190" s="383"/>
      <c r="C190" s="383"/>
      <c r="I190" s="391"/>
    </row>
    <row r="191" spans="1:9">
      <c r="A191" s="1266" t="s">
        <v>353</v>
      </c>
      <c r="B191" s="1266"/>
      <c r="C191" s="1266"/>
      <c r="D191" s="1266"/>
      <c r="E191" s="1266"/>
      <c r="F191" s="1266"/>
      <c r="G191" s="1266"/>
      <c r="H191" s="914"/>
      <c r="I191" s="1036"/>
    </row>
    <row r="192" spans="1:9" ht="12" customHeight="1">
      <c r="A192" s="307"/>
      <c r="B192" s="307"/>
      <c r="E192" s="307"/>
      <c r="I192" s="391"/>
    </row>
    <row r="193" spans="1:9" ht="13.7" customHeight="1">
      <c r="A193" s="307"/>
      <c r="B193" s="307"/>
      <c r="D193" s="1285" t="s">
        <v>354</v>
      </c>
      <c r="E193" s="1285"/>
      <c r="F193" s="1285"/>
      <c r="I193" s="391"/>
    </row>
    <row r="194" spans="1:9">
      <c r="A194" s="307"/>
      <c r="B194" s="307"/>
      <c r="D194" s="1285"/>
      <c r="E194" s="1285"/>
      <c r="F194" s="1285"/>
      <c r="I194" s="391"/>
    </row>
    <row r="195" spans="1:9">
      <c r="A195" s="307"/>
      <c r="B195" s="307"/>
      <c r="D195" s="1271" t="s">
        <v>355</v>
      </c>
      <c r="E195" s="1271"/>
      <c r="F195" s="1271"/>
      <c r="I195" s="391"/>
    </row>
    <row r="196" spans="1:9">
      <c r="A196" s="307"/>
      <c r="B196" s="307"/>
      <c r="D196" s="295"/>
      <c r="E196" s="295"/>
      <c r="F196" s="295"/>
      <c r="I196" s="391"/>
    </row>
    <row r="197" spans="1:9">
      <c r="A197" s="307"/>
      <c r="B197" s="386" t="s">
        <v>316</v>
      </c>
      <c r="D197" s="1255" t="s">
        <v>356</v>
      </c>
      <c r="E197" s="1255"/>
      <c r="F197" s="1255"/>
      <c r="I197" s="391"/>
    </row>
    <row r="198" spans="1:9">
      <c r="A198" s="307"/>
      <c r="B198" s="307"/>
      <c r="D198" s="1246" t="s">
        <v>357</v>
      </c>
      <c r="E198" s="1246"/>
      <c r="F198" s="1246"/>
      <c r="I198" s="391"/>
    </row>
    <row r="199" spans="1:9">
      <c r="A199" s="307"/>
      <c r="B199" s="307"/>
      <c r="D199" s="71" t="s">
        <v>358</v>
      </c>
      <c r="E199" s="1293" t="s">
        <v>359</v>
      </c>
      <c r="F199" s="1293"/>
      <c r="I199" s="391"/>
    </row>
    <row r="200" spans="1:9">
      <c r="A200" s="307"/>
      <c r="B200" s="307"/>
      <c r="D200" s="3"/>
      <c r="E200" s="3"/>
      <c r="F200" s="3"/>
      <c r="I200" s="391"/>
    </row>
    <row r="201" spans="1:9">
      <c r="A201" s="307"/>
      <c r="B201" s="386" t="s">
        <v>316</v>
      </c>
      <c r="D201" s="1246" t="s">
        <v>360</v>
      </c>
      <c r="E201" s="1246"/>
      <c r="F201" s="1246"/>
      <c r="I201" s="391"/>
    </row>
    <row r="202" spans="1:9">
      <c r="A202" s="307"/>
      <c r="B202" s="307"/>
      <c r="D202" s="1255" t="s">
        <v>357</v>
      </c>
      <c r="E202" s="1255"/>
      <c r="F202" s="1255"/>
      <c r="I202" s="391"/>
    </row>
    <row r="203" spans="1:9">
      <c r="A203" s="307"/>
      <c r="B203" s="307"/>
      <c r="D203" s="49" t="s">
        <v>361</v>
      </c>
      <c r="E203" s="1293" t="s">
        <v>362</v>
      </c>
      <c r="F203" s="1293"/>
      <c r="I203" s="391"/>
    </row>
    <row r="204" spans="1:9">
      <c r="A204" s="307"/>
      <c r="B204" s="307"/>
      <c r="D204" s="3"/>
      <c r="E204" s="3"/>
      <c r="F204" s="3"/>
      <c r="I204" s="391"/>
    </row>
    <row r="205" spans="1:9">
      <c r="A205" s="307"/>
      <c r="B205" s="386" t="s">
        <v>316</v>
      </c>
      <c r="D205" s="1246" t="s">
        <v>363</v>
      </c>
      <c r="E205" s="1246"/>
      <c r="F205" s="1246"/>
      <c r="I205" s="391"/>
    </row>
    <row r="206" spans="1:9">
      <c r="A206" s="307"/>
      <c r="B206" s="307"/>
      <c r="D206" s="1255" t="s">
        <v>357</v>
      </c>
      <c r="E206" s="1255"/>
      <c r="F206" s="1255"/>
      <c r="I206" s="391"/>
    </row>
    <row r="207" spans="1:9">
      <c r="A207" s="307"/>
      <c r="B207" s="307"/>
      <c r="D207" s="49" t="s">
        <v>358</v>
      </c>
      <c r="E207" s="1293" t="s">
        <v>364</v>
      </c>
      <c r="F207" s="1293"/>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55" t="s">
        <v>357</v>
      </c>
      <c r="E210" s="1255"/>
      <c r="F210" s="1255"/>
      <c r="I210" s="391"/>
    </row>
    <row r="211" spans="1:9">
      <c r="D211" s="288"/>
      <c r="E211" s="1293" t="s">
        <v>366</v>
      </c>
      <c r="F211" s="1293"/>
      <c r="I211" s="391"/>
    </row>
    <row r="212" spans="1:9">
      <c r="D212" s="349"/>
      <c r="I212" s="391"/>
    </row>
    <row r="213" spans="1:9">
      <c r="B213" s="386" t="s">
        <v>316</v>
      </c>
      <c r="D213" s="1246" t="s">
        <v>367</v>
      </c>
      <c r="E213" s="1246"/>
      <c r="F213" s="1246"/>
      <c r="I213" s="391"/>
    </row>
    <row r="214" spans="1:9">
      <c r="D214" s="1255" t="s">
        <v>357</v>
      </c>
      <c r="E214" s="1255"/>
      <c r="F214" s="1255"/>
      <c r="I214" s="391"/>
    </row>
    <row r="215" spans="1:9">
      <c r="D215" s="49" t="s">
        <v>358</v>
      </c>
      <c r="E215" s="1293" t="s">
        <v>368</v>
      </c>
      <c r="F215" s="1293"/>
      <c r="I215" s="391"/>
    </row>
    <row r="216" spans="1:9">
      <c r="D216" s="353"/>
      <c r="E216" s="353"/>
      <c r="F216" s="353"/>
      <c r="I216" s="391"/>
    </row>
    <row r="217" spans="1:9" ht="14.25">
      <c r="A217" s="385"/>
      <c r="B217" s="386" t="s">
        <v>316</v>
      </c>
      <c r="D217" s="1265" t="s">
        <v>369</v>
      </c>
      <c r="E217" s="1265"/>
      <c r="F217" s="1265"/>
      <c r="I217" s="391"/>
    </row>
    <row r="218" spans="1:9" ht="14.45" customHeight="1">
      <c r="A218" s="385"/>
      <c r="B218" s="305"/>
      <c r="D218" s="1265"/>
      <c r="E218" s="1265"/>
      <c r="F218" s="1265"/>
      <c r="I218" s="391"/>
    </row>
    <row r="219" spans="1:9" ht="14.25">
      <c r="A219" s="385"/>
      <c r="D219" s="1265"/>
      <c r="E219" s="1265"/>
      <c r="F219" s="1265"/>
      <c r="I219" s="391"/>
    </row>
    <row r="220" spans="1:9" ht="14.25">
      <c r="A220" s="385"/>
      <c r="D220" s="1265"/>
      <c r="E220" s="1265"/>
      <c r="F220" s="1265"/>
      <c r="I220" s="391"/>
    </row>
    <row r="221" spans="1:9">
      <c r="D221" s="353"/>
      <c r="E221" s="353"/>
      <c r="F221" s="353"/>
      <c r="I221" s="391"/>
    </row>
    <row r="222" spans="1:9">
      <c r="A222" s="1266" t="s">
        <v>370</v>
      </c>
      <c r="B222" s="1266"/>
      <c r="C222" s="1266"/>
      <c r="D222" s="1266"/>
      <c r="E222" s="1266"/>
      <c r="F222" s="1266"/>
      <c r="G222" s="1266"/>
      <c r="H222" s="914"/>
      <c r="I222" s="1036"/>
    </row>
    <row r="223" spans="1:9" ht="12" customHeight="1">
      <c r="D223" s="348"/>
      <c r="E223" s="348"/>
      <c r="F223" s="348"/>
      <c r="I223" s="391"/>
    </row>
    <row r="224" spans="1:9">
      <c r="C224" s="387"/>
      <c r="D224" s="1268" t="s">
        <v>371</v>
      </c>
      <c r="E224" s="1268"/>
      <c r="F224" s="1268"/>
      <c r="I224" s="391"/>
    </row>
    <row r="225" spans="1:9">
      <c r="A225" s="383"/>
      <c r="B225" s="383"/>
      <c r="C225" s="383"/>
      <c r="D225" s="1267" t="s">
        <v>372</v>
      </c>
      <c r="E225" s="1267"/>
      <c r="F225" s="1267"/>
      <c r="I225" s="391"/>
    </row>
    <row r="226" spans="1:9" ht="12" customHeight="1">
      <c r="A226" s="391"/>
      <c r="B226" s="391"/>
      <c r="C226" s="391"/>
      <c r="I226" s="391"/>
    </row>
    <row r="227" spans="1:9" ht="13.7" customHeight="1">
      <c r="A227" s="391"/>
      <c r="C227" s="391"/>
      <c r="D227" s="1268" t="s">
        <v>373</v>
      </c>
      <c r="E227" s="1268"/>
      <c r="F227" s="1268"/>
      <c r="I227" s="391"/>
    </row>
    <row r="228" spans="1:9" ht="14.25">
      <c r="A228" s="385"/>
      <c r="B228" s="386" t="s">
        <v>311</v>
      </c>
      <c r="D228" s="1265" t="s">
        <v>374</v>
      </c>
      <c r="E228" s="1265"/>
      <c r="F228" s="1265"/>
      <c r="I228" s="391"/>
    </row>
    <row r="229" spans="1:9" ht="14.25" customHeight="1">
      <c r="A229" s="385"/>
      <c r="B229" s="385"/>
      <c r="D229" s="1265"/>
      <c r="E229" s="1265"/>
      <c r="F229" s="1265"/>
      <c r="I229" s="391"/>
    </row>
    <row r="230" spans="1:9" ht="14.25" customHeight="1">
      <c r="A230" s="385"/>
      <c r="B230" s="385"/>
      <c r="D230" s="1265"/>
      <c r="E230" s="1265"/>
      <c r="F230" s="1265"/>
      <c r="I230" s="391"/>
    </row>
    <row r="231" spans="1:9" ht="14.25">
      <c r="A231" s="385"/>
      <c r="B231" s="385"/>
      <c r="D231" s="1265"/>
      <c r="E231" s="1265"/>
      <c r="F231" s="1265"/>
      <c r="I231" s="391"/>
    </row>
    <row r="232" spans="1:9" ht="14.25">
      <c r="A232" s="385"/>
      <c r="B232" s="385"/>
      <c r="D232" s="347"/>
      <c r="E232" s="347"/>
      <c r="F232" s="347"/>
      <c r="I232" s="391"/>
    </row>
    <row r="233" spans="1:9" ht="14.25">
      <c r="A233" s="385"/>
      <c r="B233" s="386" t="s">
        <v>311</v>
      </c>
      <c r="D233" s="1265" t="s">
        <v>375</v>
      </c>
      <c r="E233" s="1265"/>
      <c r="F233" s="1265"/>
      <c r="I233" s="391"/>
    </row>
    <row r="234" spans="1:9" ht="14.25">
      <c r="A234" s="385"/>
      <c r="B234" s="385"/>
      <c r="D234" s="1265"/>
      <c r="E234" s="1265"/>
      <c r="F234" s="1265"/>
      <c r="I234" s="391"/>
    </row>
    <row r="235" spans="1:9" ht="14.25">
      <c r="A235" s="385"/>
      <c r="B235" s="385"/>
      <c r="D235" s="1265"/>
      <c r="E235" s="1265"/>
      <c r="F235" s="1265"/>
      <c r="I235" s="391"/>
    </row>
    <row r="236" spans="1:9" ht="14.25">
      <c r="A236" s="385"/>
      <c r="B236" s="385"/>
      <c r="D236" s="1265"/>
      <c r="E236" s="1265"/>
      <c r="F236" s="1265"/>
      <c r="I236" s="391"/>
    </row>
    <row r="237" spans="1:9" ht="14.25" customHeight="1">
      <c r="A237" s="385"/>
      <c r="B237" s="385"/>
      <c r="D237" s="1265"/>
      <c r="E237" s="1265"/>
      <c r="F237" s="1265"/>
      <c r="I237" s="391"/>
    </row>
    <row r="238" spans="1:9" ht="14.25" customHeight="1">
      <c r="A238" s="385"/>
      <c r="B238" s="385"/>
      <c r="D238" s="347"/>
      <c r="E238" s="347"/>
      <c r="F238" s="347"/>
      <c r="I238" s="391"/>
    </row>
    <row r="239" spans="1:9" ht="14.25">
      <c r="A239" s="385"/>
      <c r="B239" s="385"/>
      <c r="D239" s="1265" t="s">
        <v>376</v>
      </c>
      <c r="E239" s="1265"/>
      <c r="F239" s="1265"/>
      <c r="I239" s="391"/>
    </row>
    <row r="240" spans="1:9" ht="14.25">
      <c r="A240" s="385"/>
      <c r="B240" s="385"/>
      <c r="D240" s="1265"/>
      <c r="E240" s="1265"/>
      <c r="F240" s="1265"/>
      <c r="I240" s="391"/>
    </row>
    <row r="241" spans="1:9" ht="14.25">
      <c r="A241" s="385"/>
      <c r="B241" s="385"/>
      <c r="D241" s="1265"/>
      <c r="E241" s="1265"/>
      <c r="F241" s="1265"/>
      <c r="I241" s="391"/>
    </row>
    <row r="242" spans="1:9" ht="14.25">
      <c r="A242" s="385"/>
      <c r="B242" s="385"/>
      <c r="D242" s="1265"/>
      <c r="E242" s="1265"/>
      <c r="F242" s="1265"/>
      <c r="I242" s="391"/>
    </row>
    <row r="243" spans="1:9" ht="14.25">
      <c r="A243" s="385"/>
      <c r="B243" s="385"/>
      <c r="D243" s="1265"/>
      <c r="E243" s="1265"/>
      <c r="F243" s="1265"/>
      <c r="I243" s="391"/>
    </row>
    <row r="244" spans="1:9" ht="14.25">
      <c r="A244" s="385"/>
      <c r="B244" s="385"/>
      <c r="D244" s="348"/>
      <c r="E244" s="348"/>
      <c r="F244" s="348"/>
      <c r="I244" s="391"/>
    </row>
    <row r="245" spans="1:9" ht="14.25">
      <c r="A245" s="385"/>
      <c r="B245" s="386" t="s">
        <v>316</v>
      </c>
      <c r="D245" s="1265" t="s">
        <v>377</v>
      </c>
      <c r="E245" s="1265"/>
      <c r="F245" s="1265"/>
      <c r="I245" s="391"/>
    </row>
    <row r="246" spans="1:9" ht="14.25">
      <c r="A246" s="385"/>
      <c r="B246" s="385"/>
      <c r="D246" s="1265"/>
      <c r="E246" s="1265"/>
      <c r="F246" s="1265"/>
      <c r="I246" s="391"/>
    </row>
    <row r="247" spans="1:9" ht="14.25">
      <c r="A247" s="385"/>
      <c r="B247" s="385"/>
      <c r="D247" s="1265"/>
      <c r="E247" s="1265"/>
      <c r="F247" s="1265"/>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265" t="s">
        <v>379</v>
      </c>
      <c r="E250" s="1265"/>
      <c r="F250" s="1265"/>
      <c r="I250" s="391"/>
    </row>
    <row r="251" spans="1:9" ht="14.25">
      <c r="A251" s="385"/>
      <c r="B251" s="385"/>
      <c r="D251" s="1265"/>
      <c r="E251" s="1265"/>
      <c r="F251" s="1265"/>
      <c r="I251" s="391"/>
    </row>
    <row r="252" spans="1:9" ht="14.25">
      <c r="A252" s="385"/>
      <c r="B252" s="385"/>
      <c r="D252" s="1265"/>
      <c r="E252" s="1265"/>
      <c r="F252" s="1265"/>
      <c r="I252" s="391"/>
    </row>
    <row r="253" spans="1:9" ht="14.25">
      <c r="A253" s="385"/>
      <c r="B253" s="385"/>
      <c r="D253" s="1265"/>
      <c r="E253" s="1265"/>
      <c r="F253" s="1265"/>
      <c r="I253" s="391"/>
    </row>
    <row r="254" spans="1:9" ht="14.25">
      <c r="A254" s="385"/>
      <c r="B254" s="385"/>
      <c r="D254" s="1265"/>
      <c r="E254" s="1265"/>
      <c r="F254" s="1265"/>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65" t="s">
        <v>382</v>
      </c>
      <c r="E259" s="1265"/>
      <c r="F259" s="1265"/>
      <c r="I259" s="391"/>
    </row>
    <row r="260" spans="1:9" ht="14.25">
      <c r="A260" s="385"/>
      <c r="B260" s="385"/>
      <c r="D260" s="1265"/>
      <c r="E260" s="1265"/>
      <c r="F260" s="1265"/>
      <c r="I260" s="391"/>
    </row>
    <row r="261" spans="1:9">
      <c r="D261" s="392"/>
      <c r="I261" s="391"/>
    </row>
    <row r="262" spans="1:9">
      <c r="A262" s="1266" t="s">
        <v>383</v>
      </c>
      <c r="B262" s="1266"/>
      <c r="C262" s="1266"/>
      <c r="D262" s="1266"/>
      <c r="E262" s="1266"/>
      <c r="F262" s="1266"/>
      <c r="G262" s="1266"/>
      <c r="H262" s="914"/>
      <c r="I262" s="1036"/>
    </row>
    <row r="263" spans="1:9">
      <c r="D263" s="392"/>
      <c r="I263" s="391"/>
    </row>
    <row r="264" spans="1:9">
      <c r="C264" s="387"/>
      <c r="D264" s="1268" t="s">
        <v>384</v>
      </c>
      <c r="E264" s="1268"/>
      <c r="F264" s="1268"/>
      <c r="I264" s="391"/>
    </row>
    <row r="265" spans="1:9">
      <c r="A265" s="383"/>
      <c r="B265" s="383"/>
      <c r="C265" s="383"/>
      <c r="D265" s="348"/>
      <c r="E265" s="348"/>
      <c r="F265" s="348"/>
      <c r="I265" s="391"/>
    </row>
    <row r="266" spans="1:9">
      <c r="A266" s="384"/>
      <c r="B266" s="384"/>
      <c r="C266" s="384"/>
      <c r="D266" s="1268" t="s">
        <v>385</v>
      </c>
      <c r="E266" s="1268"/>
      <c r="F266" s="1268"/>
      <c r="I266" s="391"/>
    </row>
    <row r="267" spans="1:9" ht="14.45" customHeight="1">
      <c r="A267" s="385"/>
      <c r="B267" s="386" t="s">
        <v>311</v>
      </c>
      <c r="D267" s="1265" t="s">
        <v>386</v>
      </c>
      <c r="E267" s="1265"/>
      <c r="F267" s="1265"/>
      <c r="I267" s="391"/>
    </row>
    <row r="268" spans="1:9">
      <c r="D268" s="1265"/>
      <c r="E268" s="1265"/>
      <c r="F268" s="1265"/>
      <c r="I268" s="391"/>
    </row>
    <row r="269" spans="1:9">
      <c r="E269" s="922" t="s">
        <v>387</v>
      </c>
      <c r="I269" s="391"/>
    </row>
    <row r="270" spans="1:9">
      <c r="D270" s="348"/>
      <c r="E270" s="348"/>
      <c r="F270" s="348"/>
      <c r="I270" s="391"/>
    </row>
    <row r="271" spans="1:9" ht="14.45" customHeight="1">
      <c r="A271" s="385"/>
      <c r="B271" s="386" t="s">
        <v>316</v>
      </c>
      <c r="D271" s="1265" t="s">
        <v>388</v>
      </c>
      <c r="E271" s="1265"/>
      <c r="F271" s="1265"/>
      <c r="I271" s="391"/>
    </row>
    <row r="272" spans="1:9">
      <c r="D272" s="1265"/>
      <c r="E272" s="1265"/>
      <c r="F272" s="1265"/>
      <c r="I272" s="391"/>
    </row>
    <row r="273" spans="1:9">
      <c r="D273" s="1265"/>
      <c r="E273" s="1265"/>
      <c r="F273" s="1265"/>
      <c r="I273" s="391"/>
    </row>
    <row r="274" spans="1:9">
      <c r="D274" s="1265"/>
      <c r="E274" s="1265"/>
      <c r="F274" s="1265"/>
      <c r="I274" s="391"/>
    </row>
    <row r="275" spans="1:9">
      <c r="D275" s="1265"/>
      <c r="E275" s="1265"/>
      <c r="F275" s="1265"/>
      <c r="I275" s="391"/>
    </row>
    <row r="276" spans="1:9">
      <c r="D276" s="1265"/>
      <c r="E276" s="1265"/>
      <c r="F276" s="1265"/>
      <c r="I276" s="391"/>
    </row>
    <row r="277" spans="1:9">
      <c r="D277" s="348"/>
      <c r="E277" s="348"/>
      <c r="F277" s="348"/>
      <c r="I277" s="391"/>
    </row>
    <row r="278" spans="1:9" ht="14.25">
      <c r="A278" s="385"/>
      <c r="B278" s="386" t="s">
        <v>316</v>
      </c>
      <c r="D278" s="1265" t="s">
        <v>389</v>
      </c>
      <c r="E278" s="1265"/>
      <c r="F278" s="1265"/>
      <c r="I278" s="391"/>
    </row>
    <row r="279" spans="1:9">
      <c r="D279" s="1265"/>
      <c r="E279" s="1265"/>
      <c r="F279" s="1265"/>
      <c r="I279" s="391"/>
    </row>
    <row r="280" spans="1:9">
      <c r="D280" s="1265"/>
      <c r="E280" s="1265"/>
      <c r="F280" s="1265"/>
      <c r="I280" s="391"/>
    </row>
    <row r="281" spans="1:9">
      <c r="D281" s="393"/>
      <c r="E281" s="348"/>
      <c r="F281" s="348"/>
      <c r="I281" s="391"/>
    </row>
    <row r="282" spans="1:9">
      <c r="A282" s="1266" t="s">
        <v>390</v>
      </c>
      <c r="B282" s="1266"/>
      <c r="C282" s="1266"/>
      <c r="D282" s="1266"/>
      <c r="E282" s="1266"/>
      <c r="F282" s="1266"/>
      <c r="G282" s="1266"/>
      <c r="H282" s="914"/>
      <c r="I282" s="1036"/>
    </row>
    <row r="283" spans="1:9">
      <c r="D283" s="393"/>
      <c r="E283" s="348"/>
      <c r="F283" s="348"/>
      <c r="I283" s="391"/>
    </row>
    <row r="284" spans="1:9">
      <c r="C284" s="383"/>
      <c r="D284" s="1285" t="s">
        <v>391</v>
      </c>
      <c r="E284" s="1285"/>
      <c r="F284" s="1285"/>
      <c r="I284" s="391"/>
    </row>
    <row r="285" spans="1:9">
      <c r="C285" s="383"/>
      <c r="D285" s="1285"/>
      <c r="E285" s="1285"/>
      <c r="F285" s="1285"/>
      <c r="I285" s="391"/>
    </row>
    <row r="286" spans="1:9">
      <c r="A286" s="384"/>
      <c r="B286" s="384"/>
      <c r="C286" s="384"/>
      <c r="D286" s="307"/>
      <c r="I286" s="391"/>
    </row>
    <row r="287" spans="1:9">
      <c r="C287" s="384"/>
      <c r="D287" s="1268" t="s">
        <v>392</v>
      </c>
      <c r="E287" s="1268"/>
      <c r="F287" s="1268"/>
      <c r="I287" s="391"/>
    </row>
    <row r="288" spans="1:9" ht="15.75" customHeight="1">
      <c r="A288" s="385"/>
      <c r="B288" s="385"/>
      <c r="D288" s="1294" t="s">
        <v>393</v>
      </c>
      <c r="E288" s="1294"/>
      <c r="F288" s="1294"/>
      <c r="I288" s="391"/>
    </row>
    <row r="289" spans="1:9">
      <c r="E289" s="348"/>
      <c r="F289" s="348"/>
      <c r="I289" s="391"/>
    </row>
    <row r="290" spans="1:9" ht="14.25">
      <c r="A290" s="385"/>
      <c r="B290" s="386" t="s">
        <v>316</v>
      </c>
      <c r="D290" s="1265" t="s">
        <v>394</v>
      </c>
      <c r="E290" s="1265"/>
      <c r="F290" s="1265"/>
      <c r="I290" s="391"/>
    </row>
    <row r="291" spans="1:9" ht="14.25">
      <c r="A291" s="385"/>
      <c r="B291" s="385"/>
      <c r="D291" s="1265"/>
      <c r="E291" s="1265"/>
      <c r="F291" s="1265"/>
      <c r="I291" s="391"/>
    </row>
    <row r="292" spans="1:9">
      <c r="D292" s="348"/>
      <c r="E292" s="348"/>
      <c r="F292" s="348"/>
      <c r="I292" s="391"/>
    </row>
    <row r="293" spans="1:9" ht="14.25">
      <c r="A293" s="385"/>
      <c r="B293" s="386" t="s">
        <v>316</v>
      </c>
      <c r="D293" s="1265" t="s">
        <v>395</v>
      </c>
      <c r="E293" s="1265"/>
      <c r="F293" s="1265"/>
      <c r="I293" s="391"/>
    </row>
    <row r="294" spans="1:9" ht="14.25">
      <c r="A294" s="385"/>
      <c r="B294" s="385"/>
      <c r="D294" s="1265"/>
      <c r="E294" s="1265"/>
      <c r="F294" s="1265"/>
      <c r="I294" s="391"/>
    </row>
    <row r="295" spans="1:9" ht="14.25">
      <c r="A295" s="385"/>
      <c r="B295" s="385"/>
      <c r="D295" s="1265"/>
      <c r="E295" s="1265"/>
      <c r="F295" s="1265"/>
      <c r="I295" s="391"/>
    </row>
    <row r="296" spans="1:9">
      <c r="D296" s="348"/>
      <c r="E296" s="348"/>
      <c r="F296" s="348"/>
      <c r="I296" s="391"/>
    </row>
    <row r="297" spans="1:9" ht="14.25">
      <c r="A297" s="385"/>
      <c r="B297" s="386" t="s">
        <v>316</v>
      </c>
      <c r="D297" s="1265" t="s">
        <v>396</v>
      </c>
      <c r="E297" s="1265"/>
      <c r="F297" s="1265"/>
      <c r="I297" s="391"/>
    </row>
    <row r="298" spans="1:9" ht="14.25">
      <c r="A298" s="385"/>
      <c r="B298" s="385"/>
      <c r="D298" s="1265"/>
      <c r="E298" s="1265"/>
      <c r="F298" s="1265"/>
      <c r="I298" s="391"/>
    </row>
    <row r="299" spans="1:9">
      <c r="A299" s="391"/>
      <c r="B299" s="391"/>
      <c r="E299" s="348"/>
      <c r="F299" s="348"/>
      <c r="I299" s="391"/>
    </row>
    <row r="300" spans="1:9">
      <c r="A300" s="1266" t="s">
        <v>397</v>
      </c>
      <c r="B300" s="1266"/>
      <c r="C300" s="1266"/>
      <c r="D300" s="1266"/>
      <c r="E300" s="1266"/>
      <c r="F300" s="1266"/>
      <c r="G300" s="1266"/>
      <c r="H300" s="914"/>
      <c r="I300" s="1036"/>
    </row>
    <row r="301" spans="1:9">
      <c r="A301" s="391"/>
      <c r="B301" s="391"/>
      <c r="D301" s="348"/>
      <c r="E301" s="348"/>
      <c r="F301" s="348"/>
      <c r="I301" s="391"/>
    </row>
    <row r="302" spans="1:9">
      <c r="C302" s="391"/>
      <c r="D302" s="1268" t="s">
        <v>398</v>
      </c>
      <c r="E302" s="1268"/>
      <c r="F302" s="1268"/>
      <c r="I302" s="391"/>
    </row>
    <row r="303" spans="1:9">
      <c r="C303" s="391"/>
      <c r="D303" s="1267" t="s">
        <v>399</v>
      </c>
      <c r="E303" s="1267"/>
      <c r="F303" s="1267"/>
      <c r="I303" s="391"/>
    </row>
    <row r="304" spans="1:9">
      <c r="C304" s="391"/>
      <c r="D304" s="394"/>
      <c r="I304" s="391"/>
    </row>
    <row r="305" spans="1:9">
      <c r="B305" s="386" t="s">
        <v>316</v>
      </c>
      <c r="D305" s="1267" t="s">
        <v>400</v>
      </c>
      <c r="E305" s="1267"/>
      <c r="F305" s="1267"/>
      <c r="I305" s="391"/>
    </row>
    <row r="306" spans="1:9" ht="14.25">
      <c r="A306" s="385"/>
      <c r="B306" s="385"/>
      <c r="D306" s="395"/>
      <c r="E306" s="396"/>
      <c r="F306" s="396"/>
      <c r="I306" s="391"/>
    </row>
    <row r="307" spans="1:9" ht="13.7" customHeight="1">
      <c r="B307" s="386" t="s">
        <v>316</v>
      </c>
      <c r="D307" s="1278" t="s">
        <v>401</v>
      </c>
      <c r="E307" s="1278"/>
      <c r="F307" s="1278"/>
      <c r="I307" s="391"/>
    </row>
    <row r="308" spans="1:9" ht="14.25">
      <c r="A308" s="385"/>
      <c r="B308" s="385"/>
      <c r="D308" s="1278"/>
      <c r="E308" s="1278"/>
      <c r="F308" s="1278"/>
      <c r="I308" s="391"/>
    </row>
    <row r="309" spans="1:9" ht="14.25">
      <c r="A309" s="385"/>
      <c r="B309" s="385"/>
      <c r="D309" s="1278"/>
      <c r="E309" s="1278"/>
      <c r="F309" s="1278"/>
      <c r="I309" s="391"/>
    </row>
    <row r="310" spans="1:9" ht="14.25">
      <c r="A310" s="385"/>
      <c r="B310" s="385"/>
      <c r="D310" s="1278"/>
      <c r="E310" s="1278"/>
      <c r="F310" s="1278"/>
      <c r="I310" s="391"/>
    </row>
    <row r="311" spans="1:9" ht="14.25">
      <c r="A311" s="385"/>
      <c r="B311" s="385"/>
      <c r="D311" s="1278"/>
      <c r="E311" s="1278"/>
      <c r="F311" s="1278"/>
      <c r="I311" s="391"/>
    </row>
    <row r="312" spans="1:9" ht="14.25">
      <c r="A312" s="385"/>
      <c r="B312" s="385"/>
      <c r="D312" s="395"/>
      <c r="E312" s="396"/>
      <c r="F312" s="396"/>
      <c r="I312" s="391"/>
    </row>
    <row r="313" spans="1:9" ht="13.7" customHeight="1">
      <c r="B313" s="386" t="s">
        <v>316</v>
      </c>
      <c r="D313" s="1278" t="s">
        <v>402</v>
      </c>
      <c r="E313" s="1278"/>
      <c r="F313" s="1278"/>
      <c r="I313" s="391"/>
    </row>
    <row r="314" spans="1:9">
      <c r="D314" s="1278"/>
      <c r="E314" s="1278"/>
      <c r="F314" s="1278"/>
      <c r="I314" s="391"/>
    </row>
    <row r="315" spans="1:9" ht="14.25">
      <c r="A315" s="385"/>
      <c r="B315" s="385"/>
      <c r="D315" s="395"/>
      <c r="E315" s="396"/>
      <c r="F315" s="396"/>
      <c r="I315" s="391"/>
    </row>
    <row r="316" spans="1:9">
      <c r="B316" s="386" t="s">
        <v>316</v>
      </c>
      <c r="D316" s="1267" t="s">
        <v>403</v>
      </c>
      <c r="E316" s="1267"/>
      <c r="F316" s="1267"/>
      <c r="I316" s="391"/>
    </row>
    <row r="317" spans="1:9">
      <c r="E317" s="348"/>
      <c r="F317" s="348"/>
      <c r="I317" s="391"/>
    </row>
    <row r="318" spans="1:9" ht="14.25">
      <c r="A318" s="385"/>
      <c r="B318" s="386" t="s">
        <v>316</v>
      </c>
      <c r="D318" s="1265" t="s">
        <v>404</v>
      </c>
      <c r="E318" s="1265"/>
      <c r="F318" s="1265"/>
      <c r="I318" s="391"/>
    </row>
    <row r="319" spans="1:9" ht="14.25">
      <c r="A319" s="385"/>
      <c r="B319" s="385"/>
      <c r="D319" s="1265"/>
      <c r="E319" s="1265"/>
      <c r="F319" s="1265"/>
      <c r="I319" s="391"/>
    </row>
    <row r="320" spans="1:9" ht="14.25">
      <c r="A320" s="385"/>
      <c r="B320" s="385"/>
      <c r="D320" s="1265"/>
      <c r="E320" s="1265"/>
      <c r="F320" s="1265"/>
      <c r="I320" s="391"/>
    </row>
    <row r="321" spans="1:9" ht="14.25">
      <c r="A321" s="385"/>
      <c r="B321" s="385"/>
      <c r="D321" s="1265"/>
      <c r="E321" s="1265"/>
      <c r="F321" s="1265"/>
      <c r="I321" s="391"/>
    </row>
    <row r="322" spans="1:9" ht="14.25">
      <c r="A322" s="385"/>
      <c r="B322" s="385"/>
      <c r="D322" s="1265"/>
      <c r="E322" s="1265"/>
      <c r="F322" s="1265"/>
      <c r="I322" s="391"/>
    </row>
    <row r="323" spans="1:9" ht="14.25">
      <c r="A323" s="385"/>
      <c r="B323" s="385"/>
      <c r="D323" s="1265"/>
      <c r="E323" s="1265"/>
      <c r="F323" s="1265"/>
      <c r="I323" s="391"/>
    </row>
    <row r="324" spans="1:9" ht="14.25">
      <c r="A324" s="385"/>
      <c r="B324" s="385"/>
      <c r="D324" s="1265"/>
      <c r="E324" s="1265"/>
      <c r="F324" s="1265"/>
      <c r="I324" s="391"/>
    </row>
    <row r="325" spans="1:9" ht="14.25">
      <c r="A325" s="385"/>
      <c r="B325" s="385"/>
      <c r="D325" s="1265"/>
      <c r="E325" s="1265"/>
      <c r="F325" s="1265"/>
      <c r="I325" s="391"/>
    </row>
    <row r="326" spans="1:9" ht="14.25">
      <c r="A326" s="385"/>
      <c r="B326" s="385"/>
      <c r="D326" s="1265"/>
      <c r="E326" s="1265"/>
      <c r="F326" s="1265"/>
      <c r="I326" s="391"/>
    </row>
    <row r="327" spans="1:9" ht="14.25">
      <c r="A327" s="385"/>
      <c r="B327" s="385"/>
      <c r="D327" s="1265"/>
      <c r="E327" s="1265"/>
      <c r="F327" s="1265"/>
      <c r="I327" s="391"/>
    </row>
    <row r="328" spans="1:9" ht="14.25">
      <c r="A328" s="385"/>
      <c r="B328" s="385"/>
      <c r="D328" s="1265"/>
      <c r="E328" s="1265"/>
      <c r="F328" s="1265"/>
      <c r="I328" s="391"/>
    </row>
    <row r="329" spans="1:9" ht="14.25">
      <c r="A329" s="385"/>
      <c r="B329" s="385"/>
      <c r="D329" s="1265"/>
      <c r="E329" s="1265"/>
      <c r="F329" s="1265"/>
      <c r="I329" s="391"/>
    </row>
    <row r="330" spans="1:9" ht="14.25">
      <c r="A330" s="385"/>
      <c r="B330" s="385"/>
      <c r="D330" s="1265"/>
      <c r="E330" s="1265"/>
      <c r="F330" s="1265"/>
      <c r="I330" s="391"/>
    </row>
    <row r="331" spans="1:9" ht="14.25">
      <c r="A331" s="385"/>
      <c r="B331" s="385"/>
      <c r="D331" s="1265"/>
      <c r="E331" s="1265"/>
      <c r="F331" s="1265"/>
      <c r="I331" s="391"/>
    </row>
    <row r="332" spans="1:9" ht="14.25">
      <c r="A332" s="385"/>
      <c r="B332" s="385"/>
      <c r="D332" s="1265"/>
      <c r="E332" s="1265"/>
      <c r="F332" s="1265"/>
      <c r="I332" s="391"/>
    </row>
    <row r="333" spans="1:9">
      <c r="D333" s="348"/>
      <c r="E333" s="348"/>
      <c r="F333" s="348"/>
      <c r="I333" s="391"/>
    </row>
    <row r="334" spans="1:9" ht="14.25">
      <c r="A334" s="385"/>
      <c r="B334" s="386" t="s">
        <v>316</v>
      </c>
      <c r="D334" s="1265" t="s">
        <v>405</v>
      </c>
      <c r="E334" s="1265"/>
      <c r="F334" s="1265"/>
      <c r="I334" s="391"/>
    </row>
    <row r="335" spans="1:9">
      <c r="D335" s="1265"/>
      <c r="E335" s="1265"/>
      <c r="F335" s="1265"/>
      <c r="I335" s="391"/>
    </row>
    <row r="336" spans="1:9">
      <c r="D336" s="1265"/>
      <c r="E336" s="1265"/>
      <c r="F336" s="1265"/>
      <c r="I336" s="391"/>
    </row>
    <row r="337" spans="1:9">
      <c r="D337" s="1265"/>
      <c r="E337" s="1265"/>
      <c r="F337" s="1265"/>
      <c r="I337" s="391"/>
    </row>
    <row r="338" spans="1:9">
      <c r="D338" s="1265"/>
      <c r="E338" s="1265"/>
      <c r="F338" s="1265"/>
      <c r="I338" s="391"/>
    </row>
    <row r="339" spans="1:9">
      <c r="D339" s="1265"/>
      <c r="E339" s="1265"/>
      <c r="F339" s="1265"/>
      <c r="I339" s="391"/>
    </row>
    <row r="340" spans="1:9">
      <c r="D340" s="1265"/>
      <c r="E340" s="1265"/>
      <c r="F340" s="1265"/>
      <c r="I340" s="391"/>
    </row>
    <row r="341" spans="1:9">
      <c r="D341" s="1265"/>
      <c r="E341" s="1265"/>
      <c r="F341" s="1265"/>
      <c r="I341" s="391"/>
    </row>
    <row r="342" spans="1:9">
      <c r="D342" s="1265"/>
      <c r="E342" s="1265"/>
      <c r="F342" s="1265"/>
      <c r="I342" s="391"/>
    </row>
    <row r="343" spans="1:9">
      <c r="D343" s="348"/>
      <c r="E343" s="348"/>
      <c r="F343" s="348"/>
      <c r="I343" s="391"/>
    </row>
    <row r="344" spans="1:9" ht="14.25" customHeight="1">
      <c r="A344" s="385"/>
      <c r="B344" s="386" t="s">
        <v>316</v>
      </c>
      <c r="D344" s="1265" t="s">
        <v>406</v>
      </c>
      <c r="E344" s="1265"/>
      <c r="F344" s="1265"/>
      <c r="I344" s="391"/>
    </row>
    <row r="345" spans="1:9">
      <c r="D345" s="1265"/>
      <c r="E345" s="1265"/>
      <c r="F345" s="1265"/>
      <c r="I345" s="391"/>
    </row>
    <row r="346" spans="1:9">
      <c r="D346" s="1265"/>
      <c r="E346" s="1265"/>
      <c r="F346" s="1265"/>
      <c r="I346" s="391"/>
    </row>
    <row r="347" spans="1:9">
      <c r="D347" s="1265"/>
      <c r="E347" s="1265"/>
      <c r="F347" s="1265"/>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76" t="s">
        <v>408</v>
      </c>
      <c r="E351" s="1276"/>
      <c r="F351" s="1276"/>
      <c r="G351" s="913"/>
      <c r="H351" s="913"/>
      <c r="I351" s="1039"/>
    </row>
    <row r="352" spans="1:9" ht="13.5" thickTop="1">
      <c r="D352" s="1286" t="s">
        <v>409</v>
      </c>
      <c r="E352" s="1286"/>
      <c r="F352" s="1286"/>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67" t="s">
        <v>410</v>
      </c>
      <c r="E355" s="1267"/>
      <c r="F355" s="1267"/>
      <c r="I355" s="391"/>
    </row>
    <row r="356" spans="1:9" ht="12.75" customHeight="1">
      <c r="D356" s="923"/>
      <c r="E356" s="71" t="s">
        <v>411</v>
      </c>
      <c r="F356" s="923"/>
      <c r="I356" s="391"/>
    </row>
    <row r="357" spans="1:9">
      <c r="D357" s="1265" t="s">
        <v>412</v>
      </c>
      <c r="E357" s="1265"/>
      <c r="F357" s="1265"/>
      <c r="I357" s="391"/>
    </row>
    <row r="358" spans="1:9">
      <c r="D358" s="1265"/>
      <c r="E358" s="1265"/>
      <c r="F358" s="1265"/>
      <c r="I358" s="391"/>
    </row>
    <row r="359" spans="1:9">
      <c r="D359" s="1265"/>
      <c r="E359" s="1265"/>
      <c r="F359" s="1265"/>
      <c r="I359" s="391"/>
    </row>
    <row r="360" spans="1:9" ht="14.25">
      <c r="A360" s="385"/>
      <c r="B360" s="386" t="s">
        <v>316</v>
      </c>
      <c r="C360" s="377"/>
      <c r="D360" s="1275" t="s">
        <v>413</v>
      </c>
      <c r="E360" s="1275"/>
      <c r="F360" s="1275"/>
      <c r="I360" s="381"/>
    </row>
    <row r="361" spans="1:9">
      <c r="A361" s="377"/>
      <c r="B361" s="377"/>
      <c r="C361" s="377"/>
      <c r="D361" s="349"/>
      <c r="E361" s="349"/>
      <c r="F361" s="348"/>
      <c r="I361" s="391"/>
    </row>
    <row r="362" spans="1:9">
      <c r="A362" s="377"/>
      <c r="B362" s="386" t="s">
        <v>316</v>
      </c>
      <c r="C362" s="377"/>
      <c r="D362" s="1239" t="s">
        <v>414</v>
      </c>
      <c r="E362" s="1239"/>
      <c r="F362" s="1239"/>
      <c r="I362" s="391"/>
    </row>
    <row r="363" spans="1:9">
      <c r="A363" s="377"/>
      <c r="B363" s="377"/>
      <c r="C363" s="377"/>
      <c r="D363" s="1239"/>
      <c r="E363" s="1239"/>
      <c r="F363" s="1239"/>
      <c r="I363" s="391"/>
    </row>
    <row r="364" spans="1:9">
      <c r="A364" s="377"/>
      <c r="B364" s="377"/>
      <c r="C364" s="377"/>
      <c r="D364" s="1239"/>
      <c r="E364" s="1239"/>
      <c r="F364" s="1239"/>
      <c r="I364" s="391"/>
    </row>
    <row r="365" spans="1:9">
      <c r="A365" s="377"/>
      <c r="B365" s="377"/>
      <c r="C365" s="377"/>
      <c r="D365" s="1239"/>
      <c r="E365" s="1239"/>
      <c r="F365" s="1239"/>
      <c r="I365" s="391"/>
    </row>
    <row r="366" spans="1:9">
      <c r="A366" s="377"/>
      <c r="B366" s="377"/>
      <c r="C366" s="377"/>
      <c r="D366" s="1239"/>
      <c r="E366" s="1239"/>
      <c r="F366" s="1239"/>
      <c r="I366" s="391"/>
    </row>
    <row r="367" spans="1:9">
      <c r="A367" s="377"/>
      <c r="B367" s="377"/>
      <c r="C367" s="377"/>
      <c r="D367" s="1239"/>
      <c r="E367" s="1239"/>
      <c r="F367" s="1239"/>
      <c r="I367" s="391"/>
    </row>
    <row r="368" spans="1:9">
      <c r="A368" s="377"/>
      <c r="B368" s="377"/>
      <c r="C368" s="377"/>
      <c r="D368" s="1239"/>
      <c r="E368" s="1239"/>
      <c r="F368" s="1239"/>
      <c r="I368" s="391"/>
    </row>
    <row r="369" spans="1:9">
      <c r="A369" s="377"/>
      <c r="B369" s="377"/>
      <c r="C369" s="377"/>
      <c r="D369" s="1239"/>
      <c r="E369" s="1239"/>
      <c r="F369" s="1239"/>
      <c r="I369" s="391"/>
    </row>
    <row r="370" spans="1:9">
      <c r="A370" s="377"/>
      <c r="B370" s="377"/>
      <c r="C370" s="377"/>
      <c r="D370" s="1239"/>
      <c r="E370" s="1239"/>
      <c r="F370" s="1239"/>
      <c r="I370" s="391"/>
    </row>
    <row r="371" spans="1:9">
      <c r="A371" s="377"/>
      <c r="B371" s="377"/>
      <c r="C371" s="377"/>
      <c r="D371" s="1239"/>
      <c r="E371" s="1239"/>
      <c r="F371" s="1239"/>
      <c r="I371" s="391"/>
    </row>
    <row r="372" spans="1:9">
      <c r="A372" s="377"/>
      <c r="B372" s="377"/>
      <c r="C372" s="377"/>
      <c r="D372" s="1239"/>
      <c r="E372" s="1239"/>
      <c r="F372" s="1239"/>
      <c r="I372" s="391"/>
    </row>
    <row r="373" spans="1:9">
      <c r="A373" s="377"/>
      <c r="B373" s="377"/>
      <c r="C373" s="377"/>
      <c r="D373" s="1239"/>
      <c r="E373" s="1239"/>
      <c r="F373" s="1239"/>
      <c r="I373" s="391"/>
    </row>
    <row r="374" spans="1:9">
      <c r="A374" s="377"/>
      <c r="B374" s="377"/>
      <c r="C374" s="377"/>
      <c r="D374" s="353"/>
      <c r="E374" s="353"/>
      <c r="F374" s="353"/>
      <c r="I374" s="391"/>
    </row>
    <row r="375" spans="1:9" ht="12.6" customHeight="1">
      <c r="A375" s="377"/>
      <c r="B375" s="386" t="s">
        <v>316</v>
      </c>
      <c r="C375" s="377"/>
      <c r="D375" s="1245" t="s">
        <v>415</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39" t="s">
        <v>422</v>
      </c>
      <c r="E387" s="1239"/>
      <c r="F387" s="1239"/>
      <c r="I387" s="391"/>
    </row>
    <row r="388" spans="1:9">
      <c r="A388" s="377"/>
      <c r="B388" s="377"/>
      <c r="C388" s="377"/>
      <c r="D388" s="1239"/>
      <c r="E388" s="1239"/>
      <c r="F388" s="1239"/>
      <c r="I388" s="391"/>
    </row>
    <row r="389" spans="1:9">
      <c r="A389" s="377"/>
      <c r="B389" s="377"/>
      <c r="C389" s="377"/>
      <c r="D389" s="1239"/>
      <c r="E389" s="1239"/>
      <c r="F389" s="1239"/>
      <c r="I389" s="391"/>
    </row>
    <row r="390" spans="1:9">
      <c r="A390" s="377"/>
      <c r="B390" s="377"/>
      <c r="C390" s="377"/>
      <c r="D390" s="1239"/>
      <c r="E390" s="1239"/>
      <c r="F390" s="1239"/>
      <c r="I390" s="391"/>
    </row>
    <row r="391" spans="1:9">
      <c r="A391" s="377"/>
      <c r="B391" s="377"/>
      <c r="C391" s="377"/>
      <c r="D391" s="349"/>
      <c r="E391" s="349"/>
      <c r="F391" s="348"/>
      <c r="I391" s="391"/>
    </row>
    <row r="392" spans="1:9">
      <c r="A392" s="377"/>
      <c r="B392" s="377"/>
      <c r="C392" s="377"/>
      <c r="D392" s="1239" t="s">
        <v>423</v>
      </c>
      <c r="E392" s="1239"/>
      <c r="F392" s="1239"/>
      <c r="I392" s="391"/>
    </row>
    <row r="393" spans="1:9">
      <c r="A393" s="377"/>
      <c r="B393" s="377"/>
      <c r="C393" s="377"/>
      <c r="D393" s="1239"/>
      <c r="E393" s="1239"/>
      <c r="F393" s="1239"/>
      <c r="I393" s="391"/>
    </row>
    <row r="394" spans="1:9">
      <c r="A394" s="377"/>
      <c r="B394" s="377"/>
      <c r="C394" s="377"/>
      <c r="D394" s="1239"/>
      <c r="E394" s="1239"/>
      <c r="F394" s="1239"/>
      <c r="I394" s="391"/>
    </row>
    <row r="395" spans="1:9">
      <c r="A395" s="377"/>
      <c r="B395" s="377"/>
      <c r="C395" s="377"/>
      <c r="D395" s="1239"/>
      <c r="E395" s="1239"/>
      <c r="F395" s="1239"/>
      <c r="I395" s="391"/>
    </row>
    <row r="396" spans="1:9" ht="18" customHeight="1">
      <c r="A396" s="377"/>
      <c r="B396" s="377"/>
      <c r="C396" s="377"/>
      <c r="D396" s="1239"/>
      <c r="E396" s="1239"/>
      <c r="F396" s="1239"/>
      <c r="I396" s="391"/>
    </row>
    <row r="397" spans="1:9">
      <c r="A397" s="377"/>
      <c r="B397" s="377"/>
      <c r="C397" s="377"/>
      <c r="D397" s="1239"/>
      <c r="E397" s="1239"/>
      <c r="F397" s="1239"/>
      <c r="I397" s="391"/>
    </row>
    <row r="398" spans="1:9">
      <c r="A398" s="377"/>
      <c r="B398" s="377"/>
      <c r="C398" s="377"/>
      <c r="D398" s="1239"/>
      <c r="E398" s="1239"/>
      <c r="F398" s="1239"/>
      <c r="I398" s="391"/>
    </row>
    <row r="399" spans="1:9">
      <c r="A399" s="377"/>
      <c r="B399" s="377"/>
      <c r="C399" s="377"/>
      <c r="D399" s="1239"/>
      <c r="E399" s="1239"/>
      <c r="F399" s="1239"/>
      <c r="I399" s="391"/>
    </row>
    <row r="400" spans="1:9" ht="8.25" customHeight="1">
      <c r="A400" s="377"/>
      <c r="B400" s="377"/>
      <c r="C400" s="377"/>
      <c r="D400" s="1239"/>
      <c r="E400" s="1239"/>
      <c r="F400" s="1239"/>
      <c r="I400" s="391"/>
    </row>
    <row r="401" spans="1:9" ht="13.7" customHeight="1">
      <c r="A401" s="377"/>
      <c r="B401" s="377"/>
      <c r="C401" s="377"/>
      <c r="D401" s="1239" t="s">
        <v>424</v>
      </c>
      <c r="E401" s="1239"/>
      <c r="F401" s="1239"/>
      <c r="I401" s="391"/>
    </row>
    <row r="402" spans="1:9">
      <c r="A402" s="377"/>
      <c r="B402" s="377"/>
      <c r="C402" s="377"/>
      <c r="D402" s="1239"/>
      <c r="E402" s="1239"/>
      <c r="F402" s="1239"/>
      <c r="I402" s="391"/>
    </row>
    <row r="403" spans="1:9">
      <c r="A403" s="377"/>
      <c r="B403" s="377"/>
      <c r="C403" s="377"/>
      <c r="D403" s="1239"/>
      <c r="E403" s="1239"/>
      <c r="F403" s="1239"/>
      <c r="I403" s="391"/>
    </row>
    <row r="404" spans="1:9">
      <c r="A404" s="377"/>
      <c r="B404" s="377"/>
      <c r="C404" s="377"/>
      <c r="D404" s="1239"/>
      <c r="E404" s="1239"/>
      <c r="F404" s="1239"/>
      <c r="I404" s="391"/>
    </row>
    <row r="405" spans="1:9">
      <c r="A405" s="377"/>
      <c r="B405" s="377"/>
      <c r="C405" s="377"/>
      <c r="D405" s="1239"/>
      <c r="E405" s="1239"/>
      <c r="F405" s="1239"/>
      <c r="I405" s="391"/>
    </row>
    <row r="406" spans="1:9">
      <c r="A406" s="377"/>
      <c r="B406" s="377"/>
      <c r="C406" s="377"/>
      <c r="D406" s="1239"/>
      <c r="E406" s="1239"/>
      <c r="F406" s="1239"/>
      <c r="I406" s="391"/>
    </row>
    <row r="407" spans="1:9">
      <c r="A407" s="377"/>
      <c r="B407" s="377"/>
      <c r="C407" s="377"/>
      <c r="D407" s="1239"/>
      <c r="E407" s="1239"/>
      <c r="F407" s="1239"/>
      <c r="I407" s="391"/>
    </row>
    <row r="408" spans="1:9">
      <c r="A408" s="377"/>
      <c r="B408" s="377"/>
      <c r="C408" s="377"/>
      <c r="D408" s="1239"/>
      <c r="E408" s="1239"/>
      <c r="F408" s="1239"/>
      <c r="I408" s="391"/>
    </row>
    <row r="409" spans="1:9">
      <c r="A409" s="377"/>
      <c r="B409" s="377"/>
      <c r="C409" s="377"/>
      <c r="D409" s="1239"/>
      <c r="E409" s="1239"/>
      <c r="F409" s="1239"/>
      <c r="I409" s="391"/>
    </row>
    <row r="410" spans="1:9">
      <c r="A410" s="377"/>
      <c r="B410" s="377"/>
      <c r="C410" s="377"/>
      <c r="D410" s="1239"/>
      <c r="E410" s="1239"/>
      <c r="F410" s="1239"/>
      <c r="I410" s="391"/>
    </row>
    <row r="411" spans="1:9">
      <c r="A411" s="377"/>
      <c r="B411" s="377"/>
      <c r="C411" s="377"/>
      <c r="D411" s="1239"/>
      <c r="E411" s="1239"/>
      <c r="F411" s="1239"/>
      <c r="I411" s="391"/>
    </row>
    <row r="412" spans="1:9">
      <c r="A412" s="377"/>
      <c r="B412" s="377"/>
      <c r="C412" s="377"/>
      <c r="D412" s="1239"/>
      <c r="E412" s="1239"/>
      <c r="F412" s="1239"/>
      <c r="I412" s="391"/>
    </row>
    <row r="413" spans="1:9">
      <c r="A413" s="377"/>
      <c r="B413" s="377"/>
      <c r="C413" s="397"/>
      <c r="D413" s="1239"/>
      <c r="E413" s="1239"/>
      <c r="F413" s="1239"/>
      <c r="I413" s="391"/>
    </row>
    <row r="414" spans="1:9">
      <c r="A414" s="377"/>
      <c r="B414" s="377"/>
      <c r="C414" s="397"/>
      <c r="D414" s="1239"/>
      <c r="E414" s="1239"/>
      <c r="F414" s="1239"/>
      <c r="I414" s="391"/>
    </row>
    <row r="415" spans="1:9">
      <c r="A415" s="377"/>
      <c r="B415" s="377"/>
      <c r="C415" s="377"/>
      <c r="D415" s="1239"/>
      <c r="E415" s="1239"/>
      <c r="F415" s="1239"/>
      <c r="I415" s="391"/>
    </row>
    <row r="416" spans="1:9">
      <c r="A416" s="377"/>
      <c r="B416" s="377"/>
      <c r="C416" s="397"/>
      <c r="D416" s="1239"/>
      <c r="E416" s="1239"/>
      <c r="F416" s="1239"/>
      <c r="I416" s="391"/>
    </row>
    <row r="417" spans="1:9">
      <c r="A417" s="377"/>
      <c r="B417" s="377"/>
      <c r="C417" s="397"/>
      <c r="D417" s="1239"/>
      <c r="E417" s="1239"/>
      <c r="F417" s="1239"/>
      <c r="I417" s="391"/>
    </row>
    <row r="418" spans="1:9">
      <c r="A418" s="377"/>
      <c r="B418" s="377"/>
      <c r="C418" s="397"/>
      <c r="D418" s="1239"/>
      <c r="E418" s="1239"/>
      <c r="F418" s="1239"/>
      <c r="I418" s="391"/>
    </row>
    <row r="419" spans="1:9">
      <c r="A419" s="377"/>
      <c r="B419" s="377"/>
      <c r="C419" s="377"/>
      <c r="D419" s="349"/>
      <c r="E419" s="349"/>
      <c r="F419" s="348"/>
      <c r="I419" s="391"/>
    </row>
    <row r="420" spans="1:9">
      <c r="A420" s="377"/>
      <c r="B420" s="386" t="s">
        <v>316</v>
      </c>
      <c r="C420" s="377"/>
      <c r="D420" s="1239" t="s">
        <v>425</v>
      </c>
      <c r="E420" s="1239"/>
      <c r="F420" s="1239"/>
      <c r="I420" s="391"/>
    </row>
    <row r="421" spans="1:9">
      <c r="A421" s="377"/>
      <c r="B421" s="377"/>
      <c r="C421" s="377"/>
      <c r="D421" s="1239"/>
      <c r="E421" s="1239"/>
      <c r="F421" s="1239"/>
      <c r="I421" s="391"/>
    </row>
    <row r="422" spans="1:9">
      <c r="A422" s="377"/>
      <c r="B422" s="377"/>
      <c r="C422" s="377"/>
      <c r="D422" s="353"/>
      <c r="E422" s="353"/>
      <c r="F422" s="353"/>
      <c r="I422" s="391"/>
    </row>
    <row r="423" spans="1:9" ht="14.45" customHeight="1">
      <c r="A423" s="385"/>
      <c r="B423" s="386" t="s">
        <v>316</v>
      </c>
      <c r="D423" s="1239" t="s">
        <v>426</v>
      </c>
      <c r="E423" s="1239"/>
      <c r="F423" s="1239"/>
      <c r="I423" s="391"/>
    </row>
    <row r="424" spans="1:9" ht="14.45" customHeight="1">
      <c r="A424" s="385"/>
      <c r="D424" s="1239"/>
      <c r="E424" s="1239"/>
      <c r="F424" s="1239"/>
      <c r="I424" s="391"/>
    </row>
    <row r="425" spans="1:9" ht="14.45" customHeight="1">
      <c r="A425" s="385"/>
      <c r="D425" s="1239"/>
      <c r="E425" s="1239"/>
      <c r="F425" s="1239"/>
      <c r="I425" s="391"/>
    </row>
    <row r="426" spans="1:9" ht="14.45" customHeight="1">
      <c r="A426" s="385"/>
      <c r="D426" s="1239"/>
      <c r="E426" s="1239"/>
      <c r="F426" s="1239"/>
      <c r="I426" s="391"/>
    </row>
    <row r="427" spans="1:9" ht="14.45" customHeight="1">
      <c r="A427" s="385"/>
      <c r="D427" s="1239"/>
      <c r="E427" s="1239"/>
      <c r="F427" s="1239"/>
      <c r="I427" s="391"/>
    </row>
    <row r="428" spans="1:9" ht="14.45" customHeight="1">
      <c r="A428" s="385"/>
      <c r="D428" s="288"/>
      <c r="E428" s="288"/>
      <c r="F428" s="288"/>
      <c r="I428" s="391"/>
    </row>
    <row r="429" spans="1:9" ht="13.7" customHeight="1">
      <c r="A429" s="385"/>
      <c r="B429" s="386" t="s">
        <v>316</v>
      </c>
      <c r="C429" s="377"/>
      <c r="D429" s="1239" t="s">
        <v>427</v>
      </c>
      <c r="E429" s="1239"/>
      <c r="F429" s="1239"/>
      <c r="I429" s="391"/>
    </row>
    <row r="430" spans="1:9" ht="14.25">
      <c r="A430" s="398"/>
      <c r="B430" s="398"/>
      <c r="C430" s="377"/>
      <c r="D430" s="1239"/>
      <c r="E430" s="1239"/>
      <c r="F430" s="1239"/>
      <c r="I430" s="391"/>
    </row>
    <row r="431" spans="1:9" ht="14.25">
      <c r="A431" s="398"/>
      <c r="B431" s="398"/>
      <c r="C431" s="377"/>
      <c r="D431" s="1239"/>
      <c r="E431" s="1239"/>
      <c r="F431" s="1239"/>
      <c r="I431" s="391"/>
    </row>
    <row r="432" spans="1:9" ht="14.25">
      <c r="A432" s="398"/>
      <c r="B432" s="398"/>
      <c r="C432" s="377"/>
      <c r="D432" s="1239"/>
      <c r="E432" s="1239"/>
      <c r="F432" s="1239"/>
      <c r="I432" s="391"/>
    </row>
    <row r="433" spans="1:9" ht="15.75" customHeight="1">
      <c r="A433" s="398"/>
      <c r="B433" s="398"/>
      <c r="C433" s="377"/>
      <c r="D433" s="1296" t="s">
        <v>428</v>
      </c>
      <c r="E433" s="1239"/>
      <c r="F433" s="1239"/>
      <c r="I433" s="391"/>
    </row>
    <row r="434" spans="1:9">
      <c r="D434" s="348"/>
      <c r="E434" s="348"/>
      <c r="F434" s="348"/>
      <c r="I434" s="391"/>
    </row>
    <row r="435" spans="1:9" ht="14.25">
      <c r="A435" s="385"/>
      <c r="B435" s="386" t="s">
        <v>316</v>
      </c>
      <c r="C435" s="388"/>
      <c r="D435" s="1265" t="s">
        <v>429</v>
      </c>
      <c r="E435" s="1265"/>
      <c r="F435" s="1265"/>
      <c r="I435" s="391"/>
    </row>
    <row r="436" spans="1:9" ht="14.25">
      <c r="A436" s="385"/>
      <c r="B436" s="385"/>
      <c r="D436" s="1265"/>
      <c r="E436" s="1265"/>
      <c r="F436" s="1265"/>
      <c r="I436" s="391"/>
    </row>
    <row r="437" spans="1:9">
      <c r="D437" s="1265"/>
      <c r="E437" s="1265"/>
      <c r="F437" s="1265"/>
      <c r="I437" s="391"/>
    </row>
    <row r="438" spans="1:9">
      <c r="D438" s="1265"/>
      <c r="E438" s="1265"/>
      <c r="F438" s="1265"/>
      <c r="I438" s="391"/>
    </row>
    <row r="439" spans="1:9">
      <c r="D439" s="1265"/>
      <c r="E439" s="1265"/>
      <c r="F439" s="1265"/>
      <c r="I439" s="391"/>
    </row>
    <row r="440" spans="1:9">
      <c r="D440" s="1265"/>
      <c r="E440" s="1265"/>
      <c r="F440" s="1265"/>
      <c r="I440" s="391"/>
    </row>
    <row r="441" spans="1:9">
      <c r="D441" s="1265"/>
      <c r="E441" s="1265"/>
      <c r="F441" s="1265"/>
      <c r="I441" s="391"/>
    </row>
    <row r="442" spans="1:9">
      <c r="D442" s="1265"/>
      <c r="E442" s="1265"/>
      <c r="F442" s="1265"/>
      <c r="I442" s="391"/>
    </row>
    <row r="443" spans="1:9">
      <c r="D443" s="1265"/>
      <c r="E443" s="1265"/>
      <c r="F443" s="1265"/>
      <c r="I443" s="391"/>
    </row>
    <row r="444" spans="1:9">
      <c r="D444" s="1265"/>
      <c r="E444" s="1265"/>
      <c r="F444" s="1265"/>
      <c r="I444" s="391"/>
    </row>
    <row r="445" spans="1:9">
      <c r="D445" s="1265"/>
      <c r="E445" s="1265"/>
      <c r="F445" s="1265"/>
      <c r="I445" s="391"/>
    </row>
    <row r="446" spans="1:9">
      <c r="D446" s="1265"/>
      <c r="E446" s="1265"/>
      <c r="F446" s="1265"/>
      <c r="I446" s="391"/>
    </row>
    <row r="447" spans="1:9">
      <c r="D447" s="1265"/>
      <c r="E447" s="1265"/>
      <c r="F447" s="1265"/>
      <c r="I447" s="391"/>
    </row>
    <row r="448" spans="1:9">
      <c r="A448" s="305"/>
      <c r="B448" s="305"/>
      <c r="C448" s="305"/>
      <c r="D448" s="1265"/>
      <c r="E448" s="1265"/>
      <c r="F448" s="1265"/>
      <c r="I448" s="391"/>
    </row>
    <row r="449" spans="1:9">
      <c r="A449" s="305"/>
      <c r="B449" s="305"/>
      <c r="C449" s="305"/>
      <c r="D449" s="1265"/>
      <c r="E449" s="1265"/>
      <c r="F449" s="1265"/>
      <c r="I449" s="391"/>
    </row>
    <row r="450" spans="1:9">
      <c r="A450" s="305"/>
      <c r="B450" s="305"/>
      <c r="C450" s="305"/>
      <c r="D450" s="1265"/>
      <c r="E450" s="1265"/>
      <c r="F450" s="1265"/>
      <c r="I450" s="391"/>
    </row>
    <row r="451" spans="1:9">
      <c r="A451" s="305"/>
      <c r="B451" s="305"/>
      <c r="C451" s="305"/>
      <c r="D451" s="1265"/>
      <c r="E451" s="1265"/>
      <c r="F451" s="1265"/>
      <c r="I451" s="391"/>
    </row>
    <row r="452" spans="1:9">
      <c r="A452" s="305"/>
      <c r="B452" s="305"/>
      <c r="C452" s="305"/>
      <c r="D452" s="1265"/>
      <c r="E452" s="1265"/>
      <c r="F452" s="1265"/>
      <c r="I452" s="391"/>
    </row>
    <row r="453" spans="1:9">
      <c r="A453" s="305"/>
      <c r="B453" s="305"/>
      <c r="C453" s="305"/>
      <c r="D453" s="1265"/>
      <c r="E453" s="1265"/>
      <c r="F453" s="1265"/>
      <c r="I453" s="391"/>
    </row>
    <row r="454" spans="1:9">
      <c r="A454" s="305"/>
      <c r="B454" s="305"/>
      <c r="C454" s="305"/>
      <c r="D454" s="1265"/>
      <c r="E454" s="1265"/>
      <c r="F454" s="1265"/>
      <c r="I454" s="391"/>
    </row>
    <row r="455" spans="1:9">
      <c r="A455" s="305"/>
      <c r="B455" s="305"/>
      <c r="C455" s="305"/>
      <c r="D455" s="1265"/>
      <c r="E455" s="1265"/>
      <c r="F455" s="1265"/>
      <c r="I455" s="391"/>
    </row>
    <row r="456" spans="1:9">
      <c r="A456" s="305"/>
      <c r="B456" s="305"/>
      <c r="C456" s="305"/>
      <c r="D456" s="1265"/>
      <c r="E456" s="1265"/>
      <c r="F456" s="1265"/>
      <c r="I456" s="391"/>
    </row>
    <row r="457" spans="1:9">
      <c r="A457" s="305"/>
      <c r="B457" s="305"/>
      <c r="C457" s="305"/>
      <c r="D457" s="1265"/>
      <c r="E457" s="1265"/>
      <c r="F457" s="1265"/>
      <c r="I457" s="391"/>
    </row>
    <row r="458" spans="1:9">
      <c r="A458" s="305"/>
      <c r="B458" s="305"/>
      <c r="C458" s="305"/>
      <c r="D458" s="1265"/>
      <c r="E458" s="1265"/>
      <c r="F458" s="1265"/>
      <c r="I458" s="391"/>
    </row>
    <row r="459" spans="1:9">
      <c r="A459" s="305"/>
      <c r="B459" s="305"/>
      <c r="C459" s="305"/>
      <c r="D459" s="1265"/>
      <c r="E459" s="1265"/>
      <c r="F459" s="1265"/>
      <c r="I459" s="391"/>
    </row>
    <row r="460" spans="1:9">
      <c r="A460" s="305"/>
      <c r="B460" s="305"/>
      <c r="C460" s="305"/>
      <c r="D460" s="1265"/>
      <c r="E460" s="1265"/>
      <c r="F460" s="1265"/>
      <c r="I460" s="391"/>
    </row>
    <row r="461" spans="1:9">
      <c r="A461" s="305"/>
      <c r="B461" s="305"/>
      <c r="C461" s="305"/>
      <c r="D461" s="1265"/>
      <c r="E461" s="1265"/>
      <c r="F461" s="1265"/>
      <c r="I461" s="391"/>
    </row>
    <row r="462" spans="1:9">
      <c r="A462" s="305"/>
      <c r="B462" s="305"/>
      <c r="C462" s="305"/>
      <c r="D462" s="1265"/>
      <c r="E462" s="1265"/>
      <c r="F462" s="1265"/>
      <c r="I462" s="391"/>
    </row>
    <row r="463" spans="1:9">
      <c r="A463" s="305"/>
      <c r="B463" s="305"/>
      <c r="C463" s="305"/>
      <c r="D463" s="1265"/>
      <c r="E463" s="1265"/>
      <c r="F463" s="1265"/>
      <c r="I463" s="391"/>
    </row>
    <row r="464" spans="1:9">
      <c r="D464" s="1265"/>
      <c r="E464" s="1265"/>
      <c r="F464" s="1265"/>
      <c r="I464" s="391"/>
    </row>
    <row r="465" spans="1:9" ht="40.700000000000003" customHeight="1">
      <c r="D465" s="1265"/>
      <c r="E465" s="1265"/>
      <c r="F465" s="1265"/>
      <c r="I465" s="391"/>
    </row>
    <row r="466" spans="1:9">
      <c r="D466" s="348"/>
      <c r="E466" s="348"/>
      <c r="F466" s="348"/>
      <c r="I466" s="391"/>
    </row>
    <row r="467" spans="1:9" ht="14.25">
      <c r="A467" s="385"/>
      <c r="B467" s="386" t="s">
        <v>316</v>
      </c>
      <c r="C467" s="388"/>
      <c r="D467" s="1265" t="s">
        <v>430</v>
      </c>
      <c r="E467" s="1265"/>
      <c r="F467" s="1265"/>
      <c r="I467" s="391"/>
    </row>
    <row r="468" spans="1:9">
      <c r="D468" s="1265"/>
      <c r="E468" s="1265"/>
      <c r="F468" s="1265"/>
      <c r="I468" s="391"/>
    </row>
    <row r="469" spans="1:9">
      <c r="D469" s="1265"/>
      <c r="E469" s="1265"/>
      <c r="F469" s="1265"/>
      <c r="I469" s="391"/>
    </row>
    <row r="470" spans="1:9">
      <c r="D470" s="347"/>
      <c r="E470" s="347"/>
      <c r="F470" s="347"/>
      <c r="I470" s="391"/>
    </row>
    <row r="471" spans="1:9" ht="14.25">
      <c r="B471" s="386" t="s">
        <v>316</v>
      </c>
      <c r="C471" s="385"/>
      <c r="D471" s="1265" t="s">
        <v>431</v>
      </c>
      <c r="E471" s="1265"/>
      <c r="F471" s="1265"/>
      <c r="I471" s="391"/>
    </row>
    <row r="472" spans="1:9">
      <c r="D472" s="1265"/>
      <c r="E472" s="1265"/>
      <c r="F472" s="1265"/>
      <c r="I472" s="391"/>
    </row>
    <row r="473" spans="1:9">
      <c r="D473" s="348"/>
      <c r="E473" s="348"/>
      <c r="F473" s="348"/>
      <c r="I473" s="391"/>
    </row>
    <row r="474" spans="1:9" ht="14.25">
      <c r="B474" s="386" t="s">
        <v>316</v>
      </c>
      <c r="C474" s="385"/>
      <c r="D474" s="1265" t="s">
        <v>432</v>
      </c>
      <c r="E474" s="1265"/>
      <c r="F474" s="1265"/>
      <c r="I474" s="391"/>
    </row>
    <row r="475" spans="1:9">
      <c r="D475" s="1265"/>
      <c r="E475" s="1265"/>
      <c r="F475" s="1265"/>
      <c r="I475" s="391"/>
    </row>
    <row r="476" spans="1:9">
      <c r="D476" s="1265"/>
      <c r="E476" s="1265"/>
      <c r="F476" s="1265"/>
      <c r="I476" s="391"/>
    </row>
    <row r="477" spans="1:9">
      <c r="D477" s="1265"/>
      <c r="E477" s="1265"/>
      <c r="F477" s="1265"/>
      <c r="I477" s="391"/>
    </row>
    <row r="478" spans="1:9">
      <c r="B478" s="386" t="s">
        <v>316</v>
      </c>
      <c r="D478" s="1265"/>
      <c r="E478" s="1265"/>
      <c r="F478" s="1265"/>
      <c r="I478" s="391"/>
    </row>
    <row r="479" spans="1:9">
      <c r="A479" s="305"/>
      <c r="B479" s="305"/>
      <c r="C479" s="305"/>
      <c r="D479" s="1265"/>
      <c r="E479" s="1265"/>
      <c r="F479" s="1265"/>
      <c r="I479" s="391"/>
    </row>
    <row r="480" spans="1:9">
      <c r="A480" s="305"/>
      <c r="C480" s="305"/>
      <c r="D480" s="1265"/>
      <c r="E480" s="1265"/>
      <c r="F480" s="1265"/>
      <c r="I480" s="391"/>
    </row>
    <row r="481" spans="1:9">
      <c r="A481" s="305"/>
      <c r="B481" s="386" t="s">
        <v>316</v>
      </c>
      <c r="C481" s="305"/>
      <c r="D481" s="1265"/>
      <c r="E481" s="1265"/>
      <c r="F481" s="1265"/>
      <c r="I481" s="391"/>
    </row>
    <row r="482" spans="1:9">
      <c r="A482" s="305"/>
      <c r="B482" s="305"/>
      <c r="C482" s="305"/>
      <c r="D482" s="1265"/>
      <c r="E482" s="1265"/>
      <c r="F482" s="1265"/>
      <c r="I482" s="391"/>
    </row>
    <row r="483" spans="1:9">
      <c r="A483" s="305"/>
      <c r="C483" s="305"/>
      <c r="D483" s="1265"/>
      <c r="E483" s="1265"/>
      <c r="F483" s="1265"/>
      <c r="I483" s="391"/>
    </row>
    <row r="484" spans="1:9">
      <c r="A484" s="305"/>
      <c r="C484" s="305"/>
      <c r="D484" s="1265"/>
      <c r="E484" s="1265"/>
      <c r="F484" s="1265"/>
      <c r="I484" s="391"/>
    </row>
    <row r="485" spans="1:9">
      <c r="A485" s="305"/>
      <c r="C485" s="305"/>
      <c r="D485" s="1265"/>
      <c r="E485" s="1265"/>
      <c r="F485" s="1265"/>
      <c r="I485" s="391"/>
    </row>
    <row r="486" spans="1:9">
      <c r="A486" s="305"/>
      <c r="B486" s="386" t="s">
        <v>316</v>
      </c>
      <c r="C486" s="305"/>
      <c r="D486" s="1265"/>
      <c r="E486" s="1265"/>
      <c r="F486" s="1265"/>
      <c r="I486" s="391"/>
    </row>
    <row r="487" spans="1:9">
      <c r="A487" s="305"/>
      <c r="C487" s="305"/>
      <c r="D487" s="1265"/>
      <c r="E487" s="1265"/>
      <c r="F487" s="1265"/>
      <c r="I487" s="391"/>
    </row>
    <row r="488" spans="1:9">
      <c r="A488" s="305"/>
      <c r="B488" s="386" t="s">
        <v>316</v>
      </c>
      <c r="C488" s="305"/>
      <c r="D488" s="1265" t="s">
        <v>433</v>
      </c>
      <c r="E488" s="1265"/>
      <c r="F488" s="1265"/>
      <c r="I488" s="391"/>
    </row>
    <row r="489" spans="1:9">
      <c r="A489" s="305"/>
      <c r="B489" s="305"/>
      <c r="C489" s="305"/>
      <c r="D489" s="1265"/>
      <c r="E489" s="1265"/>
      <c r="F489" s="1265"/>
      <c r="I489" s="391"/>
    </row>
    <row r="490" spans="1:9">
      <c r="A490" s="305"/>
      <c r="B490" s="305"/>
      <c r="C490" s="305"/>
      <c r="D490" s="1265"/>
      <c r="E490" s="1265"/>
      <c r="F490" s="1265"/>
      <c r="I490" s="391"/>
    </row>
    <row r="491" spans="1:9">
      <c r="A491" s="305"/>
      <c r="B491" s="305"/>
      <c r="C491" s="305"/>
      <c r="D491" s="1265"/>
      <c r="E491" s="1265"/>
      <c r="F491" s="1265"/>
      <c r="I491" s="391"/>
    </row>
    <row r="492" spans="1:9">
      <c r="D492" s="1265"/>
      <c r="E492" s="1265"/>
      <c r="F492" s="1265"/>
      <c r="I492" s="391"/>
    </row>
    <row r="493" spans="1:9">
      <c r="D493" s="348"/>
      <c r="E493" s="348"/>
      <c r="F493" s="348"/>
      <c r="I493" s="391"/>
    </row>
    <row r="494" spans="1:9">
      <c r="B494" s="386" t="s">
        <v>316</v>
      </c>
      <c r="D494" s="1267" t="s">
        <v>434</v>
      </c>
      <c r="E494" s="1267"/>
      <c r="F494" s="1267"/>
      <c r="I494" s="391"/>
    </row>
    <row r="495" spans="1:9">
      <c r="A495" s="348"/>
      <c r="B495" s="348"/>
      <c r="I495" s="391"/>
    </row>
    <row r="496" spans="1:9">
      <c r="A496" s="1266" t="s">
        <v>435</v>
      </c>
      <c r="B496" s="1266"/>
      <c r="C496" s="1266"/>
      <c r="D496" s="1266"/>
      <c r="E496" s="1266"/>
      <c r="F496" s="1266"/>
      <c r="G496" s="1266"/>
      <c r="H496" s="914"/>
      <c r="I496" s="1036"/>
    </row>
    <row r="497" spans="1:9">
      <c r="A497" s="348"/>
      <c r="B497" s="348"/>
      <c r="I497" s="391"/>
    </row>
    <row r="498" spans="1:9">
      <c r="D498" s="1295" t="s">
        <v>436</v>
      </c>
      <c r="E498" s="1295"/>
      <c r="F498" s="1295"/>
      <c r="I498" s="391"/>
    </row>
    <row r="499" spans="1:9" ht="14.25">
      <c r="A499" s="385"/>
      <c r="B499" s="385"/>
      <c r="D499" s="1275" t="s">
        <v>437</v>
      </c>
      <c r="E499" s="1275"/>
      <c r="F499" s="1275"/>
      <c r="I499" s="391"/>
    </row>
    <row r="500" spans="1:9" ht="14.25">
      <c r="A500" s="385"/>
      <c r="B500" s="385"/>
      <c r="D500" s="349"/>
      <c r="I500" s="391"/>
    </row>
    <row r="501" spans="1:9" ht="14.25">
      <c r="A501" s="385"/>
      <c r="B501" s="386" t="s">
        <v>316</v>
      </c>
      <c r="D501" s="1239" t="s">
        <v>438</v>
      </c>
      <c r="E501" s="1239"/>
      <c r="F501" s="1239"/>
      <c r="I501" s="391"/>
    </row>
    <row r="502" spans="1:9" ht="14.25">
      <c r="A502" s="385"/>
      <c r="B502" s="385"/>
      <c r="D502" s="1239"/>
      <c r="E502" s="1239"/>
      <c r="F502" s="1239"/>
      <c r="I502" s="391"/>
    </row>
    <row r="503" spans="1:9" ht="14.25">
      <c r="A503" s="385"/>
      <c r="B503" s="385"/>
      <c r="D503" s="348"/>
      <c r="I503" s="391"/>
    </row>
    <row r="504" spans="1:9" ht="12.75" customHeight="1">
      <c r="B504" s="386" t="s">
        <v>316</v>
      </c>
      <c r="D504" s="1281" t="s">
        <v>439</v>
      </c>
      <c r="E504" s="1281"/>
      <c r="F504" s="1281"/>
      <c r="I504" s="391"/>
    </row>
    <row r="505" spans="1:9" ht="14.25">
      <c r="A505" s="385"/>
      <c r="D505" s="1281"/>
      <c r="E505" s="1281"/>
      <c r="F505" s="1281"/>
      <c r="I505" s="391"/>
    </row>
    <row r="506" spans="1:9" ht="14.25">
      <c r="A506" s="385"/>
      <c r="B506" s="385"/>
      <c r="D506" s="1281"/>
      <c r="E506" s="1281"/>
      <c r="F506" s="1281"/>
      <c r="I506" s="391"/>
    </row>
    <row r="507" spans="1:9" ht="14.25">
      <c r="A507" s="385"/>
      <c r="B507" s="385"/>
      <c r="D507" s="1281"/>
      <c r="E507" s="1281"/>
      <c r="F507" s="1281"/>
      <c r="I507" s="391"/>
    </row>
    <row r="508" spans="1:9" ht="14.25">
      <c r="A508" s="385"/>
      <c r="D508" s="420"/>
      <c r="E508" s="420"/>
      <c r="F508" s="420"/>
      <c r="I508" s="391"/>
    </row>
    <row r="509" spans="1:9" ht="14.25">
      <c r="A509" s="385"/>
      <c r="B509" s="386" t="s">
        <v>316</v>
      </c>
      <c r="D509" s="1267" t="s">
        <v>440</v>
      </c>
      <c r="E509" s="1267"/>
      <c r="F509" s="1267"/>
      <c r="I509" s="391"/>
    </row>
    <row r="510" spans="1:9" ht="14.25">
      <c r="A510" s="385"/>
      <c r="B510" s="385"/>
      <c r="D510" s="348"/>
      <c r="I510" s="391"/>
    </row>
    <row r="511" spans="1:9" ht="14.25">
      <c r="A511" s="385"/>
      <c r="B511" s="386" t="s">
        <v>316</v>
      </c>
      <c r="D511" s="1265" t="s">
        <v>441</v>
      </c>
      <c r="E511" s="1265"/>
      <c r="F511" s="1265"/>
      <c r="I511" s="391"/>
    </row>
    <row r="512" spans="1:9" ht="14.25">
      <c r="A512" s="385"/>
      <c r="D512" s="1265"/>
      <c r="E512" s="1265"/>
      <c r="F512" s="1265"/>
      <c r="I512" s="391"/>
    </row>
    <row r="513" spans="1:9">
      <c r="A513" s="391"/>
      <c r="B513" s="391"/>
      <c r="D513" s="349"/>
      <c r="I513" s="391"/>
    </row>
    <row r="514" spans="1:9">
      <c r="A514" s="391"/>
      <c r="B514" s="386" t="s">
        <v>316</v>
      </c>
      <c r="D514" s="1267" t="s">
        <v>442</v>
      </c>
      <c r="E514" s="1267"/>
      <c r="F514" s="1267"/>
      <c r="I514" s="391"/>
    </row>
    <row r="515" spans="1:9">
      <c r="D515" s="348"/>
      <c r="E515" s="348"/>
      <c r="F515" s="348"/>
      <c r="I515" s="391"/>
    </row>
    <row r="516" spans="1:9">
      <c r="B516" s="386" t="s">
        <v>316</v>
      </c>
      <c r="D516" s="1265" t="s">
        <v>443</v>
      </c>
      <c r="E516" s="1265"/>
      <c r="F516" s="1265"/>
      <c r="I516" s="391"/>
    </row>
    <row r="517" spans="1:9">
      <c r="D517" s="1265"/>
      <c r="E517" s="1265"/>
      <c r="F517" s="1265"/>
      <c r="I517" s="391"/>
    </row>
    <row r="518" spans="1:9">
      <c r="D518" s="1265"/>
      <c r="E518" s="1265"/>
      <c r="F518" s="1265"/>
      <c r="I518" s="391"/>
    </row>
    <row r="519" spans="1:9">
      <c r="D519" s="348"/>
      <c r="E519" s="348"/>
      <c r="F519" s="348"/>
      <c r="I519" s="391"/>
    </row>
    <row r="520" spans="1:9" ht="14.25">
      <c r="A520" s="385"/>
      <c r="B520" s="385"/>
      <c r="D520" s="348"/>
      <c r="I520" s="391"/>
    </row>
    <row r="521" spans="1:9">
      <c r="A521" s="1266" t="s">
        <v>444</v>
      </c>
      <c r="B521" s="1266"/>
      <c r="C521" s="1266"/>
      <c r="D521" s="1266"/>
      <c r="E521" s="1266"/>
      <c r="F521" s="1266"/>
      <c r="G521" s="1266"/>
      <c r="H521" s="914"/>
      <c r="I521" s="1036"/>
    </row>
    <row r="522" spans="1:9" ht="12" customHeight="1">
      <c r="A522" s="385"/>
      <c r="B522" s="385"/>
      <c r="D522" s="348"/>
      <c r="I522" s="391"/>
    </row>
    <row r="523" spans="1:9">
      <c r="C523" s="383"/>
      <c r="D523" s="1268" t="s">
        <v>445</v>
      </c>
      <c r="E523" s="1268"/>
      <c r="F523" s="1268"/>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39" t="s">
        <v>448</v>
      </c>
      <c r="E527" s="1239"/>
      <c r="F527" s="1239"/>
      <c r="I527" s="391"/>
    </row>
    <row r="528" spans="1:9">
      <c r="A528" s="384"/>
      <c r="B528" s="384"/>
      <c r="C528" s="384"/>
      <c r="D528" s="1239"/>
      <c r="E528" s="1239"/>
      <c r="F528" s="1239"/>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245" t="s">
        <v>451</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35" customHeight="1">
      <c r="A536" s="384"/>
      <c r="B536" s="386" t="s">
        <v>316</v>
      </c>
      <c r="C536" s="384"/>
      <c r="D536" s="1265" t="s">
        <v>452</v>
      </c>
      <c r="E536" s="1265"/>
      <c r="F536" s="1265"/>
      <c r="I536" s="391"/>
    </row>
    <row r="537" spans="1:9" ht="13.35" customHeight="1">
      <c r="A537" s="384"/>
      <c r="B537" s="384"/>
      <c r="C537" s="384"/>
      <c r="D537" s="1265"/>
      <c r="E537" s="1265"/>
      <c r="F537" s="1265"/>
      <c r="I537" s="391"/>
    </row>
    <row r="538" spans="1:9">
      <c r="A538" s="384"/>
      <c r="B538" s="384"/>
      <c r="C538" s="384"/>
      <c r="D538" s="1265"/>
      <c r="E538" s="1265"/>
      <c r="F538" s="1265"/>
      <c r="I538" s="391"/>
    </row>
    <row r="539" spans="1:9" ht="12" customHeight="1">
      <c r="A539" s="348"/>
      <c r="B539" s="348"/>
      <c r="C539" s="388"/>
      <c r="D539" s="348"/>
      <c r="F539" s="350"/>
      <c r="I539" s="391"/>
    </row>
    <row r="540" spans="1:9">
      <c r="A540" s="1266" t="s">
        <v>453</v>
      </c>
      <c r="B540" s="1266"/>
      <c r="C540" s="1266"/>
      <c r="D540" s="1266"/>
      <c r="E540" s="1266"/>
      <c r="F540" s="1266"/>
      <c r="G540" s="1266"/>
      <c r="H540" s="914"/>
      <c r="I540" s="1036"/>
    </row>
    <row r="541" spans="1:9">
      <c r="A541" s="348"/>
      <c r="B541" s="348"/>
      <c r="C541" s="388"/>
      <c r="F541" s="350"/>
      <c r="I541" s="391"/>
    </row>
    <row r="542" spans="1:9">
      <c r="B542" s="1271" t="s">
        <v>351</v>
      </c>
      <c r="C542" s="1271"/>
      <c r="D542" s="1271"/>
      <c r="E542" s="1271"/>
      <c r="F542" s="1271"/>
      <c r="I542" s="391"/>
    </row>
    <row r="543" spans="1:9">
      <c r="A543" s="348"/>
      <c r="B543" s="348"/>
      <c r="C543" s="388"/>
      <c r="D543" s="348"/>
      <c r="F543" s="348"/>
      <c r="I543" s="391"/>
    </row>
    <row r="544" spans="1:9">
      <c r="A544" s="1269" t="s">
        <v>454</v>
      </c>
      <c r="B544" s="1269"/>
      <c r="C544" s="1269"/>
      <c r="D544" s="1269"/>
      <c r="E544" s="1269"/>
      <c r="F544" s="1269"/>
      <c r="G544" s="1269"/>
      <c r="H544" s="914"/>
      <c r="I544" s="1036"/>
    </row>
    <row r="545" spans="1:9">
      <c r="A545" s="348"/>
      <c r="B545" s="348"/>
      <c r="C545" s="388"/>
      <c r="D545" s="348"/>
      <c r="F545" s="348"/>
      <c r="I545" s="391"/>
    </row>
    <row r="546" spans="1:9">
      <c r="C546" s="388"/>
      <c r="D546" s="1268" t="s">
        <v>455</v>
      </c>
      <c r="E546" s="1268"/>
      <c r="F546" s="1268"/>
      <c r="I546" s="391"/>
    </row>
    <row r="547" spans="1:9">
      <c r="C547" s="388"/>
      <c r="D547" s="1267" t="s">
        <v>456</v>
      </c>
      <c r="E547" s="1267"/>
      <c r="F547" s="1267"/>
      <c r="I547" s="391"/>
    </row>
    <row r="548" spans="1:9">
      <c r="C548" s="388"/>
      <c r="D548" s="348"/>
      <c r="E548" s="348"/>
      <c r="F548" s="348"/>
      <c r="I548" s="391"/>
    </row>
    <row r="549" spans="1:9" ht="13.7" customHeight="1">
      <c r="A549" s="385"/>
      <c r="B549" s="386" t="s">
        <v>311</v>
      </c>
      <c r="C549" s="388"/>
      <c r="D549" s="1267" t="s">
        <v>457</v>
      </c>
      <c r="E549" s="1267"/>
      <c r="F549" s="1267"/>
      <c r="I549" s="391"/>
    </row>
    <row r="550" spans="1:9" ht="13.7" customHeight="1">
      <c r="A550" s="388"/>
      <c r="B550" s="388"/>
      <c r="C550" s="388"/>
      <c r="D550" s="348"/>
      <c r="I550" s="391"/>
    </row>
    <row r="551" spans="1:9" ht="14.25">
      <c r="A551" s="385"/>
      <c r="B551" s="386" t="s">
        <v>311</v>
      </c>
      <c r="C551" s="388"/>
      <c r="D551" s="1265" t="s">
        <v>458</v>
      </c>
      <c r="E551" s="1265"/>
      <c r="F551" s="1265"/>
      <c r="I551" s="391"/>
    </row>
    <row r="552" spans="1:9">
      <c r="A552" s="388"/>
      <c r="B552" s="388"/>
      <c r="C552" s="388"/>
      <c r="D552" s="1265"/>
      <c r="E552" s="1265"/>
      <c r="F552" s="1265"/>
      <c r="I552" s="391"/>
    </row>
    <row r="553" spans="1:9">
      <c r="A553" s="388"/>
      <c r="B553" s="388"/>
      <c r="C553" s="388"/>
      <c r="D553" s="348"/>
      <c r="E553" s="348"/>
      <c r="F553" s="348"/>
      <c r="I553" s="391"/>
    </row>
    <row r="554" spans="1:9" ht="14.25">
      <c r="A554" s="385"/>
      <c r="B554" s="386" t="s">
        <v>311</v>
      </c>
      <c r="C554" s="388"/>
      <c r="D554" s="1265" t="s">
        <v>459</v>
      </c>
      <c r="E554" s="1265"/>
      <c r="F554" s="1265"/>
      <c r="I554" s="391"/>
    </row>
    <row r="555" spans="1:9">
      <c r="A555" s="388"/>
      <c r="B555" s="388"/>
      <c r="C555" s="388"/>
      <c r="D555" s="1265"/>
      <c r="E555" s="1265"/>
      <c r="F555" s="1265"/>
      <c r="I555" s="391"/>
    </row>
    <row r="556" spans="1:9">
      <c r="A556" s="388"/>
      <c r="B556" s="388"/>
      <c r="C556" s="388"/>
      <c r="D556" s="348"/>
      <c r="E556" s="348"/>
      <c r="F556" s="348"/>
      <c r="I556" s="391"/>
    </row>
    <row r="557" spans="1:9" ht="14.25">
      <c r="A557" s="385"/>
      <c r="B557" s="386" t="s">
        <v>311</v>
      </c>
      <c r="C557" s="388"/>
      <c r="D557" s="1265" t="s">
        <v>460</v>
      </c>
      <c r="E557" s="1265"/>
      <c r="F557" s="1265"/>
      <c r="I557" s="391"/>
    </row>
    <row r="558" spans="1:9">
      <c r="A558" s="388"/>
      <c r="B558" s="388"/>
      <c r="C558" s="388"/>
      <c r="D558" s="1265"/>
      <c r="E558" s="1265"/>
      <c r="F558" s="1265"/>
      <c r="I558" s="391"/>
    </row>
    <row r="559" spans="1:9">
      <c r="A559" s="388"/>
      <c r="B559" s="388"/>
      <c r="C559" s="388"/>
      <c r="D559" s="348"/>
      <c r="E559" s="348"/>
      <c r="F559" s="348"/>
      <c r="I559" s="391"/>
    </row>
    <row r="560" spans="1:9" ht="14.25">
      <c r="A560" s="385"/>
      <c r="B560" s="386" t="s">
        <v>311</v>
      </c>
      <c r="C560" s="388"/>
      <c r="D560" s="1265" t="s">
        <v>461</v>
      </c>
      <c r="E560" s="1265"/>
      <c r="F560" s="1265"/>
      <c r="I560" s="391"/>
    </row>
    <row r="561" spans="1:9">
      <c r="A561" s="388"/>
      <c r="B561" s="388"/>
      <c r="C561" s="388"/>
      <c r="D561" s="1265"/>
      <c r="E561" s="1265"/>
      <c r="F561" s="1265"/>
      <c r="I561" s="391"/>
    </row>
    <row r="562" spans="1:9">
      <c r="A562" s="388"/>
      <c r="B562" s="388"/>
      <c r="C562" s="388"/>
      <c r="D562" s="1265"/>
      <c r="E562" s="1265"/>
      <c r="F562" s="1265"/>
      <c r="I562" s="391"/>
    </row>
    <row r="563" spans="1:9">
      <c r="A563" s="388"/>
      <c r="B563" s="388"/>
      <c r="C563" s="388"/>
      <c r="D563" s="348"/>
      <c r="E563" s="348"/>
      <c r="F563" s="348"/>
      <c r="I563" s="391"/>
    </row>
    <row r="564" spans="1:9" ht="14.25">
      <c r="A564" s="385"/>
      <c r="B564" s="386" t="s">
        <v>316</v>
      </c>
      <c r="C564" s="388"/>
      <c r="D564" s="1265" t="s">
        <v>462</v>
      </c>
      <c r="E564" s="1265"/>
      <c r="F564" s="1265"/>
      <c r="I564" s="391"/>
    </row>
    <row r="565" spans="1:9">
      <c r="A565" s="388"/>
      <c r="B565" s="388"/>
      <c r="C565" s="388"/>
      <c r="D565" s="1265"/>
      <c r="E565" s="1265"/>
      <c r="F565" s="1265"/>
      <c r="I565" s="391"/>
    </row>
    <row r="566" spans="1:9">
      <c r="A566" s="388"/>
      <c r="B566" s="388"/>
      <c r="C566" s="388"/>
      <c r="D566" s="348"/>
      <c r="E566" s="348"/>
      <c r="F566" s="348"/>
      <c r="I566" s="391"/>
    </row>
    <row r="567" spans="1:9" ht="14.25">
      <c r="A567" s="385"/>
      <c r="B567" s="386" t="s">
        <v>311</v>
      </c>
      <c r="C567" s="388"/>
      <c r="D567" s="1265" t="s">
        <v>463</v>
      </c>
      <c r="E567" s="1265"/>
      <c r="F567" s="1265"/>
      <c r="I567" s="391"/>
    </row>
    <row r="568" spans="1:9">
      <c r="A568" s="388"/>
      <c r="B568" s="388"/>
      <c r="C568" s="388"/>
      <c r="D568" s="1265"/>
      <c r="E568" s="1265"/>
      <c r="F568" s="1265"/>
      <c r="I568" s="391"/>
    </row>
    <row r="569" spans="1:9">
      <c r="A569" s="388"/>
      <c r="B569" s="388"/>
      <c r="C569" s="388"/>
      <c r="D569" s="348"/>
      <c r="E569" s="348"/>
      <c r="F569" s="348"/>
      <c r="I569" s="391"/>
    </row>
    <row r="570" spans="1:9" ht="14.25">
      <c r="A570" s="385"/>
      <c r="B570" s="386" t="s">
        <v>311</v>
      </c>
      <c r="C570" s="388"/>
      <c r="D570" s="1267" t="s">
        <v>464</v>
      </c>
      <c r="E570" s="1267"/>
      <c r="F570" s="1267"/>
      <c r="I570" s="391"/>
    </row>
    <row r="571" spans="1:9">
      <c r="A571" s="391"/>
      <c r="B571" s="391"/>
      <c r="C571" s="388"/>
      <c r="D571" s="1267" t="s">
        <v>465</v>
      </c>
      <c r="E571" s="1267"/>
      <c r="F571" s="1267"/>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67" t="s">
        <v>467</v>
      </c>
      <c r="E574" s="1267"/>
      <c r="F574" s="1267"/>
      <c r="I574" s="391"/>
    </row>
    <row r="575" spans="1:9">
      <c r="C575" s="388"/>
      <c r="D575" s="1265" t="s">
        <v>468</v>
      </c>
      <c r="E575" s="1265"/>
      <c r="F575" s="1265"/>
      <c r="I575" s="391"/>
    </row>
    <row r="576" spans="1:9">
      <c r="A576" s="388"/>
      <c r="B576" s="388"/>
      <c r="C576" s="388"/>
      <c r="D576" s="1265"/>
      <c r="E576" s="1265"/>
      <c r="F576" s="1265"/>
      <c r="I576" s="391"/>
    </row>
    <row r="577" spans="1:9">
      <c r="A577" s="388"/>
      <c r="B577" s="388"/>
      <c r="C577" s="388"/>
      <c r="D577" s="1265"/>
      <c r="E577" s="1265"/>
      <c r="F577" s="1265"/>
      <c r="I577" s="391"/>
    </row>
    <row r="578" spans="1:9">
      <c r="A578" s="388"/>
      <c r="B578" s="388"/>
      <c r="C578" s="388"/>
      <c r="D578" s="348"/>
      <c r="E578" s="348"/>
      <c r="F578" s="348"/>
      <c r="I578" s="391"/>
    </row>
    <row r="579" spans="1:9" ht="14.25">
      <c r="A579" s="385"/>
      <c r="B579" s="386" t="s">
        <v>311</v>
      </c>
      <c r="C579" s="388"/>
      <c r="D579" s="1265" t="s">
        <v>469</v>
      </c>
      <c r="E579" s="1265"/>
      <c r="F579" s="1265"/>
      <c r="I579" s="391"/>
    </row>
    <row r="580" spans="1:9" ht="14.25">
      <c r="A580" s="385"/>
      <c r="B580" s="385"/>
      <c r="C580" s="388"/>
      <c r="D580" s="1265"/>
      <c r="E580" s="1265"/>
      <c r="F580" s="1265"/>
      <c r="I580" s="391"/>
    </row>
    <row r="581" spans="1:9" ht="14.25">
      <c r="A581" s="385"/>
      <c r="B581" s="385"/>
      <c r="C581" s="388"/>
      <c r="D581" s="1265"/>
      <c r="E581" s="1265"/>
      <c r="F581" s="1265"/>
      <c r="I581" s="391"/>
    </row>
    <row r="582" spans="1:9" ht="14.25">
      <c r="A582" s="385"/>
      <c r="B582" s="385"/>
      <c r="C582" s="388"/>
      <c r="D582" s="1265"/>
      <c r="E582" s="1265"/>
      <c r="F582" s="1265"/>
      <c r="I582" s="391"/>
    </row>
    <row r="583" spans="1:9" ht="14.25">
      <c r="A583" s="385"/>
      <c r="B583" s="385"/>
      <c r="C583" s="388"/>
      <c r="D583" s="348"/>
      <c r="E583" s="348"/>
      <c r="F583" s="348"/>
      <c r="I583" s="391"/>
    </row>
    <row r="584" spans="1:9">
      <c r="A584" s="1266" t="s">
        <v>470</v>
      </c>
      <c r="B584" s="1266"/>
      <c r="C584" s="1266"/>
      <c r="D584" s="1266"/>
      <c r="E584" s="1266"/>
      <c r="F584" s="1266"/>
      <c r="G584" s="1266"/>
      <c r="H584" s="914"/>
      <c r="I584" s="1036"/>
    </row>
    <row r="585" spans="1:9">
      <c r="A585" s="388"/>
      <c r="B585" s="388"/>
      <c r="C585" s="388"/>
      <c r="E585" s="348"/>
      <c r="F585" s="348"/>
      <c r="I585" s="391"/>
    </row>
    <row r="586" spans="1:9" ht="12.75" customHeight="1">
      <c r="C586" s="383"/>
      <c r="D586" s="1285" t="s">
        <v>471</v>
      </c>
      <c r="E586" s="1285"/>
      <c r="F586" s="1285"/>
      <c r="I586" s="391"/>
    </row>
    <row r="587" spans="1:9">
      <c r="A587" s="384"/>
      <c r="B587" s="384"/>
      <c r="C587" s="384"/>
      <c r="D587" s="1281" t="s">
        <v>472</v>
      </c>
      <c r="E587" s="1281"/>
      <c r="F587" s="1281"/>
      <c r="I587" s="391"/>
    </row>
    <row r="588" spans="1:9">
      <c r="A588" s="305"/>
      <c r="B588" s="305"/>
      <c r="C588" s="384"/>
      <c r="D588" s="400"/>
      <c r="I588" s="391"/>
    </row>
    <row r="589" spans="1:9" hidden="1">
      <c r="A589" s="384"/>
      <c r="B589" s="386" t="s">
        <v>348</v>
      </c>
      <c r="D589" s="1281" t="s">
        <v>473</v>
      </c>
      <c r="E589" s="1281"/>
      <c r="F589" s="1281"/>
      <c r="I589" s="391"/>
    </row>
    <row r="590" spans="1:9" hidden="1">
      <c r="A590" s="391"/>
      <c r="B590" s="391"/>
      <c r="D590" s="377"/>
      <c r="I590" s="391"/>
    </row>
    <row r="591" spans="1:9">
      <c r="A591" s="391"/>
      <c r="B591" s="386" t="s">
        <v>311</v>
      </c>
      <c r="D591" s="1281" t="s">
        <v>474</v>
      </c>
      <c r="E591" s="1281"/>
      <c r="F591" s="1281"/>
      <c r="I591" s="391"/>
    </row>
    <row r="592" spans="1:9">
      <c r="A592" s="391"/>
      <c r="B592" s="391"/>
      <c r="D592" s="1281"/>
      <c r="E592" s="1281"/>
      <c r="F592" s="1281"/>
      <c r="I592" s="391"/>
    </row>
    <row r="593" spans="1:9">
      <c r="A593" s="391"/>
      <c r="B593" s="391"/>
      <c r="D593" s="1281"/>
      <c r="E593" s="1281"/>
      <c r="F593" s="1281"/>
      <c r="I593" s="391"/>
    </row>
    <row r="594" spans="1:9">
      <c r="A594" s="391"/>
      <c r="B594" s="391"/>
      <c r="D594" s="1281"/>
      <c r="E594" s="1281"/>
      <c r="F594" s="1281"/>
      <c r="I594" s="391"/>
    </row>
    <row r="595" spans="1:9">
      <c r="A595" s="391"/>
      <c r="B595" s="386" t="s">
        <v>316</v>
      </c>
      <c r="D595" s="1281" t="s">
        <v>475</v>
      </c>
      <c r="E595" s="1281"/>
      <c r="F595" s="1281"/>
      <c r="I595" s="391"/>
    </row>
    <row r="596" spans="1:9">
      <c r="A596" s="391"/>
      <c r="B596" s="391"/>
      <c r="D596" s="1281"/>
      <c r="E596" s="1281"/>
      <c r="F596" s="1281"/>
      <c r="I596" s="391"/>
    </row>
    <row r="597" spans="1:9">
      <c r="A597" s="391"/>
      <c r="B597" s="391"/>
      <c r="D597" s="1281"/>
      <c r="E597" s="1281"/>
      <c r="F597" s="1281"/>
      <c r="I597" s="391"/>
    </row>
    <row r="598" spans="1:9">
      <c r="A598" s="391"/>
      <c r="B598" s="391"/>
      <c r="D598" s="1281"/>
      <c r="E598" s="1281"/>
      <c r="F598" s="1281"/>
      <c r="I598" s="391"/>
    </row>
    <row r="599" spans="1:9">
      <c r="A599" s="391"/>
      <c r="B599" s="391"/>
      <c r="D599" s="343"/>
      <c r="E599" s="343"/>
      <c r="F599" s="343"/>
      <c r="I599" s="391"/>
    </row>
    <row r="600" spans="1:9">
      <c r="A600" s="391"/>
      <c r="B600" s="386" t="s">
        <v>311</v>
      </c>
      <c r="D600" s="1281" t="s">
        <v>476</v>
      </c>
      <c r="E600" s="1281"/>
      <c r="F600" s="1281"/>
      <c r="I600" s="391"/>
    </row>
    <row r="601" spans="1:9">
      <c r="A601" s="391"/>
      <c r="B601" s="391"/>
      <c r="D601" s="1281"/>
      <c r="E601" s="1281"/>
      <c r="F601" s="1281"/>
      <c r="I601" s="391"/>
    </row>
    <row r="602" spans="1:9">
      <c r="A602" s="391"/>
      <c r="B602" s="391"/>
      <c r="D602" s="400"/>
      <c r="I602" s="391"/>
    </row>
    <row r="603" spans="1:9">
      <c r="A603" s="391"/>
      <c r="B603" s="386" t="s">
        <v>316</v>
      </c>
      <c r="D603" s="1281" t="s">
        <v>477</v>
      </c>
      <c r="E603" s="1281"/>
      <c r="F603" s="1281"/>
      <c r="I603" s="391"/>
    </row>
    <row r="604" spans="1:9">
      <c r="A604" s="391"/>
      <c r="B604" s="391"/>
      <c r="D604" s="1281"/>
      <c r="E604" s="1281"/>
      <c r="F604" s="1281"/>
      <c r="I604" s="391"/>
    </row>
    <row r="605" spans="1:9" ht="14.25">
      <c r="A605" s="385"/>
      <c r="B605" s="385"/>
      <c r="D605" s="400"/>
      <c r="I605" s="391"/>
    </row>
    <row r="606" spans="1:9">
      <c r="A606" s="1266" t="s">
        <v>478</v>
      </c>
      <c r="B606" s="1266"/>
      <c r="C606" s="1266"/>
      <c r="D606" s="1266"/>
      <c r="E606" s="1266"/>
      <c r="F606" s="1266"/>
      <c r="G606" s="1266"/>
      <c r="H606" s="914"/>
      <c r="I606" s="1036"/>
    </row>
    <row r="607" spans="1:9">
      <c r="I607" s="391"/>
    </row>
    <row r="608" spans="1:9">
      <c r="D608" s="1268" t="s">
        <v>479</v>
      </c>
      <c r="E608" s="1268"/>
      <c r="F608" s="1268"/>
      <c r="I608" s="391"/>
    </row>
    <row r="609" spans="1:9">
      <c r="D609" s="1247" t="s">
        <v>480</v>
      </c>
      <c r="E609" s="1247"/>
      <c r="F609" s="1247"/>
      <c r="I609" s="391"/>
    </row>
    <row r="610" spans="1:9">
      <c r="D610" s="346"/>
      <c r="I610" s="391"/>
    </row>
    <row r="611" spans="1:9" ht="14.25" customHeight="1">
      <c r="A611" s="385"/>
      <c r="B611" s="386" t="s">
        <v>311</v>
      </c>
      <c r="D611" s="1282" t="s">
        <v>481</v>
      </c>
      <c r="E611" s="1282"/>
      <c r="F611" s="1282"/>
      <c r="I611" s="391"/>
    </row>
    <row r="612" spans="1:9">
      <c r="D612" s="1282"/>
      <c r="E612" s="1282"/>
      <c r="F612" s="1282"/>
      <c r="I612" s="391"/>
    </row>
    <row r="613" spans="1:9">
      <c r="D613" s="288"/>
      <c r="E613" s="922" t="s">
        <v>482</v>
      </c>
      <c r="F613" s="288"/>
      <c r="I613" s="391"/>
    </row>
    <row r="614" spans="1:9">
      <c r="I614" s="391"/>
    </row>
    <row r="615" spans="1:9">
      <c r="A615" s="1266" t="s">
        <v>483</v>
      </c>
      <c r="B615" s="1266"/>
      <c r="C615" s="1266"/>
      <c r="D615" s="1266"/>
      <c r="E615" s="1266"/>
      <c r="F615" s="1266"/>
      <c r="G615" s="1266"/>
      <c r="H615" s="914"/>
      <c r="I615" s="1036"/>
    </row>
    <row r="616" spans="1:9">
      <c r="A616" s="348"/>
      <c r="B616" s="348"/>
      <c r="I616" s="391"/>
    </row>
    <row r="617" spans="1:9">
      <c r="A617" s="383"/>
      <c r="B617" s="383"/>
      <c r="C617" s="383"/>
      <c r="D617" s="1277" t="s">
        <v>484</v>
      </c>
      <c r="E617" s="1277"/>
      <c r="F617" s="1277"/>
      <c r="I617" s="391"/>
    </row>
    <row r="618" spans="1:9">
      <c r="A618" s="383"/>
      <c r="B618" s="383"/>
      <c r="C618" s="383"/>
      <c r="D618" s="1277"/>
      <c r="E618" s="1277"/>
      <c r="F618" s="1277"/>
      <c r="I618" s="391"/>
    </row>
    <row r="619" spans="1:9">
      <c r="C619" s="384"/>
      <c r="D619" s="1247" t="s">
        <v>485</v>
      </c>
      <c r="E619" s="1247"/>
      <c r="F619" s="1247"/>
      <c r="I619" s="391"/>
    </row>
    <row r="620" spans="1:9">
      <c r="C620" s="384"/>
      <c r="D620" s="346"/>
      <c r="E620" s="346"/>
      <c r="F620" s="346"/>
      <c r="I620" s="391"/>
    </row>
    <row r="621" spans="1:9">
      <c r="B621" s="386" t="s">
        <v>311</v>
      </c>
      <c r="C621" s="384"/>
      <c r="D621" s="1246" t="s">
        <v>486</v>
      </c>
      <c r="E621" s="1246"/>
      <c r="F621" s="1246"/>
      <c r="I621" s="391"/>
    </row>
    <row r="622" spans="1:9">
      <c r="C622" s="384"/>
      <c r="D622" s="346"/>
      <c r="E622" s="346"/>
      <c r="F622" s="346"/>
      <c r="I622" s="391"/>
    </row>
    <row r="623" spans="1:9" ht="12.75" customHeight="1">
      <c r="A623" s="391"/>
      <c r="B623" s="386" t="s">
        <v>311</v>
      </c>
      <c r="D623" s="1264" t="s">
        <v>487</v>
      </c>
      <c r="E623" s="1264"/>
      <c r="F623" s="1264"/>
      <c r="I623" s="391"/>
    </row>
    <row r="624" spans="1:9">
      <c r="D624" s="1264"/>
      <c r="E624" s="1264"/>
      <c r="F624" s="1264"/>
      <c r="I624" s="391"/>
    </row>
    <row r="625" spans="1:9">
      <c r="I625" s="391"/>
    </row>
    <row r="626" spans="1:9">
      <c r="B626" s="386" t="s">
        <v>311</v>
      </c>
      <c r="D626" s="1264" t="s">
        <v>488</v>
      </c>
      <c r="E626" s="1264"/>
      <c r="F626" s="1264"/>
      <c r="I626" s="391"/>
    </row>
    <row r="627" spans="1:9">
      <c r="C627" s="401"/>
      <c r="D627" s="1264"/>
      <c r="E627" s="1264"/>
      <c r="F627" s="1264"/>
      <c r="I627" s="391"/>
    </row>
    <row r="628" spans="1:9">
      <c r="C628" s="401"/>
      <c r="I628" s="391"/>
    </row>
    <row r="629" spans="1:9">
      <c r="B629" s="386" t="s">
        <v>316</v>
      </c>
      <c r="C629" s="401"/>
      <c r="D629" s="1264" t="s">
        <v>489</v>
      </c>
      <c r="E629" s="1264"/>
      <c r="F629" s="1264"/>
      <c r="I629" s="391"/>
    </row>
    <row r="630" spans="1:9">
      <c r="C630" s="401"/>
      <c r="D630" s="1264"/>
      <c r="E630" s="1264"/>
      <c r="F630" s="1264"/>
      <c r="I630" s="401"/>
    </row>
    <row r="631" spans="1:9">
      <c r="C631" s="401"/>
      <c r="I631" s="391"/>
    </row>
    <row r="632" spans="1:9">
      <c r="B632" s="386" t="s">
        <v>316</v>
      </c>
      <c r="C632" s="401"/>
      <c r="D632" s="1246" t="s">
        <v>490</v>
      </c>
      <c r="E632" s="1246"/>
      <c r="F632" s="1246"/>
      <c r="I632" s="391"/>
    </row>
    <row r="633" spans="1:9">
      <c r="C633" s="401"/>
      <c r="I633" s="391"/>
    </row>
    <row r="634" spans="1:9">
      <c r="A634" s="1266" t="s">
        <v>491</v>
      </c>
      <c r="B634" s="1266"/>
      <c r="C634" s="1266"/>
      <c r="D634" s="1266"/>
      <c r="E634" s="1266"/>
      <c r="F634" s="1266"/>
      <c r="G634" s="1266"/>
      <c r="H634" s="914"/>
      <c r="I634" s="1036"/>
    </row>
    <row r="635" spans="1:9">
      <c r="A635" s="383"/>
      <c r="B635" s="383"/>
      <c r="C635" s="383"/>
      <c r="I635" s="391"/>
    </row>
    <row r="636" spans="1:9">
      <c r="C636" s="391"/>
      <c r="D636" s="1268" t="s">
        <v>492</v>
      </c>
      <c r="E636" s="1268"/>
      <c r="F636" s="1268"/>
      <c r="I636" s="391"/>
    </row>
    <row r="637" spans="1:9">
      <c r="A637" s="391"/>
      <c r="B637" s="391"/>
      <c r="D637" s="307"/>
      <c r="I637" s="391"/>
    </row>
    <row r="638" spans="1:9" ht="14.25" customHeight="1">
      <c r="A638" s="385"/>
      <c r="B638" s="386" t="s">
        <v>311</v>
      </c>
      <c r="D638" s="1282" t="s">
        <v>493</v>
      </c>
      <c r="E638" s="1282"/>
      <c r="F638" s="1282"/>
      <c r="I638" s="391"/>
    </row>
    <row r="639" spans="1:9">
      <c r="D639" s="1282"/>
      <c r="E639" s="1282"/>
      <c r="F639" s="1282"/>
      <c r="I639" s="391"/>
    </row>
    <row r="640" spans="1:9">
      <c r="D640" s="288"/>
      <c r="E640" s="922" t="s">
        <v>494</v>
      </c>
      <c r="F640" s="288"/>
      <c r="I640" s="391"/>
    </row>
    <row r="641" spans="1:9">
      <c r="D641" s="1265" t="s">
        <v>495</v>
      </c>
      <c r="E641" s="1265"/>
      <c r="F641" s="1265"/>
      <c r="I641" s="391"/>
    </row>
    <row r="642" spans="1:9">
      <c r="D642" s="1265"/>
      <c r="E642" s="1265"/>
      <c r="F642" s="1265"/>
      <c r="I642" s="391"/>
    </row>
    <row r="643" spans="1:9">
      <c r="D643" s="1265"/>
      <c r="E643" s="1265"/>
      <c r="F643" s="1265"/>
      <c r="I643" s="391"/>
    </row>
    <row r="644" spans="1:9">
      <c r="D644" s="347"/>
      <c r="E644" s="347"/>
      <c r="F644" s="347"/>
      <c r="I644" s="391"/>
    </row>
    <row r="645" spans="1:9" ht="14.25">
      <c r="A645" s="385"/>
      <c r="B645" s="386" t="s">
        <v>316</v>
      </c>
      <c r="D645" s="1265" t="s">
        <v>496</v>
      </c>
      <c r="E645" s="1265"/>
      <c r="F645" s="1265"/>
      <c r="I645" s="391"/>
    </row>
    <row r="646" spans="1:9">
      <c r="A646" s="388"/>
      <c r="B646" s="388"/>
      <c r="C646" s="388"/>
      <c r="D646" s="1265"/>
      <c r="E646" s="1265"/>
      <c r="F646" s="1265"/>
      <c r="I646" s="391"/>
    </row>
    <row r="647" spans="1:9">
      <c r="A647" s="388"/>
      <c r="B647" s="388"/>
      <c r="C647" s="388"/>
      <c r="D647" s="348"/>
      <c r="E647" s="348"/>
      <c r="F647" s="348"/>
      <c r="I647" s="391"/>
    </row>
    <row r="648" spans="1:9" ht="14.25">
      <c r="A648" s="385"/>
      <c r="B648" s="386" t="s">
        <v>316</v>
      </c>
      <c r="C648" s="388"/>
      <c r="D648" s="1265" t="s">
        <v>497</v>
      </c>
      <c r="E648" s="1265"/>
      <c r="F648" s="1265"/>
      <c r="I648" s="391"/>
    </row>
    <row r="649" spans="1:9" ht="14.25">
      <c r="A649" s="385"/>
      <c r="B649" s="385"/>
      <c r="C649" s="388"/>
      <c r="D649" s="1265"/>
      <c r="E649" s="1265"/>
      <c r="F649" s="1265"/>
      <c r="I649" s="391"/>
    </row>
    <row r="650" spans="1:9" ht="14.25">
      <c r="A650" s="385"/>
      <c r="B650" s="385"/>
      <c r="C650" s="388"/>
      <c r="D650" s="1265"/>
      <c r="E650" s="1265"/>
      <c r="F650" s="1265"/>
      <c r="I650" s="391"/>
    </row>
    <row r="651" spans="1:9">
      <c r="A651" s="388"/>
      <c r="B651" s="386" t="s">
        <v>316</v>
      </c>
      <c r="C651" s="388"/>
      <c r="D651" s="1267" t="s">
        <v>498</v>
      </c>
      <c r="E651" s="1267"/>
      <c r="F651" s="1267"/>
      <c r="I651" s="391"/>
    </row>
    <row r="652" spans="1:9">
      <c r="A652" s="388"/>
      <c r="B652" s="388"/>
      <c r="C652" s="388"/>
      <c r="D652" s="348"/>
      <c r="E652" s="348"/>
      <c r="F652" s="348"/>
      <c r="I652" s="391"/>
    </row>
    <row r="653" spans="1:9">
      <c r="A653" s="1266" t="s">
        <v>499</v>
      </c>
      <c r="B653" s="1266"/>
      <c r="C653" s="1266"/>
      <c r="D653" s="1266"/>
      <c r="E653" s="1266"/>
      <c r="F653" s="1266"/>
      <c r="G653" s="1266"/>
      <c r="H653" s="914"/>
      <c r="I653" s="1036"/>
    </row>
    <row r="654" spans="1:9">
      <c r="A654" s="348"/>
      <c r="B654" s="348"/>
      <c r="C654" s="388"/>
      <c r="D654" s="348"/>
      <c r="E654" s="348"/>
      <c r="F654" s="348"/>
      <c r="I654" s="391"/>
    </row>
    <row r="655" spans="1:9">
      <c r="C655" s="383"/>
      <c r="D655" s="1268" t="s">
        <v>500</v>
      </c>
      <c r="E655" s="1268"/>
      <c r="F655" s="1268"/>
      <c r="I655" s="391"/>
    </row>
    <row r="656" spans="1:9">
      <c r="A656" s="384"/>
      <c r="B656" s="384"/>
      <c r="C656" s="384"/>
      <c r="D656" s="1267" t="s">
        <v>501</v>
      </c>
      <c r="E656" s="1267"/>
      <c r="F656" s="1267"/>
      <c r="I656" s="391"/>
    </row>
    <row r="657" spans="1:9">
      <c r="A657" s="384"/>
      <c r="B657" s="384"/>
      <c r="C657" s="384"/>
      <c r="D657" s="348"/>
      <c r="E657" s="348"/>
      <c r="F657" s="348"/>
      <c r="I657" s="391"/>
    </row>
    <row r="658" spans="1:9" ht="12.75" customHeight="1">
      <c r="B658" s="386" t="s">
        <v>316</v>
      </c>
      <c r="C658" s="388"/>
      <c r="D658" s="1265" t="s">
        <v>502</v>
      </c>
      <c r="E658" s="1265"/>
      <c r="F658" s="1265"/>
      <c r="I658" s="391"/>
    </row>
    <row r="659" spans="1:9">
      <c r="D659" s="1265"/>
      <c r="E659" s="1265"/>
      <c r="F659" s="1265"/>
      <c r="I659" s="391"/>
    </row>
    <row r="660" spans="1:9">
      <c r="D660" s="1265"/>
      <c r="E660" s="1265"/>
      <c r="F660" s="1265"/>
      <c r="I660" s="391"/>
    </row>
    <row r="661" spans="1:9">
      <c r="D661" s="1265"/>
      <c r="E661" s="1265"/>
      <c r="F661" s="1265"/>
      <c r="I661" s="391"/>
    </row>
    <row r="662" spans="1:9" ht="14.45" customHeight="1">
      <c r="A662" s="385"/>
      <c r="B662" s="385"/>
      <c r="C662" s="388"/>
      <c r="D662" s="288"/>
      <c r="E662" s="288"/>
      <c r="F662" s="288"/>
      <c r="I662" s="391"/>
    </row>
    <row r="663" spans="1:9" ht="12.75" customHeight="1">
      <c r="A663" s="384"/>
      <c r="B663" s="386" t="s">
        <v>316</v>
      </c>
      <c r="C663" s="388"/>
      <c r="D663" s="1265" t="s">
        <v>503</v>
      </c>
      <c r="E663" s="1265"/>
      <c r="F663" s="1265"/>
      <c r="I663" s="391"/>
    </row>
    <row r="664" spans="1:9" ht="14.25">
      <c r="A664" s="384"/>
      <c r="B664" s="385"/>
      <c r="C664" s="388"/>
      <c r="D664" s="1265"/>
      <c r="E664" s="1265"/>
      <c r="F664" s="1265"/>
      <c r="I664" s="391"/>
    </row>
    <row r="665" spans="1:9" ht="14.25">
      <c r="A665" s="384"/>
      <c r="B665" s="385"/>
      <c r="C665" s="388"/>
      <c r="D665" s="1265"/>
      <c r="E665" s="1265"/>
      <c r="F665" s="1265"/>
      <c r="I665" s="391"/>
    </row>
    <row r="666" spans="1:9" ht="14.25">
      <c r="A666" s="384"/>
      <c r="B666" s="385"/>
      <c r="C666" s="388"/>
      <c r="D666" s="1265"/>
      <c r="E666" s="1265"/>
      <c r="F666" s="1265"/>
      <c r="I666" s="391"/>
    </row>
    <row r="667" spans="1:9" ht="14.25">
      <c r="A667" s="384"/>
      <c r="B667" s="385"/>
      <c r="C667" s="388"/>
      <c r="D667" s="1265"/>
      <c r="E667" s="1265"/>
      <c r="F667" s="1265"/>
      <c r="I667" s="391"/>
    </row>
    <row r="668" spans="1:9" ht="14.25" customHeight="1">
      <c r="A668" s="384"/>
      <c r="B668" s="385"/>
      <c r="C668" s="388"/>
      <c r="F668" s="289"/>
      <c r="I668" s="391"/>
    </row>
    <row r="669" spans="1:9" ht="12.75" customHeight="1">
      <c r="A669" s="384"/>
      <c r="B669" s="386" t="s">
        <v>316</v>
      </c>
      <c r="C669" s="388"/>
      <c r="D669" s="1265" t="s">
        <v>504</v>
      </c>
      <c r="E669" s="1265"/>
      <c r="F669" s="1265"/>
      <c r="I669" s="391"/>
    </row>
    <row r="670" spans="1:9" ht="14.25">
      <c r="A670" s="384"/>
      <c r="B670" s="385"/>
      <c r="C670" s="388"/>
      <c r="D670" s="1265"/>
      <c r="E670" s="1265"/>
      <c r="F670" s="1265"/>
      <c r="I670" s="391"/>
    </row>
    <row r="671" spans="1:9" ht="14.25">
      <c r="A671" s="385"/>
      <c r="B671" s="385"/>
      <c r="C671" s="388"/>
      <c r="D671" s="1265"/>
      <c r="E671" s="1265"/>
      <c r="F671" s="1265"/>
      <c r="I671" s="391"/>
    </row>
    <row r="672" spans="1:9" ht="14.25">
      <c r="A672" s="385"/>
      <c r="B672" s="385"/>
      <c r="C672" s="388"/>
      <c r="D672" s="1265"/>
      <c r="E672" s="1265"/>
      <c r="F672" s="1265"/>
      <c r="I672" s="391"/>
    </row>
    <row r="673" spans="1:11" ht="14.25">
      <c r="A673" s="385"/>
      <c r="B673" s="385"/>
      <c r="C673" s="388"/>
      <c r="D673" s="347"/>
      <c r="E673" s="347"/>
      <c r="F673" s="347"/>
      <c r="I673" s="391"/>
    </row>
    <row r="674" spans="1:11" ht="12.75" customHeight="1">
      <c r="A674" s="384"/>
      <c r="B674" s="386" t="s">
        <v>316</v>
      </c>
      <c r="C674" s="388"/>
      <c r="D674" s="1265" t="s">
        <v>505</v>
      </c>
      <c r="E674" s="1265"/>
      <c r="F674" s="1265"/>
      <c r="I674" s="391"/>
    </row>
    <row r="675" spans="1:11" ht="12.75" customHeight="1">
      <c r="A675" s="384"/>
      <c r="B675" s="385"/>
      <c r="C675" s="388"/>
      <c r="D675" s="1265"/>
      <c r="E675" s="1265"/>
      <c r="F675" s="1265"/>
      <c r="I675" s="391"/>
    </row>
    <row r="676" spans="1:11" ht="12.75" customHeight="1">
      <c r="A676" s="384"/>
      <c r="B676" s="385"/>
      <c r="C676" s="388"/>
      <c r="D676" s="1265"/>
      <c r="E676" s="1265"/>
      <c r="F676" s="1265"/>
      <c r="I676" s="391"/>
    </row>
    <row r="677" spans="1:11" ht="12.75" customHeight="1">
      <c r="A677" s="384"/>
      <c r="B677" s="385"/>
      <c r="C677" s="388"/>
      <c r="D677" s="1265"/>
      <c r="E677" s="1265"/>
      <c r="F677" s="1265"/>
      <c r="I677" s="391"/>
    </row>
    <row r="678" spans="1:11" ht="12.75" customHeight="1">
      <c r="A678" s="384"/>
      <c r="B678" s="385"/>
      <c r="C678" s="388"/>
      <c r="D678" s="1265"/>
      <c r="E678" s="1265"/>
      <c r="F678" s="1265"/>
      <c r="I678" s="391"/>
    </row>
    <row r="679" spans="1:11" ht="12.75" customHeight="1">
      <c r="A679" s="384"/>
      <c r="B679" s="385"/>
      <c r="C679" s="388"/>
      <c r="D679" s="1265"/>
      <c r="E679" s="1265"/>
      <c r="F679" s="1265"/>
      <c r="I679" s="391"/>
    </row>
    <row r="680" spans="1:11" ht="12.75" customHeight="1">
      <c r="A680" s="384"/>
      <c r="B680" s="385"/>
      <c r="C680" s="388"/>
      <c r="D680" s="1265"/>
      <c r="E680" s="1265"/>
      <c r="F680" s="1265"/>
      <c r="I680" s="391"/>
    </row>
    <row r="681" spans="1:11" ht="12.75" customHeight="1">
      <c r="A681" s="384"/>
      <c r="B681" s="385"/>
      <c r="C681" s="388"/>
      <c r="D681" s="1265"/>
      <c r="E681" s="1265"/>
      <c r="F681" s="1265"/>
      <c r="I681" s="391"/>
    </row>
    <row r="682" spans="1:11" ht="12.75" customHeight="1">
      <c r="A682" s="384"/>
      <c r="B682" s="385"/>
      <c r="C682" s="388"/>
      <c r="D682" s="1265"/>
      <c r="E682" s="1265"/>
      <c r="F682" s="1265"/>
      <c r="I682" s="391"/>
    </row>
    <row r="683" spans="1:11">
      <c r="A683" s="388"/>
      <c r="B683" s="388"/>
      <c r="C683" s="388"/>
      <c r="D683" s="348"/>
      <c r="E683" s="348"/>
      <c r="F683" s="348"/>
      <c r="I683" s="391"/>
    </row>
    <row r="684" spans="1:11">
      <c r="A684" s="1266" t="s">
        <v>506</v>
      </c>
      <c r="B684" s="1266"/>
      <c r="C684" s="1266"/>
      <c r="D684" s="1266"/>
      <c r="E684" s="1266"/>
      <c r="F684" s="1266"/>
      <c r="G684" s="1266"/>
      <c r="H684" s="916"/>
      <c r="I684" s="1040"/>
      <c r="J684" s="402"/>
      <c r="K684" s="402"/>
    </row>
    <row r="685" spans="1:11">
      <c r="A685" s="350"/>
      <c r="B685" s="350"/>
      <c r="C685" s="350"/>
      <c r="D685" s="350"/>
      <c r="E685" s="350"/>
      <c r="F685" s="350"/>
      <c r="G685" s="350"/>
      <c r="H685" s="402"/>
      <c r="I685" s="384"/>
      <c r="J685" s="402"/>
      <c r="K685" s="402"/>
    </row>
    <row r="686" spans="1:11">
      <c r="C686" s="383"/>
      <c r="D686" s="1268" t="s">
        <v>507</v>
      </c>
      <c r="E686" s="1268"/>
      <c r="F686" s="1268"/>
      <c r="H686" s="402"/>
      <c r="I686" s="384"/>
      <c r="J686" s="402"/>
      <c r="K686" s="402"/>
    </row>
    <row r="687" spans="1:11">
      <c r="A687" s="383"/>
      <c r="B687" s="383"/>
      <c r="C687" s="383"/>
      <c r="D687" s="1268" t="s">
        <v>508</v>
      </c>
      <c r="E687" s="1268"/>
      <c r="F687" s="1268"/>
      <c r="H687" s="402"/>
      <c r="I687" s="384"/>
      <c r="J687" s="402"/>
      <c r="K687" s="402"/>
    </row>
    <row r="688" spans="1:11">
      <c r="A688" s="384"/>
      <c r="B688" s="384"/>
      <c r="C688" s="384"/>
      <c r="D688" s="1267" t="s">
        <v>509</v>
      </c>
      <c r="E688" s="1267"/>
      <c r="F688" s="1267"/>
      <c r="H688" s="402"/>
      <c r="I688" s="384"/>
      <c r="J688" s="402"/>
      <c r="K688" s="402"/>
    </row>
    <row r="689" spans="1:11">
      <c r="A689" s="384"/>
      <c r="B689" s="384"/>
      <c r="C689" s="384"/>
      <c r="H689" s="402"/>
      <c r="I689" s="384"/>
      <c r="J689" s="402"/>
      <c r="K689" s="402"/>
    </row>
    <row r="690" spans="1:11" ht="14.25">
      <c r="A690" s="385"/>
      <c r="B690" s="386" t="s">
        <v>316</v>
      </c>
      <c r="C690" s="384"/>
      <c r="D690" s="1267" t="s">
        <v>510</v>
      </c>
      <c r="E690" s="1267"/>
      <c r="F690" s="1267"/>
      <c r="H690" s="402"/>
      <c r="I690" s="384"/>
      <c r="J690" s="402"/>
      <c r="K690" s="402"/>
    </row>
    <row r="691" spans="1:11">
      <c r="A691" s="384"/>
      <c r="B691" s="384"/>
      <c r="C691" s="384"/>
      <c r="D691" s="1267" t="s">
        <v>511</v>
      </c>
      <c r="E691" s="1267"/>
      <c r="F691" s="1267"/>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65" t="s">
        <v>514</v>
      </c>
      <c r="E695" s="1265"/>
      <c r="F695" s="1265"/>
      <c r="H695" s="402"/>
      <c r="I695" s="384"/>
      <c r="J695" s="402"/>
      <c r="K695" s="402"/>
    </row>
    <row r="696" spans="1:11">
      <c r="A696" s="391"/>
      <c r="B696" s="391"/>
      <c r="C696" s="384"/>
      <c r="D696" s="1265"/>
      <c r="E696" s="1265"/>
      <c r="F696" s="1265"/>
      <c r="H696" s="402"/>
      <c r="I696" s="384"/>
      <c r="J696" s="402"/>
      <c r="K696" s="402"/>
    </row>
    <row r="697" spans="1:11">
      <c r="A697" s="384"/>
      <c r="B697" s="384"/>
      <c r="C697" s="384"/>
      <c r="D697" s="1265"/>
      <c r="E697" s="1265"/>
      <c r="F697" s="1265"/>
      <c r="H697" s="402"/>
      <c r="I697" s="384"/>
      <c r="J697" s="402"/>
      <c r="K697" s="402"/>
    </row>
    <row r="698" spans="1:11">
      <c r="A698" s="384"/>
      <c r="B698" s="384"/>
      <c r="C698" s="384"/>
      <c r="H698" s="402"/>
      <c r="J698" s="402"/>
      <c r="K698" s="402"/>
    </row>
    <row r="699" spans="1:11" ht="14.25">
      <c r="A699" s="385"/>
      <c r="B699" s="386" t="s">
        <v>311</v>
      </c>
      <c r="C699" s="384"/>
      <c r="D699" s="1267" t="s">
        <v>515</v>
      </c>
      <c r="E699" s="1267"/>
      <c r="F699" s="1267"/>
      <c r="H699" s="402"/>
      <c r="I699" s="384"/>
      <c r="J699" s="402"/>
      <c r="K699" s="402"/>
    </row>
    <row r="700" spans="1:11" ht="14.25">
      <c r="A700" s="385"/>
      <c r="B700" s="385"/>
      <c r="C700" s="384"/>
      <c r="D700" s="1267" t="s">
        <v>511</v>
      </c>
      <c r="E700" s="1267"/>
      <c r="F700" s="1267"/>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67" t="s">
        <v>517</v>
      </c>
      <c r="E703" s="1267"/>
      <c r="F703" s="1267"/>
      <c r="H703" s="402"/>
      <c r="I703" s="384"/>
      <c r="J703" s="402"/>
      <c r="K703" s="402"/>
    </row>
    <row r="704" spans="1:11" ht="14.25">
      <c r="A704" s="385"/>
      <c r="B704" s="385"/>
      <c r="C704" s="384"/>
      <c r="D704" s="1267" t="s">
        <v>511</v>
      </c>
      <c r="E704" s="1267"/>
      <c r="F704" s="1267"/>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265" t="s">
        <v>519</v>
      </c>
      <c r="E707" s="1265"/>
      <c r="F707" s="1265"/>
      <c r="H707" s="402"/>
      <c r="I707" s="384"/>
      <c r="J707" s="402"/>
      <c r="K707" s="402"/>
    </row>
    <row r="708" spans="1:11">
      <c r="A708" s="384"/>
      <c r="B708" s="384"/>
      <c r="C708" s="384"/>
      <c r="D708" s="1265"/>
      <c r="E708" s="1265"/>
      <c r="F708" s="1265"/>
      <c r="H708" s="402"/>
      <c r="I708" s="384"/>
      <c r="J708" s="402"/>
      <c r="K708" s="402"/>
    </row>
    <row r="709" spans="1:11">
      <c r="A709" s="384"/>
      <c r="B709" s="384"/>
      <c r="C709" s="384"/>
      <c r="D709" s="1265"/>
      <c r="E709" s="1265"/>
      <c r="F709" s="1265"/>
      <c r="H709" s="402"/>
      <c r="I709" s="384"/>
      <c r="J709" s="402"/>
      <c r="K709" s="402"/>
    </row>
    <row r="710" spans="1:11">
      <c r="A710" s="384"/>
      <c r="B710" s="384"/>
      <c r="C710" s="384"/>
      <c r="D710" s="1265"/>
      <c r="E710" s="1265"/>
      <c r="F710" s="1265"/>
      <c r="H710" s="402"/>
      <c r="I710" s="384"/>
      <c r="J710" s="402"/>
      <c r="K710" s="402"/>
    </row>
    <row r="711" spans="1:11">
      <c r="A711" s="384"/>
      <c r="B711" s="384"/>
      <c r="C711" s="384"/>
      <c r="D711" s="1265"/>
      <c r="E711" s="1265"/>
      <c r="F711" s="1265"/>
      <c r="H711" s="402"/>
      <c r="I711" s="384"/>
      <c r="J711" s="402"/>
      <c r="K711" s="402"/>
    </row>
    <row r="712" spans="1:11">
      <c r="A712" s="384"/>
      <c r="B712" s="384"/>
      <c r="C712" s="384"/>
      <c r="D712" s="1265"/>
      <c r="E712" s="1265"/>
      <c r="F712" s="1265"/>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65" t="s">
        <v>520</v>
      </c>
      <c r="E714" s="1265"/>
      <c r="F714" s="1265"/>
      <c r="H714" s="402"/>
      <c r="I714" s="384"/>
      <c r="J714" s="402"/>
      <c r="K714" s="402"/>
    </row>
    <row r="715" spans="1:11">
      <c r="A715" s="384"/>
      <c r="B715" s="384"/>
      <c r="C715" s="384"/>
      <c r="D715" s="1265"/>
      <c r="E715" s="1265"/>
      <c r="F715" s="1265"/>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65" t="s">
        <v>521</v>
      </c>
      <c r="E717" s="1265"/>
      <c r="F717" s="1265"/>
      <c r="H717" s="402"/>
      <c r="I717" s="384"/>
      <c r="J717" s="402"/>
      <c r="K717" s="402"/>
    </row>
    <row r="718" spans="1:11">
      <c r="A718" s="384"/>
      <c r="B718" s="384"/>
      <c r="C718" s="384"/>
      <c r="D718" s="1265"/>
      <c r="E718" s="1265"/>
      <c r="F718" s="1265"/>
      <c r="H718" s="402"/>
      <c r="I718" s="384"/>
      <c r="J718" s="402"/>
      <c r="K718" s="402"/>
    </row>
    <row r="719" spans="1:11">
      <c r="A719" s="384"/>
      <c r="B719" s="384"/>
      <c r="C719" s="384"/>
      <c r="D719" s="1265"/>
      <c r="E719" s="1265"/>
      <c r="F719" s="1265"/>
      <c r="H719" s="402"/>
      <c r="I719" s="384"/>
      <c r="J719" s="402"/>
      <c r="K719" s="402"/>
    </row>
    <row r="720" spans="1:11" ht="15" customHeight="1">
      <c r="A720" s="384"/>
      <c r="B720" s="384"/>
      <c r="C720" s="384"/>
      <c r="D720" s="1265"/>
      <c r="E720" s="1265"/>
      <c r="F720" s="1265"/>
      <c r="H720" s="402"/>
      <c r="I720" s="384"/>
      <c r="J720" s="402"/>
      <c r="K720" s="402"/>
    </row>
    <row r="721" spans="1:11" ht="15" customHeight="1">
      <c r="A721" s="384"/>
      <c r="B721" s="384"/>
      <c r="C721" s="384"/>
      <c r="D721" s="1265"/>
      <c r="E721" s="1265"/>
      <c r="F721" s="1265"/>
      <c r="H721" s="402"/>
      <c r="I721" s="384"/>
      <c r="J721" s="402"/>
      <c r="K721" s="402"/>
    </row>
    <row r="722" spans="1:11">
      <c r="A722" s="384"/>
      <c r="B722" s="384"/>
      <c r="C722" s="384"/>
      <c r="D722" s="1265"/>
      <c r="E722" s="1265"/>
      <c r="F722" s="1265"/>
      <c r="H722" s="402"/>
      <c r="I722" s="384"/>
      <c r="J722" s="402"/>
      <c r="K722" s="402"/>
    </row>
    <row r="723" spans="1:11">
      <c r="A723" s="384"/>
      <c r="B723" s="384"/>
      <c r="C723" s="384"/>
      <c r="D723" s="1265"/>
      <c r="E723" s="1265"/>
      <c r="F723" s="1265"/>
      <c r="H723" s="402"/>
      <c r="I723" s="384"/>
      <c r="J723" s="402"/>
      <c r="K723" s="402"/>
    </row>
    <row r="724" spans="1:11">
      <c r="A724" s="384"/>
      <c r="B724" s="384"/>
      <c r="C724" s="384"/>
      <c r="D724" s="1265"/>
      <c r="E724" s="1265"/>
      <c r="F724" s="1265"/>
      <c r="H724" s="402"/>
      <c r="I724" s="384"/>
      <c r="J724" s="402"/>
      <c r="K724" s="402"/>
    </row>
    <row r="725" spans="1:11" ht="15" customHeight="1">
      <c r="A725" s="384"/>
      <c r="B725" s="384"/>
      <c r="C725" s="384"/>
      <c r="D725" s="1265"/>
      <c r="E725" s="1265"/>
      <c r="F725" s="1265"/>
      <c r="H725" s="402"/>
      <c r="I725" s="384"/>
      <c r="J725" s="402"/>
      <c r="K725" s="402"/>
    </row>
    <row r="726" spans="1:11">
      <c r="A726" s="384"/>
      <c r="B726" s="384"/>
      <c r="C726" s="384"/>
      <c r="D726" s="1265"/>
      <c r="E726" s="1265"/>
      <c r="F726" s="1265"/>
      <c r="H726" s="402"/>
      <c r="I726" s="384"/>
      <c r="J726" s="402"/>
      <c r="K726" s="402"/>
    </row>
    <row r="727" spans="1:11">
      <c r="A727" s="384"/>
      <c r="B727" s="384"/>
      <c r="C727" s="384"/>
      <c r="D727" s="1265"/>
      <c r="E727" s="1265"/>
      <c r="F727" s="1265"/>
      <c r="H727" s="402"/>
      <c r="I727" s="384"/>
      <c r="J727" s="402"/>
      <c r="K727" s="402"/>
    </row>
    <row r="728" spans="1:11">
      <c r="A728" s="384"/>
      <c r="B728" s="384"/>
      <c r="C728" s="384"/>
      <c r="D728" s="1265"/>
      <c r="E728" s="1265"/>
      <c r="F728" s="1265"/>
      <c r="H728" s="402"/>
      <c r="I728" s="384"/>
      <c r="J728" s="402"/>
      <c r="K728" s="402"/>
    </row>
    <row r="729" spans="1:11">
      <c r="A729" s="384"/>
      <c r="B729" s="384"/>
      <c r="C729" s="384"/>
      <c r="D729" s="1265"/>
      <c r="E729" s="1265"/>
      <c r="F729" s="1265"/>
      <c r="H729" s="402"/>
      <c r="I729" s="384"/>
      <c r="J729" s="402"/>
      <c r="K729" s="402"/>
    </row>
    <row r="730" spans="1:11">
      <c r="A730" s="384"/>
      <c r="B730" s="386" t="s">
        <v>316</v>
      </c>
      <c r="C730" s="384"/>
      <c r="D730" s="1265" t="s">
        <v>522</v>
      </c>
      <c r="E730" s="1265"/>
      <c r="F730" s="1265"/>
      <c r="H730" s="402"/>
      <c r="I730" s="384"/>
      <c r="J730" s="402"/>
      <c r="K730" s="402"/>
    </row>
    <row r="731" spans="1:11">
      <c r="A731" s="384"/>
      <c r="B731" s="384"/>
      <c r="C731" s="384"/>
      <c r="D731" s="1265"/>
      <c r="E731" s="1265"/>
      <c r="F731" s="1265"/>
      <c r="H731" s="402"/>
      <c r="I731" s="384"/>
      <c r="J731" s="402"/>
      <c r="K731" s="402"/>
    </row>
    <row r="732" spans="1:11">
      <c r="A732" s="384"/>
      <c r="B732" s="384"/>
      <c r="C732" s="384"/>
      <c r="D732" s="1265"/>
      <c r="E732" s="1265"/>
      <c r="F732" s="1265"/>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65" t="s">
        <v>523</v>
      </c>
      <c r="E734" s="1265"/>
      <c r="F734" s="1265"/>
      <c r="H734" s="402"/>
      <c r="I734" s="384"/>
      <c r="J734" s="402"/>
      <c r="K734" s="402"/>
    </row>
    <row r="735" spans="1:11">
      <c r="A735" s="384"/>
      <c r="B735" s="384"/>
      <c r="C735" s="384"/>
      <c r="D735" s="1265"/>
      <c r="E735" s="1265"/>
      <c r="F735" s="1265"/>
      <c r="H735" s="402"/>
      <c r="I735" s="384"/>
      <c r="J735" s="402"/>
      <c r="K735" s="402"/>
    </row>
    <row r="736" spans="1:11">
      <c r="A736" s="384"/>
      <c r="B736" s="384"/>
      <c r="C736" s="384"/>
      <c r="D736" s="1265"/>
      <c r="E736" s="1265"/>
      <c r="F736" s="1265"/>
      <c r="H736" s="402"/>
      <c r="I736" s="384"/>
      <c r="J736" s="402"/>
      <c r="K736" s="402"/>
    </row>
    <row r="737" spans="1:11">
      <c r="A737" s="384"/>
      <c r="B737" s="384"/>
      <c r="C737" s="384"/>
      <c r="H737" s="402"/>
      <c r="I737" s="384"/>
      <c r="J737" s="402"/>
      <c r="K737" s="402"/>
    </row>
    <row r="738" spans="1:11">
      <c r="A738" s="384"/>
      <c r="B738" s="386" t="s">
        <v>316</v>
      </c>
      <c r="C738" s="384"/>
      <c r="D738" s="1265" t="s">
        <v>524</v>
      </c>
      <c r="E738" s="1265"/>
      <c r="F738" s="1265"/>
      <c r="H738" s="402"/>
      <c r="I738" s="384"/>
      <c r="J738" s="402"/>
      <c r="K738" s="402"/>
    </row>
    <row r="739" spans="1:11">
      <c r="A739" s="384"/>
      <c r="B739" s="384"/>
      <c r="C739" s="384"/>
      <c r="D739" s="1265"/>
      <c r="E739" s="1265"/>
      <c r="F739" s="1265"/>
      <c r="H739" s="402"/>
      <c r="I739" s="384"/>
      <c r="J739" s="402"/>
      <c r="K739" s="402"/>
    </row>
    <row r="740" spans="1:11">
      <c r="A740" s="384"/>
      <c r="B740" s="384"/>
      <c r="C740" s="384"/>
      <c r="D740" s="1265"/>
      <c r="E740" s="1265"/>
      <c r="F740" s="1265"/>
      <c r="H740" s="402"/>
      <c r="I740" s="384"/>
      <c r="J740" s="402"/>
      <c r="K740" s="402"/>
    </row>
    <row r="741" spans="1:11">
      <c r="A741" s="384"/>
      <c r="B741" s="384"/>
      <c r="C741" s="384"/>
      <c r="D741" s="1265"/>
      <c r="E741" s="1265"/>
      <c r="F741" s="1265"/>
      <c r="H741" s="402"/>
      <c r="I741" s="384"/>
      <c r="J741" s="402"/>
      <c r="K741" s="402"/>
    </row>
    <row r="742" spans="1:11">
      <c r="A742" s="384"/>
      <c r="B742" s="384"/>
      <c r="C742" s="384"/>
      <c r="H742" s="402"/>
      <c r="I742" s="384"/>
      <c r="J742" s="402"/>
      <c r="K742" s="402"/>
    </row>
    <row r="743" spans="1:11" ht="14.25">
      <c r="A743" s="385"/>
      <c r="B743" s="386" t="s">
        <v>316</v>
      </c>
      <c r="C743" s="384"/>
      <c r="D743" s="1265" t="s">
        <v>525</v>
      </c>
      <c r="E743" s="1265"/>
      <c r="F743" s="1265"/>
      <c r="H743" s="402"/>
      <c r="I743" s="384"/>
      <c r="J743" s="402"/>
      <c r="K743" s="402"/>
    </row>
    <row r="744" spans="1:11">
      <c r="A744" s="384"/>
      <c r="B744" s="384"/>
      <c r="C744" s="384"/>
      <c r="D744" s="1265"/>
      <c r="E744" s="1265"/>
      <c r="F744" s="1265"/>
      <c r="H744" s="402"/>
      <c r="I744" s="384"/>
      <c r="J744" s="402"/>
      <c r="K744" s="402"/>
    </row>
    <row r="745" spans="1:11">
      <c r="A745" s="384"/>
      <c r="B745" s="384"/>
      <c r="C745" s="384"/>
      <c r="D745" s="1265"/>
      <c r="E745" s="1265"/>
      <c r="F745" s="1265"/>
      <c r="H745" s="402"/>
      <c r="I745" s="384"/>
      <c r="J745" s="402"/>
      <c r="K745" s="402"/>
    </row>
    <row r="746" spans="1:11">
      <c r="A746" s="384"/>
      <c r="B746" s="384"/>
      <c r="C746" s="384"/>
      <c r="D746" s="1265"/>
      <c r="E746" s="1265"/>
      <c r="F746" s="1265"/>
      <c r="H746" s="402"/>
      <c r="I746" s="384"/>
      <c r="J746" s="402"/>
      <c r="K746" s="402"/>
    </row>
    <row r="747" spans="1:11">
      <c r="A747" s="384"/>
      <c r="B747" s="384"/>
      <c r="C747" s="384"/>
      <c r="D747" s="1265"/>
      <c r="E747" s="1265"/>
      <c r="F747" s="1265"/>
      <c r="H747" s="402"/>
      <c r="I747" s="384"/>
      <c r="J747" s="402"/>
      <c r="K747" s="402"/>
    </row>
    <row r="748" spans="1:11">
      <c r="A748" s="384"/>
      <c r="B748" s="384"/>
      <c r="C748" s="384"/>
      <c r="D748" s="393"/>
      <c r="H748" s="402"/>
      <c r="I748" s="384"/>
      <c r="J748" s="402"/>
      <c r="K748" s="402"/>
    </row>
    <row r="749" spans="1:11" ht="14.25">
      <c r="A749" s="385"/>
      <c r="B749" s="386" t="s">
        <v>316</v>
      </c>
      <c r="C749" s="384"/>
      <c r="D749" s="1265" t="s">
        <v>526</v>
      </c>
      <c r="E749" s="1265"/>
      <c r="F749" s="1265"/>
      <c r="H749" s="402"/>
      <c r="I749" s="384"/>
      <c r="J749" s="402"/>
      <c r="K749" s="402"/>
    </row>
    <row r="750" spans="1:11">
      <c r="A750" s="384"/>
      <c r="B750" s="384"/>
      <c r="C750" s="384"/>
      <c r="D750" s="1265"/>
      <c r="E750" s="1265"/>
      <c r="F750" s="1265"/>
      <c r="H750" s="402"/>
      <c r="I750" s="384"/>
      <c r="J750" s="402"/>
      <c r="K750" s="402"/>
    </row>
    <row r="751" spans="1:11">
      <c r="A751" s="384"/>
      <c r="B751" s="384"/>
      <c r="C751" s="384"/>
      <c r="D751" s="1265"/>
      <c r="E751" s="1265"/>
      <c r="F751" s="1265"/>
      <c r="H751" s="402"/>
      <c r="I751" s="384"/>
      <c r="J751" s="402"/>
      <c r="K751" s="402"/>
    </row>
    <row r="752" spans="1:11">
      <c r="A752" s="384"/>
      <c r="B752" s="384"/>
      <c r="C752" s="384"/>
      <c r="D752" s="1265"/>
      <c r="E752" s="1265"/>
      <c r="F752" s="1265"/>
      <c r="H752" s="402"/>
      <c r="I752" s="384"/>
      <c r="J752" s="402"/>
      <c r="K752" s="402"/>
    </row>
    <row r="753" spans="1:11">
      <c r="A753" s="384"/>
      <c r="B753" s="384"/>
      <c r="C753" s="384"/>
      <c r="D753" s="1265"/>
      <c r="E753" s="1265"/>
      <c r="F753" s="1265"/>
      <c r="H753" s="402"/>
      <c r="I753" s="384"/>
      <c r="J753" s="402"/>
      <c r="K753" s="402"/>
    </row>
    <row r="754" spans="1:11">
      <c r="A754" s="384"/>
      <c r="B754" s="384"/>
      <c r="C754" s="384"/>
      <c r="D754" s="1265"/>
      <c r="E754" s="1265"/>
      <c r="F754" s="1265"/>
      <c r="H754" s="402"/>
      <c r="I754" s="384"/>
      <c r="J754" s="402"/>
      <c r="K754" s="402"/>
    </row>
    <row r="755" spans="1:11">
      <c r="A755" s="384"/>
      <c r="B755" s="384"/>
      <c r="C755" s="384"/>
      <c r="D755" s="1265"/>
      <c r="E755" s="1265"/>
      <c r="F755" s="1265"/>
      <c r="H755" s="402"/>
      <c r="I755" s="384"/>
      <c r="J755" s="402"/>
      <c r="K755" s="402"/>
    </row>
    <row r="756" spans="1:11">
      <c r="A756" s="384"/>
      <c r="B756" s="384"/>
      <c r="C756" s="384"/>
      <c r="D756" s="1270" t="s">
        <v>527</v>
      </c>
      <c r="E756" s="1270"/>
      <c r="F756" s="1270"/>
      <c r="H756" s="402"/>
      <c r="I756" s="384"/>
      <c r="J756" s="402"/>
      <c r="K756" s="402"/>
    </row>
    <row r="757" spans="1:11">
      <c r="A757" s="384"/>
      <c r="B757" s="384"/>
      <c r="C757" s="384"/>
      <c r="D757" s="244"/>
      <c r="H757" s="402"/>
      <c r="I757" s="384"/>
      <c r="J757" s="402"/>
      <c r="K757" s="402"/>
    </row>
    <row r="758" spans="1:11">
      <c r="A758" s="1269" t="s">
        <v>528</v>
      </c>
      <c r="B758" s="1269"/>
      <c r="C758" s="1269"/>
      <c r="D758" s="1269"/>
      <c r="E758" s="1269"/>
      <c r="F758" s="1269"/>
      <c r="G758" s="1269"/>
      <c r="H758" s="916"/>
      <c r="I758" s="1040"/>
      <c r="J758" s="402"/>
      <c r="K758" s="402"/>
    </row>
    <row r="759" spans="1:11">
      <c r="A759" s="384"/>
      <c r="B759" s="384"/>
      <c r="C759" s="384"/>
      <c r="D759" s="393"/>
      <c r="G759" s="402"/>
      <c r="H759" s="402"/>
      <c r="I759" s="384"/>
      <c r="J759" s="402"/>
      <c r="K759" s="402"/>
    </row>
    <row r="760" spans="1:11" ht="13.7" customHeight="1">
      <c r="C760" s="384"/>
      <c r="D760" s="1285" t="s">
        <v>529</v>
      </c>
      <c r="E760" s="1285"/>
      <c r="F760" s="1285"/>
      <c r="G760" s="402"/>
      <c r="H760" s="402"/>
      <c r="I760" s="384"/>
      <c r="J760" s="402"/>
      <c r="K760" s="402"/>
    </row>
    <row r="761" spans="1:11">
      <c r="A761" s="384"/>
      <c r="B761" s="384"/>
      <c r="C761" s="384"/>
      <c r="D761" s="1271" t="s">
        <v>530</v>
      </c>
      <c r="E761" s="1271"/>
      <c r="F761" s="1271"/>
      <c r="G761" s="402"/>
      <c r="H761" s="402"/>
      <c r="I761" s="384"/>
      <c r="J761" s="402"/>
      <c r="K761" s="402"/>
    </row>
    <row r="762" spans="1:11">
      <c r="A762" s="384"/>
      <c r="B762" s="384"/>
      <c r="C762" s="384"/>
      <c r="G762" s="402"/>
      <c r="H762" s="402"/>
      <c r="I762" s="384"/>
      <c r="J762" s="402"/>
      <c r="K762" s="402"/>
    </row>
    <row r="763" spans="1:11" ht="14.25">
      <c r="A763" s="385"/>
      <c r="B763" s="386" t="s">
        <v>311</v>
      </c>
      <c r="D763" s="1265" t="s">
        <v>531</v>
      </c>
      <c r="E763" s="1265"/>
      <c r="F763" s="1265"/>
      <c r="G763" s="402"/>
      <c r="H763" s="402"/>
      <c r="I763" s="384"/>
      <c r="J763" s="402"/>
      <c r="K763" s="402"/>
    </row>
    <row r="764" spans="1:11" ht="10.5" customHeight="1">
      <c r="D764" s="1265"/>
      <c r="E764" s="1265"/>
      <c r="F764" s="1265"/>
      <c r="G764" s="402"/>
      <c r="H764" s="402"/>
      <c r="I764" s="384"/>
      <c r="J764" s="402"/>
      <c r="K764" s="402"/>
    </row>
    <row r="765" spans="1:11">
      <c r="D765" s="1265"/>
      <c r="E765" s="1265"/>
      <c r="F765" s="1265"/>
      <c r="G765" s="402"/>
      <c r="H765" s="402"/>
      <c r="I765" s="384"/>
      <c r="J765" s="402"/>
      <c r="K765" s="402"/>
    </row>
    <row r="766" spans="1:11">
      <c r="D766" s="1265"/>
      <c r="E766" s="1265"/>
      <c r="F766" s="1265"/>
      <c r="G766" s="402"/>
      <c r="H766" s="402"/>
      <c r="I766" s="384"/>
      <c r="J766" s="402"/>
      <c r="K766" s="402"/>
    </row>
    <row r="767" spans="1:11">
      <c r="D767" s="1265"/>
      <c r="E767" s="1265"/>
      <c r="F767" s="1265"/>
      <c r="G767" s="402"/>
      <c r="H767" s="402"/>
      <c r="I767" s="384"/>
      <c r="J767" s="402"/>
      <c r="K767" s="402"/>
    </row>
    <row r="768" spans="1:11" ht="15.6" customHeight="1">
      <c r="D768" s="1265"/>
      <c r="E768" s="1265"/>
      <c r="F768" s="1265"/>
      <c r="G768" s="402"/>
      <c r="H768" s="402"/>
      <c r="I768" s="384"/>
      <c r="J768" s="402"/>
      <c r="K768" s="402"/>
    </row>
    <row r="769" spans="1:11">
      <c r="D769" s="400"/>
      <c r="E769" s="348"/>
      <c r="F769" s="348"/>
      <c r="G769" s="402"/>
      <c r="H769" s="402"/>
      <c r="I769" s="384"/>
      <c r="J769" s="402"/>
      <c r="K769" s="402"/>
    </row>
    <row r="770" spans="1:11" s="406" customFormat="1" ht="14.25">
      <c r="A770" s="404"/>
      <c r="B770" s="386" t="s">
        <v>316</v>
      </c>
      <c r="C770" s="405"/>
      <c r="D770" s="1265" t="s">
        <v>532</v>
      </c>
      <c r="E770" s="1265"/>
      <c r="F770" s="1265"/>
      <c r="I770" s="1041"/>
    </row>
    <row r="771" spans="1:11" s="406" customFormat="1">
      <c r="A771" s="405"/>
      <c r="B771" s="405"/>
      <c r="C771" s="405"/>
      <c r="D771" s="1265"/>
      <c r="E771" s="1265"/>
      <c r="F771" s="1265"/>
      <c r="I771" s="1041"/>
    </row>
    <row r="772" spans="1:11" s="406" customFormat="1">
      <c r="A772" s="405"/>
      <c r="B772" s="405"/>
      <c r="C772" s="405"/>
      <c r="D772" s="1265"/>
      <c r="E772" s="1265"/>
      <c r="F772" s="1265"/>
      <c r="I772" s="1041"/>
    </row>
    <row r="773" spans="1:11" s="406" customFormat="1">
      <c r="A773" s="405"/>
      <c r="B773" s="405"/>
      <c r="C773" s="405"/>
      <c r="D773" s="1265"/>
      <c r="E773" s="1265"/>
      <c r="F773" s="1265"/>
      <c r="I773" s="1041"/>
    </row>
    <row r="774" spans="1:11" s="406" customFormat="1">
      <c r="A774" s="405"/>
      <c r="B774" s="405"/>
      <c r="C774" s="405"/>
      <c r="D774" s="400"/>
      <c r="I774" s="1041"/>
    </row>
    <row r="775" spans="1:11" s="406" customFormat="1" ht="14.25">
      <c r="A775" s="385"/>
      <c r="B775" s="386" t="s">
        <v>316</v>
      </c>
      <c r="C775" s="405"/>
      <c r="D775" s="1264" t="s">
        <v>533</v>
      </c>
      <c r="E775" s="1264"/>
      <c r="F775" s="1264"/>
      <c r="I775" s="1041"/>
    </row>
    <row r="776" spans="1:11" s="406" customFormat="1">
      <c r="A776" s="405"/>
      <c r="B776" s="405"/>
      <c r="C776" s="405"/>
      <c r="D776" s="1264"/>
      <c r="E776" s="1264"/>
      <c r="F776" s="1264"/>
      <c r="I776" s="1041"/>
    </row>
    <row r="777" spans="1:11" s="406" customFormat="1">
      <c r="A777" s="405"/>
      <c r="B777" s="405"/>
      <c r="C777" s="405"/>
      <c r="D777" s="1264"/>
      <c r="E777" s="1264"/>
      <c r="F777" s="1264"/>
      <c r="I777" s="1041"/>
    </row>
    <row r="778" spans="1:11">
      <c r="D778" s="400"/>
      <c r="E778" s="348"/>
      <c r="F778" s="348"/>
      <c r="G778" s="402"/>
      <c r="H778" s="402"/>
      <c r="I778" s="384"/>
      <c r="J778" s="402"/>
      <c r="K778" s="402"/>
    </row>
    <row r="779" spans="1:11" ht="14.25">
      <c r="A779" s="385"/>
      <c r="B779" s="386" t="s">
        <v>316</v>
      </c>
      <c r="D779" s="1265" t="s">
        <v>534</v>
      </c>
      <c r="E779" s="1265"/>
      <c r="F779" s="1265"/>
      <c r="G779" s="402"/>
      <c r="H779" s="402"/>
      <c r="I779" s="384"/>
      <c r="J779" s="402"/>
      <c r="K779" s="402"/>
    </row>
    <row r="780" spans="1:11">
      <c r="D780" s="1265"/>
      <c r="E780" s="1265"/>
      <c r="F780" s="1265"/>
      <c r="G780" s="402"/>
      <c r="H780" s="402"/>
      <c r="I780" s="384"/>
      <c r="J780" s="402"/>
      <c r="K780" s="402"/>
    </row>
    <row r="781" spans="1:11">
      <c r="D781" s="347"/>
      <c r="E781" s="347"/>
      <c r="F781" s="347"/>
      <c r="G781" s="402"/>
      <c r="H781" s="402"/>
      <c r="I781" s="384"/>
      <c r="J781" s="402"/>
      <c r="K781" s="402"/>
    </row>
    <row r="782" spans="1:11">
      <c r="B782" s="386" t="s">
        <v>316</v>
      </c>
      <c r="D782" s="1265" t="s">
        <v>535</v>
      </c>
      <c r="E782" s="1265"/>
      <c r="F782" s="1265"/>
      <c r="G782" s="402"/>
      <c r="H782" s="402"/>
      <c r="I782" s="384"/>
      <c r="J782" s="402"/>
      <c r="K782" s="402"/>
    </row>
    <row r="783" spans="1:11">
      <c r="D783" s="1265"/>
      <c r="E783" s="1265"/>
      <c r="F783" s="1265"/>
      <c r="G783" s="402"/>
      <c r="H783" s="402"/>
      <c r="I783" s="384"/>
      <c r="J783" s="402"/>
      <c r="K783" s="402"/>
    </row>
    <row r="784" spans="1:11">
      <c r="D784" s="1265"/>
      <c r="E784" s="1265"/>
      <c r="F784" s="1265"/>
      <c r="G784" s="402"/>
      <c r="H784" s="402"/>
      <c r="I784" s="384"/>
      <c r="J784" s="402"/>
      <c r="K784" s="402"/>
    </row>
    <row r="785" spans="1:11">
      <c r="D785" s="347"/>
      <c r="E785" s="347"/>
      <c r="F785" s="347"/>
      <c r="G785" s="402"/>
      <c r="H785" s="402"/>
      <c r="I785" s="384"/>
      <c r="J785" s="402"/>
      <c r="K785" s="402"/>
    </row>
    <row r="786" spans="1:11">
      <c r="A786" s="1284" t="s">
        <v>536</v>
      </c>
      <c r="B786" s="1284"/>
      <c r="C786" s="1284"/>
      <c r="D786" s="1284"/>
      <c r="E786" s="1284"/>
      <c r="F786" s="1284"/>
      <c r="G786" s="1284"/>
      <c r="H786" s="914"/>
      <c r="I786" s="1036"/>
    </row>
    <row r="787" spans="1:11">
      <c r="A787" s="49"/>
      <c r="B787" s="49"/>
      <c r="C787" s="257"/>
      <c r="D787" s="3"/>
      <c r="E787" s="3"/>
      <c r="F787" s="3"/>
      <c r="G787" s="3"/>
      <c r="I787" s="391"/>
    </row>
    <row r="788" spans="1:11">
      <c r="A788" s="49"/>
      <c r="B788" s="49"/>
      <c r="C788" s="257"/>
      <c r="D788" s="1283" t="s">
        <v>537</v>
      </c>
      <c r="E788" s="1283"/>
      <c r="F788" s="1283"/>
      <c r="G788" s="3"/>
      <c r="I788" s="391"/>
    </row>
    <row r="789" spans="1:11">
      <c r="A789" s="49"/>
      <c r="B789" s="49"/>
      <c r="C789" s="257"/>
      <c r="D789" s="1275" t="s">
        <v>538</v>
      </c>
      <c r="E789" s="1275"/>
      <c r="F789" s="1275"/>
      <c r="G789" s="3"/>
      <c r="I789" s="391"/>
    </row>
    <row r="790" spans="1:11">
      <c r="A790" s="49"/>
      <c r="B790" s="49"/>
      <c r="C790" s="257"/>
      <c r="D790" s="349"/>
      <c r="E790" s="349"/>
      <c r="F790" s="349"/>
      <c r="G790" s="3"/>
      <c r="I790" s="391"/>
    </row>
    <row r="791" spans="1:11">
      <c r="A791" s="49"/>
      <c r="B791" s="386" t="s">
        <v>316</v>
      </c>
      <c r="C791" s="257"/>
      <c r="D791" s="1257" t="s">
        <v>539</v>
      </c>
      <c r="E791" s="1257"/>
      <c r="F791" s="1257"/>
      <c r="G791" s="3"/>
      <c r="I791" s="384"/>
    </row>
    <row r="792" spans="1:11">
      <c r="A792" s="49"/>
      <c r="B792" s="49"/>
      <c r="C792" s="257"/>
      <c r="D792" s="1257"/>
      <c r="E792" s="1257"/>
      <c r="F792" s="1257"/>
      <c r="G792" s="3"/>
      <c r="I792" s="391"/>
    </row>
    <row r="793" spans="1:11">
      <c r="A793" s="121"/>
      <c r="B793" s="121"/>
      <c r="C793" s="121"/>
      <c r="D793" s="1257"/>
      <c r="E793" s="1257"/>
      <c r="F793" s="1257"/>
      <c r="G793" s="84"/>
      <c r="I793" s="391"/>
    </row>
    <row r="794" spans="1:11">
      <c r="A794" s="257"/>
      <c r="B794" s="257"/>
      <c r="C794" s="257"/>
      <c r="D794" s="120"/>
      <c r="E794" s="3"/>
      <c r="F794" s="3"/>
      <c r="G794" s="3"/>
      <c r="I794" s="391"/>
    </row>
    <row r="795" spans="1:11">
      <c r="A795" s="119"/>
      <c r="B795" s="386" t="s">
        <v>316</v>
      </c>
      <c r="C795" s="119"/>
      <c r="D795" s="1257" t="s">
        <v>540</v>
      </c>
      <c r="E795" s="1257"/>
      <c r="F795" s="1257"/>
      <c r="G795" s="3"/>
      <c r="I795" s="384"/>
    </row>
    <row r="796" spans="1:11">
      <c r="A796" s="119"/>
      <c r="B796" s="119"/>
      <c r="C796" s="119"/>
      <c r="D796" s="1257"/>
      <c r="E796" s="1257"/>
      <c r="F796" s="1257"/>
      <c r="G796" s="3"/>
      <c r="I796" s="391"/>
    </row>
    <row r="797" spans="1:11">
      <c r="A797" s="119"/>
      <c r="B797" s="119"/>
      <c r="C797" s="119"/>
      <c r="D797" s="1257"/>
      <c r="E797" s="1257"/>
      <c r="F797" s="1257"/>
      <c r="G797" s="3"/>
      <c r="I797" s="391"/>
    </row>
    <row r="798" spans="1:11">
      <c r="A798" s="121"/>
      <c r="B798" s="121"/>
      <c r="C798" s="121"/>
      <c r="D798" s="3"/>
      <c r="E798" s="877"/>
      <c r="F798" s="877"/>
      <c r="G798" s="877"/>
      <c r="I798" s="391"/>
    </row>
    <row r="799" spans="1:11" ht="14.25">
      <c r="A799" s="122"/>
      <c r="B799" s="386" t="s">
        <v>316</v>
      </c>
      <c r="C799" s="878"/>
      <c r="D799" s="1257" t="s">
        <v>541</v>
      </c>
      <c r="E799" s="1257"/>
      <c r="F799" s="1257"/>
      <c r="G799" s="877"/>
      <c r="I799" s="384"/>
    </row>
    <row r="800" spans="1:11" ht="14.25">
      <c r="A800" s="122"/>
      <c r="B800" s="122"/>
      <c r="C800" s="878"/>
      <c r="D800" s="1257"/>
      <c r="E800" s="1257"/>
      <c r="F800" s="1257"/>
      <c r="G800" s="877"/>
      <c r="I800" s="391"/>
    </row>
    <row r="801" spans="1:9" ht="14.25">
      <c r="A801" s="122"/>
      <c r="B801" s="122"/>
      <c r="C801" s="878"/>
      <c r="D801" s="1257"/>
      <c r="E801" s="1257"/>
      <c r="F801" s="1257"/>
      <c r="G801" s="877"/>
      <c r="I801" s="391"/>
    </row>
    <row r="802" spans="1:9" ht="14.25">
      <c r="A802" s="122"/>
      <c r="B802" s="122"/>
      <c r="C802" s="878"/>
      <c r="D802" s="84"/>
      <c r="E802" s="3"/>
      <c r="F802" s="3"/>
      <c r="G802" s="877"/>
      <c r="I802" s="391"/>
    </row>
    <row r="803" spans="1:9" ht="14.25">
      <c r="A803" s="122"/>
      <c r="B803" s="386" t="s">
        <v>316</v>
      </c>
      <c r="C803" s="878"/>
      <c r="D803" s="1257" t="s">
        <v>542</v>
      </c>
      <c r="E803" s="1257"/>
      <c r="F803" s="1257"/>
      <c r="G803" s="877"/>
      <c r="I803" s="384"/>
    </row>
    <row r="804" spans="1:9" ht="14.25">
      <c r="A804" s="122"/>
      <c r="B804" s="122"/>
      <c r="C804" s="878"/>
      <c r="D804" s="1257"/>
      <c r="E804" s="1257"/>
      <c r="F804" s="1257"/>
      <c r="G804" s="877"/>
      <c r="I804" s="391"/>
    </row>
    <row r="805" spans="1:9" ht="14.25">
      <c r="A805" s="122"/>
      <c r="B805" s="122"/>
      <c r="C805" s="878"/>
      <c r="D805" s="1257"/>
      <c r="E805" s="1257"/>
      <c r="F805" s="1257"/>
      <c r="G805" s="877"/>
      <c r="I805" s="391"/>
    </row>
    <row r="806" spans="1:9" ht="14.25">
      <c r="A806" s="122"/>
      <c r="B806" s="122"/>
      <c r="C806" s="878"/>
      <c r="D806" s="1257"/>
      <c r="E806" s="1257"/>
      <c r="F806" s="1257"/>
      <c r="G806" s="877"/>
      <c r="I806" s="391"/>
    </row>
    <row r="807" spans="1:9" ht="14.25">
      <c r="A807" s="122"/>
      <c r="B807" s="122"/>
      <c r="C807" s="878"/>
      <c r="D807" s="1257"/>
      <c r="E807" s="1257"/>
      <c r="F807" s="1257"/>
      <c r="G807" s="877"/>
      <c r="I807" s="391"/>
    </row>
    <row r="808" spans="1:9" ht="14.25">
      <c r="A808" s="122"/>
      <c r="B808" s="122"/>
      <c r="C808" s="878"/>
      <c r="D808" s="1257"/>
      <c r="E808" s="1257"/>
      <c r="F808" s="1257"/>
      <c r="G808" s="877"/>
      <c r="I808" s="391"/>
    </row>
    <row r="809" spans="1:9" ht="14.25">
      <c r="A809" s="122"/>
      <c r="B809" s="122"/>
      <c r="C809" s="878"/>
      <c r="D809" s="1257" t="s">
        <v>543</v>
      </c>
      <c r="E809" s="1257"/>
      <c r="F809" s="1257"/>
      <c r="G809" s="877"/>
      <c r="I809" s="391"/>
    </row>
    <row r="810" spans="1:9" ht="14.25">
      <c r="A810" s="122"/>
      <c r="B810" s="122"/>
      <c r="C810" s="878"/>
      <c r="D810" s="1257"/>
      <c r="E810" s="1257"/>
      <c r="F810" s="1257"/>
      <c r="G810" s="877"/>
      <c r="I810" s="391"/>
    </row>
    <row r="811" spans="1:9" ht="14.25">
      <c r="A811" s="122"/>
      <c r="B811" s="122"/>
      <c r="C811" s="878"/>
      <c r="D811" s="1257"/>
      <c r="E811" s="1257"/>
      <c r="F811" s="1257"/>
      <c r="G811" s="877"/>
      <c r="I811" s="391"/>
    </row>
    <row r="812" spans="1:9" ht="14.25">
      <c r="A812" s="122"/>
      <c r="B812" s="257"/>
      <c r="C812" s="878"/>
      <c r="D812" s="879"/>
      <c r="E812" s="879"/>
      <c r="F812" s="879"/>
      <c r="G812" s="877"/>
      <c r="I812" s="391"/>
    </row>
    <row r="813" spans="1:9" ht="14.25">
      <c r="A813" s="122"/>
      <c r="B813" s="386" t="s">
        <v>316</v>
      </c>
      <c r="C813" s="878"/>
      <c r="D813" s="1257" t="s">
        <v>544</v>
      </c>
      <c r="E813" s="1257"/>
      <c r="F813" s="1257"/>
      <c r="G813" s="877"/>
      <c r="I813" s="384"/>
    </row>
    <row r="814" spans="1:9" ht="14.25">
      <c r="A814" s="122"/>
      <c r="B814" s="122"/>
      <c r="C814" s="878"/>
      <c r="D814" s="1257"/>
      <c r="E814" s="1257"/>
      <c r="F814" s="1257"/>
      <c r="G814" s="877"/>
      <c r="I814" s="391"/>
    </row>
    <row r="815" spans="1:9" ht="14.25">
      <c r="A815" s="122"/>
      <c r="B815" s="122"/>
      <c r="C815" s="878"/>
      <c r="D815" s="1257"/>
      <c r="E815" s="1257"/>
      <c r="F815" s="1257"/>
      <c r="G815" s="877"/>
      <c r="I815" s="391"/>
    </row>
    <row r="816" spans="1:9" ht="14.25">
      <c r="A816" s="122"/>
      <c r="B816" s="122"/>
      <c r="C816" s="878"/>
      <c r="D816" s="1257"/>
      <c r="E816" s="1257"/>
      <c r="F816" s="1257"/>
      <c r="G816" s="877"/>
      <c r="I816" s="391"/>
    </row>
    <row r="817" spans="1:9" ht="14.25">
      <c r="A817" s="122"/>
      <c r="B817" s="122"/>
      <c r="C817" s="878"/>
      <c r="D817" s="1257"/>
      <c r="E817" s="1257"/>
      <c r="F817" s="1257"/>
      <c r="G817" s="877"/>
      <c r="I817" s="391"/>
    </row>
    <row r="818" spans="1:9" ht="14.25">
      <c r="A818" s="122"/>
      <c r="B818" s="122"/>
      <c r="C818" s="878"/>
      <c r="D818" s="1257"/>
      <c r="E818" s="1257"/>
      <c r="F818" s="1257"/>
      <c r="G818" s="877"/>
      <c r="I818" s="391"/>
    </row>
    <row r="819" spans="1:9" ht="14.25">
      <c r="A819" s="122"/>
      <c r="B819" s="122"/>
      <c r="C819" s="878"/>
      <c r="D819" s="871"/>
      <c r="E819" s="871"/>
      <c r="F819" s="871"/>
      <c r="G819" s="877"/>
      <c r="I819" s="391"/>
    </row>
    <row r="820" spans="1:9" ht="14.25">
      <c r="A820" s="122"/>
      <c r="B820" s="386" t="s">
        <v>316</v>
      </c>
      <c r="C820" s="878"/>
      <c r="D820" s="1257" t="s">
        <v>545</v>
      </c>
      <c r="E820" s="1257"/>
      <c r="F820" s="1257"/>
      <c r="G820" s="877"/>
      <c r="I820" s="384"/>
    </row>
    <row r="821" spans="1:9" ht="14.25">
      <c r="A821" s="122"/>
      <c r="B821" s="122"/>
      <c r="C821" s="878"/>
      <c r="D821" s="1257"/>
      <c r="E821" s="1257"/>
      <c r="F821" s="1257"/>
      <c r="G821" s="877"/>
      <c r="I821" s="391"/>
    </row>
    <row r="822" spans="1:9" ht="14.25">
      <c r="A822" s="122"/>
      <c r="B822" s="122"/>
      <c r="C822" s="878"/>
      <c r="D822" s="1257"/>
      <c r="E822" s="1257"/>
      <c r="F822" s="1257"/>
      <c r="G822" s="877"/>
      <c r="I822" s="391"/>
    </row>
    <row r="823" spans="1:9" ht="14.25">
      <c r="A823" s="122"/>
      <c r="B823" s="122"/>
      <c r="C823" s="878"/>
      <c r="D823" s="1257"/>
      <c r="E823" s="1257"/>
      <c r="F823" s="1257"/>
      <c r="G823" s="877"/>
      <c r="I823" s="391"/>
    </row>
    <row r="824" spans="1:9" ht="14.25">
      <c r="A824" s="122"/>
      <c r="B824" s="122"/>
      <c r="C824" s="878"/>
      <c r="D824" s="1257"/>
      <c r="E824" s="1257"/>
      <c r="F824" s="1257"/>
      <c r="G824" s="877"/>
      <c r="I824" s="391"/>
    </row>
    <row r="825" spans="1:9" ht="14.25">
      <c r="A825" s="122"/>
      <c r="B825" s="122"/>
      <c r="C825" s="878"/>
      <c r="D825" s="1257"/>
      <c r="E825" s="1257"/>
      <c r="F825" s="1257"/>
      <c r="G825" s="877"/>
      <c r="I825" s="391"/>
    </row>
    <row r="826" spans="1:9" ht="14.25">
      <c r="A826" s="122"/>
      <c r="B826" s="122"/>
      <c r="C826" s="878"/>
      <c r="D826" s="871"/>
      <c r="E826" s="871"/>
      <c r="F826" s="871"/>
      <c r="G826" s="877"/>
      <c r="I826" s="391"/>
    </row>
    <row r="827" spans="1:9" ht="14.25">
      <c r="A827" s="122"/>
      <c r="B827" s="386" t="s">
        <v>316</v>
      </c>
      <c r="C827" s="878"/>
      <c r="D827" s="1253" t="s">
        <v>546</v>
      </c>
      <c r="E827" s="1253"/>
      <c r="F827" s="1253"/>
      <c r="G827" s="877"/>
      <c r="I827" s="384"/>
    </row>
    <row r="828" spans="1:9" ht="14.25">
      <c r="A828" s="122"/>
      <c r="B828" s="122"/>
      <c r="C828" s="878"/>
      <c r="D828" s="1253"/>
      <c r="E828" s="1253"/>
      <c r="F828" s="1253"/>
      <c r="G828" s="877"/>
      <c r="I828" s="391"/>
    </row>
    <row r="829" spans="1:9">
      <c r="A829" s="12"/>
      <c r="B829" s="12"/>
      <c r="C829" s="878"/>
      <c r="D829" s="1253"/>
      <c r="E829" s="1253"/>
      <c r="F829" s="1253"/>
      <c r="G829" s="877"/>
      <c r="I829" s="391"/>
    </row>
    <row r="830" spans="1:9" ht="14.25">
      <c r="A830" s="122"/>
      <c r="B830" s="12"/>
      <c r="C830" s="878"/>
      <c r="D830" s="1253"/>
      <c r="E830" s="1253"/>
      <c r="F830" s="1253"/>
      <c r="G830" s="877"/>
      <c r="I830" s="391"/>
    </row>
    <row r="831" spans="1:9" ht="12.75" customHeight="1">
      <c r="A831" s="122"/>
      <c r="B831" s="12"/>
      <c r="C831" s="878"/>
      <c r="D831" s="1253"/>
      <c r="E831" s="1253"/>
      <c r="F831" s="1253"/>
      <c r="G831" s="877"/>
      <c r="I831" s="391"/>
    </row>
    <row r="832" spans="1:9" ht="12.75" customHeight="1">
      <c r="A832" s="122"/>
      <c r="B832" s="12"/>
      <c r="C832" s="878"/>
      <c r="D832" s="1253"/>
      <c r="E832" s="1253"/>
      <c r="F832" s="1253"/>
      <c r="G832" s="877"/>
      <c r="I832" s="391"/>
    </row>
    <row r="833" spans="1:9" ht="12.75" customHeight="1">
      <c r="A833" s="12"/>
      <c r="B833" s="12"/>
      <c r="C833" s="878"/>
      <c r="D833" s="877"/>
      <c r="E833" s="3"/>
      <c r="F833" s="3"/>
      <c r="G833" s="877"/>
      <c r="I833" s="391"/>
    </row>
    <row r="834" spans="1:9" ht="12.75" customHeight="1">
      <c r="A834" s="1251" t="s">
        <v>547</v>
      </c>
      <c r="B834" s="1251"/>
      <c r="C834" s="1251"/>
      <c r="D834" s="1251"/>
      <c r="E834" s="1251"/>
      <c r="F834" s="1251"/>
      <c r="G834" s="1251"/>
      <c r="H834" s="914"/>
      <c r="I834" s="1036"/>
    </row>
    <row r="835" spans="1:9" ht="12.75" customHeight="1">
      <c r="A835" s="119"/>
      <c r="B835" s="119"/>
      <c r="C835" s="878"/>
      <c r="D835" s="877"/>
      <c r="E835" s="877"/>
      <c r="F835" s="877"/>
      <c r="G835" s="877"/>
      <c r="I835" s="391"/>
    </row>
    <row r="836" spans="1:9" ht="12.75" customHeight="1">
      <c r="A836" s="122"/>
      <c r="B836" s="122"/>
      <c r="C836" s="257"/>
      <c r="D836" s="1273" t="s">
        <v>548</v>
      </c>
      <c r="E836" s="1273"/>
      <c r="F836" s="1273"/>
      <c r="G836" s="3"/>
      <c r="I836" s="391"/>
    </row>
    <row r="837" spans="1:9" ht="14.25" customHeight="1">
      <c r="A837" s="122"/>
      <c r="B837" s="122"/>
      <c r="C837" s="257"/>
      <c r="D837" s="1230" t="s">
        <v>549</v>
      </c>
      <c r="E837" s="1230"/>
      <c r="F837" s="1230"/>
      <c r="G837" s="3"/>
      <c r="I837" s="391"/>
    </row>
    <row r="838" spans="1:9" ht="12.75" customHeight="1">
      <c r="A838" s="122"/>
      <c r="B838" s="122"/>
      <c r="C838" s="257"/>
      <c r="D838" s="344"/>
      <c r="E838" s="344"/>
      <c r="F838" s="344"/>
      <c r="G838" s="3"/>
      <c r="I838" s="391"/>
    </row>
    <row r="839" spans="1:9" ht="12.75" customHeight="1">
      <c r="A839" s="257"/>
      <c r="B839" s="386" t="s">
        <v>311</v>
      </c>
      <c r="C839" s="878"/>
      <c r="D839" s="1230" t="s">
        <v>550</v>
      </c>
      <c r="E839" s="1230"/>
      <c r="F839" s="1230"/>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74" t="s">
        <v>552</v>
      </c>
      <c r="E842" s="1274"/>
      <c r="F842" s="1274"/>
      <c r="G842" s="3"/>
      <c r="I842" s="391"/>
    </row>
    <row r="843" spans="1:9" ht="12.75" hidden="1" customHeight="1">
      <c r="A843" s="12"/>
      <c r="B843" s="12"/>
      <c r="C843" s="878"/>
      <c r="D843" s="1274"/>
      <c r="E843" s="1274"/>
      <c r="F843" s="1274"/>
      <c r="G843" s="3"/>
      <c r="I843" s="391"/>
    </row>
    <row r="844" spans="1:9" ht="12.75" hidden="1" customHeight="1">
      <c r="A844" s="12"/>
      <c r="B844" s="12"/>
      <c r="C844" s="878"/>
      <c r="D844" s="1274"/>
      <c r="E844" s="1274"/>
      <c r="F844" s="1274"/>
      <c r="G844" s="3"/>
      <c r="I844" s="391"/>
    </row>
    <row r="845" spans="1:9" ht="12.75" hidden="1" customHeight="1">
      <c r="A845" s="12"/>
      <c r="B845" s="12"/>
      <c r="C845" s="878"/>
      <c r="D845" s="1274"/>
      <c r="E845" s="1274"/>
      <c r="F845" s="1274"/>
      <c r="G845" s="3"/>
      <c r="I845" s="391"/>
    </row>
    <row r="846" spans="1:9" ht="12.75" hidden="1" customHeight="1">
      <c r="A846" s="12"/>
      <c r="B846" s="12"/>
      <c r="C846" s="878"/>
      <c r="D846" s="1274"/>
      <c r="E846" s="1274"/>
      <c r="F846" s="1274"/>
      <c r="G846" s="3"/>
      <c r="I846" s="391"/>
    </row>
    <row r="847" spans="1:9" ht="12.75" hidden="1" customHeight="1">
      <c r="A847" s="12"/>
      <c r="B847" s="12"/>
      <c r="C847" s="878"/>
      <c r="D847" s="1274"/>
      <c r="E847" s="1274"/>
      <c r="F847" s="1274"/>
      <c r="G847" s="3"/>
      <c r="I847" s="391"/>
    </row>
    <row r="848" spans="1:9" ht="12.75" hidden="1" customHeight="1">
      <c r="A848" s="12"/>
      <c r="B848" s="12"/>
      <c r="C848" s="878"/>
      <c r="D848" s="1274"/>
      <c r="E848" s="1274"/>
      <c r="F848" s="1274"/>
      <c r="G848" s="3"/>
      <c r="I848" s="391"/>
    </row>
    <row r="849" spans="1:9" ht="12.75" hidden="1" customHeight="1">
      <c r="A849" s="12"/>
      <c r="B849" s="12"/>
      <c r="C849" s="878"/>
      <c r="D849" s="1274"/>
      <c r="E849" s="1274"/>
      <c r="F849" s="1274"/>
      <c r="G849" s="3"/>
      <c r="I849" s="391"/>
    </row>
    <row r="850" spans="1:9" ht="12.75" hidden="1" customHeight="1">
      <c r="A850" s="12"/>
      <c r="B850" s="12"/>
      <c r="C850" s="878"/>
      <c r="D850" s="1274"/>
      <c r="E850" s="1274"/>
      <c r="F850" s="1274"/>
      <c r="G850" s="3"/>
      <c r="I850" s="391"/>
    </row>
    <row r="851" spans="1:9" ht="12.75" hidden="1" customHeight="1">
      <c r="A851" s="12"/>
      <c r="B851" s="12"/>
      <c r="C851" s="878"/>
      <c r="D851" s="1274"/>
      <c r="E851" s="1274"/>
      <c r="F851" s="1274"/>
      <c r="G851" s="3"/>
      <c r="I851" s="391"/>
    </row>
    <row r="852" spans="1:9" ht="12.75" hidden="1" customHeight="1">
      <c r="A852" s="12"/>
      <c r="B852" s="12"/>
      <c r="C852" s="878"/>
      <c r="D852" s="880"/>
      <c r="E852" s="3"/>
      <c r="F852" s="3"/>
      <c r="G852" s="3"/>
      <c r="I852" s="391"/>
    </row>
    <row r="853" spans="1:9" ht="12.75" customHeight="1">
      <c r="A853" s="122"/>
      <c r="B853" s="386" t="s">
        <v>311</v>
      </c>
      <c r="C853" s="878"/>
      <c r="D853" s="1230" t="s">
        <v>553</v>
      </c>
      <c r="E853" s="1230"/>
      <c r="F853" s="1230"/>
      <c r="G853" s="3"/>
      <c r="I853" s="391" t="s">
        <v>554</v>
      </c>
    </row>
    <row r="854" spans="1:9" ht="12.75" customHeight="1">
      <c r="A854" s="122"/>
      <c r="B854" s="122"/>
      <c r="C854" s="878"/>
      <c r="D854" s="1230"/>
      <c r="E854" s="1230"/>
      <c r="F854" s="1230"/>
      <c r="G854" s="3"/>
      <c r="I854" s="391"/>
    </row>
    <row r="855" spans="1:9" ht="12.75" customHeight="1">
      <c r="A855" s="122"/>
      <c r="B855" s="122"/>
      <c r="C855" s="878"/>
      <c r="D855" s="1230"/>
      <c r="E855" s="1230"/>
      <c r="F855" s="1230"/>
      <c r="G855" s="3"/>
      <c r="I855" s="391"/>
    </row>
    <row r="856" spans="1:9" ht="12.75" customHeight="1">
      <c r="A856" s="122"/>
      <c r="B856" s="122"/>
      <c r="C856" s="878"/>
      <c r="D856" s="84"/>
      <c r="E856" s="3"/>
      <c r="F856" s="3"/>
      <c r="G856" s="3"/>
      <c r="I856" s="391"/>
    </row>
    <row r="857" spans="1:9" ht="12.75" customHeight="1">
      <c r="A857" s="881"/>
      <c r="B857" s="386" t="s">
        <v>316</v>
      </c>
      <c r="C857" s="878"/>
      <c r="D857" s="1273" t="s">
        <v>555</v>
      </c>
      <c r="E857" s="1273"/>
      <c r="F857" s="1273"/>
      <c r="G857" s="3"/>
      <c r="I857" s="391"/>
    </row>
    <row r="858" spans="1:9" ht="12.75" customHeight="1">
      <c r="A858" s="257"/>
      <c r="B858" s="881"/>
      <c r="C858" s="878"/>
      <c r="D858" s="1273"/>
      <c r="E858" s="1273"/>
      <c r="F858" s="1273"/>
      <c r="G858" s="3"/>
      <c r="I858" s="391"/>
    </row>
    <row r="859" spans="1:9" ht="12.75" customHeight="1">
      <c r="A859" s="122"/>
      <c r="B859" s="257"/>
      <c r="C859" s="878"/>
      <c r="D859" s="1230" t="s">
        <v>556</v>
      </c>
      <c r="E859" s="1230"/>
      <c r="F859" s="1230"/>
      <c r="G859" s="3"/>
      <c r="I859" s="391"/>
    </row>
    <row r="860" spans="1:9" ht="12.75" customHeight="1">
      <c r="A860" s="122"/>
      <c r="B860" s="122"/>
      <c r="C860" s="878"/>
      <c r="D860" s="1230"/>
      <c r="E860" s="1230"/>
      <c r="F860" s="1230"/>
      <c r="G860" s="3"/>
      <c r="I860" s="391"/>
    </row>
    <row r="861" spans="1:9" ht="12.75" customHeight="1">
      <c r="A861" s="122"/>
      <c r="B861" s="122"/>
      <c r="C861" s="878"/>
      <c r="D861" s="1230"/>
      <c r="E861" s="1230"/>
      <c r="F861" s="1230"/>
      <c r="G861" s="3"/>
      <c r="I861" s="391"/>
    </row>
    <row r="862" spans="1:9" ht="12.75" customHeight="1">
      <c r="A862" s="122"/>
      <c r="B862" s="122"/>
      <c r="C862" s="878"/>
      <c r="D862" s="1230"/>
      <c r="E862" s="1230"/>
      <c r="F862" s="1230"/>
      <c r="G862" s="3"/>
      <c r="I862" s="391"/>
    </row>
    <row r="863" spans="1:9" ht="12.75" customHeight="1">
      <c r="A863" s="122"/>
      <c r="B863" s="122"/>
      <c r="C863" s="878"/>
      <c r="D863" s="1230"/>
      <c r="E863" s="1230"/>
      <c r="F863" s="1230"/>
      <c r="G863" s="3"/>
      <c r="I863" s="391"/>
    </row>
    <row r="864" spans="1:9" ht="12.75" customHeight="1">
      <c r="A864" s="122"/>
      <c r="B864" s="122"/>
      <c r="C864" s="878"/>
      <c r="D864" s="1230"/>
      <c r="E864" s="1230"/>
      <c r="F864" s="1230"/>
      <c r="G864" s="3"/>
      <c r="I864" s="391"/>
    </row>
    <row r="865" spans="1:9" ht="12.75" customHeight="1">
      <c r="A865" s="122"/>
      <c r="B865" s="122"/>
      <c r="C865" s="878"/>
      <c r="D865" s="84"/>
      <c r="E865" s="3"/>
      <c r="F865" s="3"/>
      <c r="G865" s="3"/>
      <c r="I865" s="391"/>
    </row>
    <row r="866" spans="1:9" ht="12.75" customHeight="1">
      <c r="A866" s="122"/>
      <c r="B866" s="386" t="s">
        <v>316</v>
      </c>
      <c r="C866" s="878"/>
      <c r="D866" s="1230" t="s">
        <v>557</v>
      </c>
      <c r="E866" s="1230"/>
      <c r="F866" s="1230"/>
      <c r="G866" s="3"/>
      <c r="I866" s="391" t="s">
        <v>558</v>
      </c>
    </row>
    <row r="867" spans="1:9" ht="12.75" customHeight="1">
      <c r="A867" s="122"/>
      <c r="B867" s="122"/>
      <c r="C867" s="878"/>
      <c r="D867" s="1230" t="s">
        <v>559</v>
      </c>
      <c r="E867" s="1230"/>
      <c r="F867" s="1230"/>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0" t="s">
        <v>560</v>
      </c>
      <c r="E870" s="1230"/>
      <c r="F870" s="1230"/>
      <c r="G870" s="3"/>
      <c r="I870" s="391" t="s">
        <v>561</v>
      </c>
    </row>
    <row r="871" spans="1:9" ht="12.75" customHeight="1">
      <c r="A871" s="122"/>
      <c r="B871" s="122"/>
      <c r="C871" s="878"/>
      <c r="D871" s="1230"/>
      <c r="E871" s="1230"/>
      <c r="F871" s="1230"/>
      <c r="G871" s="3"/>
      <c r="I871" s="391"/>
    </row>
    <row r="872" spans="1:9" ht="12.75" customHeight="1">
      <c r="A872" s="122"/>
      <c r="B872" s="122"/>
      <c r="C872" s="878"/>
      <c r="D872" s="1230"/>
      <c r="E872" s="1230"/>
      <c r="F872" s="1230"/>
      <c r="G872" s="3"/>
      <c r="I872" s="391"/>
    </row>
    <row r="873" spans="1:9" ht="12.75" customHeight="1">
      <c r="A873" s="122"/>
      <c r="B873" s="122"/>
      <c r="C873" s="878"/>
      <c r="D873" s="1230"/>
      <c r="E873" s="1230"/>
      <c r="F873" s="1230"/>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54" t="s">
        <v>563</v>
      </c>
      <c r="E877" s="1254"/>
      <c r="F877" s="1254"/>
      <c r="G877" s="877"/>
      <c r="I877" s="391"/>
    </row>
    <row r="878" spans="1:9" ht="12.75" customHeight="1">
      <c r="A878" s="257"/>
      <c r="B878" s="257"/>
      <c r="C878" s="121"/>
      <c r="D878" s="1272" t="s">
        <v>564</v>
      </c>
      <c r="E878" s="1272"/>
      <c r="F878" s="1272"/>
      <c r="G878" s="877"/>
      <c r="I878" s="391"/>
    </row>
    <row r="879" spans="1:9" ht="12.75" customHeight="1">
      <c r="A879" s="257"/>
      <c r="B879" s="257"/>
      <c r="C879" s="121"/>
      <c r="D879" s="884"/>
      <c r="E879" s="884"/>
      <c r="F879" s="884"/>
      <c r="G879" s="877"/>
      <c r="I879" s="391"/>
    </row>
    <row r="880" spans="1:9" ht="12.75" customHeight="1">
      <c r="A880" s="122"/>
      <c r="B880" s="386" t="s">
        <v>311</v>
      </c>
      <c r="C880" s="257"/>
      <c r="D880" s="1255" t="s">
        <v>565</v>
      </c>
      <c r="E880" s="1255"/>
      <c r="F880" s="1255"/>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0" t="s">
        <v>566</v>
      </c>
      <c r="E883" s="1279"/>
      <c r="F883" s="1279"/>
      <c r="G883" s="3"/>
      <c r="I883" s="391" t="s">
        <v>561</v>
      </c>
    </row>
    <row r="884" spans="1:9" ht="12.75" customHeight="1">
      <c r="A884" s="257"/>
      <c r="B884" s="257"/>
      <c r="C884" s="257"/>
      <c r="D884" s="1279"/>
      <c r="E884" s="1279"/>
      <c r="F884" s="1279"/>
      <c r="G884" s="3"/>
      <c r="I884" s="391"/>
    </row>
    <row r="885" spans="1:9" ht="12.75" customHeight="1">
      <c r="A885" s="257"/>
      <c r="B885" s="257"/>
      <c r="C885" s="257"/>
      <c r="D885" s="84"/>
      <c r="E885" s="3"/>
      <c r="F885" s="3"/>
      <c r="G885" s="3"/>
      <c r="I885" s="391"/>
    </row>
    <row r="886" spans="1:9" ht="12.75" customHeight="1">
      <c r="A886" s="257"/>
      <c r="B886" s="386" t="s">
        <v>316</v>
      </c>
      <c r="C886" s="257"/>
      <c r="D886" s="1280" t="s">
        <v>567</v>
      </c>
      <c r="E886" s="1280"/>
      <c r="F886" s="1280"/>
      <c r="G886" s="877"/>
      <c r="I886" s="391"/>
    </row>
    <row r="887" spans="1:9" ht="12.75" customHeight="1">
      <c r="A887" s="257"/>
      <c r="B887" s="885"/>
      <c r="C887" s="257"/>
      <c r="D887" s="1280"/>
      <c r="E887" s="1280"/>
      <c r="F887" s="1280"/>
      <c r="G887" s="877"/>
      <c r="I887" s="391"/>
    </row>
    <row r="888" spans="1:9" ht="12.75" customHeight="1">
      <c r="A888" s="122"/>
      <c r="B888"/>
      <c r="C888" s="257"/>
      <c r="D888" s="1230" t="s">
        <v>556</v>
      </c>
      <c r="E888" s="1230"/>
      <c r="F888" s="1230"/>
      <c r="G888" s="877"/>
      <c r="I888" s="391"/>
    </row>
    <row r="889" spans="1:9" ht="12.75" customHeight="1">
      <c r="A889" s="122"/>
      <c r="B889" s="122"/>
      <c r="C889" s="257"/>
      <c r="D889" s="1230"/>
      <c r="E889" s="1230"/>
      <c r="F889" s="1230"/>
      <c r="G889" s="877"/>
      <c r="I889" s="391"/>
    </row>
    <row r="890" spans="1:9" ht="12.75" customHeight="1">
      <c r="A890" s="122"/>
      <c r="B890" s="122"/>
      <c r="C890" s="257"/>
      <c r="D890" s="1230"/>
      <c r="E890" s="1230"/>
      <c r="F890" s="1230"/>
      <c r="G890" s="877"/>
      <c r="I890" s="391"/>
    </row>
    <row r="891" spans="1:9" ht="12.75" customHeight="1">
      <c r="A891" s="122"/>
      <c r="B891" s="122"/>
      <c r="C891" s="257"/>
      <c r="D891" s="1230"/>
      <c r="E891" s="1230"/>
      <c r="F891" s="1230"/>
      <c r="G891" s="877"/>
      <c r="I891" s="391"/>
    </row>
    <row r="892" spans="1:9" ht="12.75" customHeight="1">
      <c r="A892" s="122"/>
      <c r="B892" s="122"/>
      <c r="C892" s="257"/>
      <c r="D892" s="1230"/>
      <c r="E892" s="1230"/>
      <c r="F892" s="1230"/>
      <c r="G892" s="877"/>
      <c r="I892" s="391"/>
    </row>
    <row r="893" spans="1:9" ht="12.75" customHeight="1">
      <c r="A893" s="122"/>
      <c r="B893" s="122"/>
      <c r="C893" s="257"/>
      <c r="D893" s="1230"/>
      <c r="E893" s="1230"/>
      <c r="F893" s="1230"/>
      <c r="G893" s="877"/>
      <c r="I893" s="391"/>
    </row>
    <row r="894" spans="1:9" ht="12.75" customHeight="1">
      <c r="A894" s="122"/>
      <c r="B894" s="122"/>
      <c r="C894" s="257"/>
      <c r="D894" s="84"/>
      <c r="E894" s="877"/>
      <c r="F894" s="877"/>
      <c r="G894" s="877"/>
      <c r="I894" s="391"/>
    </row>
    <row r="895" spans="1:9" ht="12.75" customHeight="1">
      <c r="A895" s="122"/>
      <c r="B895" s="386" t="s">
        <v>316</v>
      </c>
      <c r="C895" s="257"/>
      <c r="D895" s="1246" t="s">
        <v>557</v>
      </c>
      <c r="E895" s="1246"/>
      <c r="F895" s="1246"/>
      <c r="G895" s="877"/>
      <c r="I895" s="391"/>
    </row>
    <row r="896" spans="1:9" ht="12.75" customHeight="1">
      <c r="A896" s="122"/>
      <c r="B896" s="122"/>
      <c r="C896" s="257"/>
      <c r="D896" s="1246" t="s">
        <v>559</v>
      </c>
      <c r="E896" s="1246"/>
      <c r="F896" s="1246"/>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0" t="s">
        <v>560</v>
      </c>
      <c r="E899" s="1230"/>
      <c r="F899" s="1230"/>
      <c r="G899" s="877"/>
      <c r="I899" s="391"/>
    </row>
    <row r="900" spans="1:9" ht="12.75" customHeight="1">
      <c r="A900" s="122"/>
      <c r="B900" s="122"/>
      <c r="C900" s="257"/>
      <c r="D900" s="1230"/>
      <c r="E900" s="1230"/>
      <c r="F900" s="1230"/>
      <c r="G900" s="877"/>
      <c r="I900" s="391"/>
    </row>
    <row r="901" spans="1:9" ht="12.75" customHeight="1">
      <c r="A901" s="122"/>
      <c r="B901" s="122"/>
      <c r="C901" s="257"/>
      <c r="D901" s="1230"/>
      <c r="E901" s="1230"/>
      <c r="F901" s="1230"/>
      <c r="G901" s="877"/>
      <c r="I901" s="391"/>
    </row>
    <row r="902" spans="1:9" ht="12.75" customHeight="1">
      <c r="A902" s="122"/>
      <c r="B902" s="122"/>
      <c r="C902" s="257"/>
      <c r="D902" s="1230"/>
      <c r="E902" s="1230"/>
      <c r="F902" s="1230"/>
      <c r="G902" s="877"/>
      <c r="I902" s="391"/>
    </row>
    <row r="903" spans="1:9" ht="12.75" customHeight="1">
      <c r="A903" s="84"/>
      <c r="B903" s="84"/>
      <c r="C903" s="878"/>
      <c r="D903" s="877"/>
      <c r="E903" s="877"/>
      <c r="F903" s="877"/>
      <c r="G903" s="877"/>
      <c r="I903" s="391"/>
    </row>
    <row r="904" spans="1:9" ht="12.75" customHeight="1">
      <c r="A904" s="1251" t="s">
        <v>569</v>
      </c>
      <c r="B904" s="1251"/>
      <c r="C904" s="1251"/>
      <c r="D904" s="1251"/>
      <c r="E904" s="1251"/>
      <c r="F904" s="1251"/>
      <c r="G904" s="1251"/>
      <c r="H904" s="914"/>
      <c r="I904" s="1036"/>
    </row>
    <row r="905" spans="1:9" ht="12.75" customHeight="1">
      <c r="A905" s="49"/>
      <c r="B905" s="49"/>
      <c r="C905" s="49"/>
      <c r="D905" s="49"/>
      <c r="E905" s="49"/>
      <c r="F905" s="49"/>
      <c r="G905" s="49"/>
      <c r="I905" s="391"/>
    </row>
    <row r="906" spans="1:9" ht="12.75" customHeight="1">
      <c r="A906" s="49"/>
      <c r="B906" s="49"/>
      <c r="C906" s="49"/>
      <c r="D906" s="1249" t="s">
        <v>570</v>
      </c>
      <c r="E906" s="1249"/>
      <c r="F906" s="1249"/>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49" t="s">
        <v>572</v>
      </c>
      <c r="E910" s="1249"/>
      <c r="F910" s="1249"/>
      <c r="G910" s="877"/>
      <c r="I910" s="391"/>
    </row>
    <row r="911" spans="1:9" ht="12.75" customHeight="1">
      <c r="A911" s="119"/>
      <c r="B911" s="119"/>
      <c r="C911" s="119"/>
      <c r="D911" s="1255" t="s">
        <v>573</v>
      </c>
      <c r="E911" s="1255"/>
      <c r="F911" s="1255"/>
      <c r="G911" s="877"/>
      <c r="I911" s="391"/>
    </row>
    <row r="912" spans="1:9" ht="12.75" customHeight="1">
      <c r="A912" s="878"/>
      <c r="B912" s="878"/>
      <c r="C912" s="878"/>
      <c r="D912" s="2"/>
      <c r="E912" s="877"/>
      <c r="F912" s="877"/>
      <c r="G912" s="877"/>
      <c r="I912" s="391"/>
    </row>
    <row r="913" spans="1:9" ht="12.75" customHeight="1">
      <c r="A913" s="122"/>
      <c r="B913" s="386" t="s">
        <v>311</v>
      </c>
      <c r="C913" s="257"/>
      <c r="D913" s="1230" t="s">
        <v>574</v>
      </c>
      <c r="E913" s="1230"/>
      <c r="F913" s="1230"/>
      <c r="G913" s="3"/>
      <c r="I913" s="391"/>
    </row>
    <row r="914" spans="1:9" ht="12.75" customHeight="1">
      <c r="A914" s="257"/>
      <c r="B914" s="257"/>
      <c r="C914" s="257"/>
      <c r="D914" s="1230"/>
      <c r="E914" s="1230"/>
      <c r="F914" s="1230"/>
      <c r="G914" s="3"/>
      <c r="I914" s="391"/>
    </row>
    <row r="915" spans="1:9" ht="12.75" customHeight="1">
      <c r="A915" s="119"/>
      <c r="B915" s="119"/>
      <c r="C915" s="119"/>
      <c r="D915" s="1230" t="s">
        <v>575</v>
      </c>
      <c r="E915" s="1230"/>
      <c r="F915" s="1230"/>
      <c r="G915" s="877"/>
      <c r="I915" s="391"/>
    </row>
    <row r="916" spans="1:9" ht="12.75" customHeight="1">
      <c r="A916" s="119"/>
      <c r="B916" s="119"/>
      <c r="C916" s="119"/>
      <c r="D916" s="1230"/>
      <c r="E916" s="1230"/>
      <c r="F916" s="1230"/>
      <c r="G916" s="877"/>
      <c r="I916" s="391"/>
    </row>
    <row r="917" spans="1:9" ht="12.75" customHeight="1">
      <c r="A917" s="119"/>
      <c r="B917" s="119"/>
      <c r="C917" s="119"/>
      <c r="D917" s="3"/>
      <c r="E917" s="3"/>
      <c r="F917" s="877"/>
      <c r="G917" s="877"/>
      <c r="I917" s="391"/>
    </row>
    <row r="918" spans="1:9" ht="12.75" customHeight="1">
      <c r="A918" s="122"/>
      <c r="B918" s="386" t="s">
        <v>311</v>
      </c>
      <c r="C918" s="121"/>
      <c r="D918" s="1240" t="s">
        <v>576</v>
      </c>
      <c r="E918" s="1240"/>
      <c r="F918" s="1240"/>
      <c r="G918" s="877"/>
      <c r="I918" s="391"/>
    </row>
    <row r="919" spans="1:9" ht="12.75" customHeight="1">
      <c r="A919" s="122"/>
      <c r="B919" s="122"/>
      <c r="C919" s="121"/>
      <c r="D919" s="1240"/>
      <c r="E919" s="1240"/>
      <c r="F919" s="1240"/>
      <c r="G919" s="877"/>
      <c r="I919" s="391"/>
    </row>
    <row r="920" spans="1:9" ht="12.75" customHeight="1">
      <c r="A920" s="122"/>
      <c r="B920" s="122"/>
      <c r="C920" s="121"/>
      <c r="D920" s="1240"/>
      <c r="E920" s="1240"/>
      <c r="F920" s="1240"/>
      <c r="G920" s="877"/>
      <c r="I920" s="391"/>
    </row>
    <row r="921" spans="1:9" ht="12.75" customHeight="1">
      <c r="A921" s="122"/>
      <c r="B921" s="122"/>
      <c r="C921" s="121"/>
      <c r="D921" s="1240"/>
      <c r="E921" s="1240"/>
      <c r="F921" s="1240"/>
      <c r="G921" s="877"/>
      <c r="I921" s="391"/>
    </row>
    <row r="922" spans="1:9" ht="12.75" customHeight="1">
      <c r="A922" s="122"/>
      <c r="B922" s="122"/>
      <c r="C922" s="121"/>
      <c r="D922" s="1240"/>
      <c r="E922" s="1240"/>
      <c r="F922" s="1240"/>
      <c r="G922" s="877"/>
      <c r="I922" s="391"/>
    </row>
    <row r="923" spans="1:9" ht="12.75" customHeight="1">
      <c r="A923" s="121"/>
      <c r="B923" s="121"/>
      <c r="C923" s="121"/>
      <c r="D923" s="1240"/>
      <c r="E923" s="1240"/>
      <c r="F923" s="1240"/>
      <c r="G923" s="877"/>
      <c r="I923" s="391"/>
    </row>
    <row r="924" spans="1:9" ht="12.75" customHeight="1">
      <c r="A924" s="121"/>
      <c r="B924" s="121"/>
      <c r="C924" s="121"/>
      <c r="D924" s="1240"/>
      <c r="E924" s="1240"/>
      <c r="F924" s="1240"/>
      <c r="G924" s="877"/>
      <c r="I924" s="391"/>
    </row>
    <row r="925" spans="1:9" ht="12.75" customHeight="1">
      <c r="A925" s="121"/>
      <c r="B925" s="121"/>
      <c r="C925" s="121"/>
      <c r="D925" s="1240"/>
      <c r="E925" s="1240"/>
      <c r="F925" s="1240"/>
      <c r="G925" s="877"/>
      <c r="I925" s="391"/>
    </row>
    <row r="926" spans="1:9" ht="12.75" customHeight="1">
      <c r="A926" s="121"/>
      <c r="B926" s="121"/>
      <c r="C926" s="121"/>
      <c r="D926" s="240"/>
      <c r="E926" s="240"/>
      <c r="F926" s="240"/>
      <c r="G926" s="877"/>
      <c r="I926" s="391"/>
    </row>
    <row r="927" spans="1:9" ht="12.75" customHeight="1">
      <c r="A927" s="878"/>
      <c r="B927" s="386" t="s">
        <v>316</v>
      </c>
      <c r="C927" s="878"/>
      <c r="D927" s="1230" t="s">
        <v>577</v>
      </c>
      <c r="E927" s="1230"/>
      <c r="F927" s="1230"/>
      <c r="G927" s="877"/>
      <c r="I927" s="391"/>
    </row>
    <row r="928" spans="1:9" ht="12.75" customHeight="1">
      <c r="A928" s="878"/>
      <c r="B928" s="878"/>
      <c r="C928" s="878"/>
      <c r="D928" s="1230"/>
      <c r="E928" s="1230"/>
      <c r="F928" s="1230"/>
      <c r="G928" s="877"/>
      <c r="I928" s="391"/>
    </row>
    <row r="929" spans="1:9" ht="12.75" customHeight="1">
      <c r="A929" s="878"/>
      <c r="B929" s="878"/>
      <c r="C929" s="878"/>
      <c r="D929" s="877"/>
      <c r="E929" s="877"/>
      <c r="F929" s="877"/>
      <c r="G929" s="877"/>
      <c r="I929" s="391"/>
    </row>
    <row r="930" spans="1:9" ht="12.75" customHeight="1">
      <c r="A930" s="878"/>
      <c r="B930" s="386" t="s">
        <v>316</v>
      </c>
      <c r="C930" s="878"/>
      <c r="D930" s="1253" t="s">
        <v>578</v>
      </c>
      <c r="E930" s="1253"/>
      <c r="F930" s="1253"/>
      <c r="G930" s="877"/>
      <c r="I930" s="391"/>
    </row>
    <row r="931" spans="1:9" ht="12.75" customHeight="1">
      <c r="A931" s="878"/>
      <c r="B931" s="878"/>
      <c r="C931" s="878"/>
      <c r="D931" s="1253"/>
      <c r="E931" s="1253"/>
      <c r="F931" s="1253"/>
      <c r="G931" s="877"/>
      <c r="I931" s="391"/>
    </row>
    <row r="932" spans="1:9" ht="12.75" customHeight="1">
      <c r="A932" s="878"/>
      <c r="B932" s="878"/>
      <c r="C932" s="878"/>
      <c r="D932" s="1253"/>
      <c r="E932" s="1253"/>
      <c r="F932" s="1253"/>
      <c r="G932" s="877"/>
      <c r="I932" s="391"/>
    </row>
    <row r="933" spans="1:9" ht="12.75" customHeight="1">
      <c r="A933" s="878"/>
      <c r="B933" s="878"/>
      <c r="C933" s="878"/>
      <c r="D933" s="1253"/>
      <c r="E933" s="1253"/>
      <c r="F933" s="1253"/>
      <c r="G933" s="877"/>
      <c r="I933" s="391"/>
    </row>
    <row r="934" spans="1:9" ht="12.75" customHeight="1">
      <c r="A934" s="878"/>
      <c r="B934" s="878"/>
      <c r="C934" s="878"/>
      <c r="D934" s="84"/>
      <c r="E934" s="877"/>
      <c r="F934" s="877"/>
      <c r="G934" s="877"/>
      <c r="I934" s="391"/>
    </row>
    <row r="935" spans="1:9" ht="12.75" customHeight="1">
      <c r="A935" s="878"/>
      <c r="B935" s="386" t="s">
        <v>316</v>
      </c>
      <c r="C935" s="878"/>
      <c r="D935" s="1255" t="s">
        <v>579</v>
      </c>
      <c r="E935" s="1255"/>
      <c r="F935" s="1255"/>
      <c r="G935" s="877"/>
      <c r="I935" s="391"/>
    </row>
    <row r="936" spans="1:9" ht="12.75" customHeight="1">
      <c r="A936" s="878"/>
      <c r="B936" s="878"/>
      <c r="C936" s="878"/>
      <c r="D936" s="84"/>
      <c r="E936" s="877"/>
      <c r="F936" s="877"/>
      <c r="G936" s="877"/>
      <c r="I936" s="391"/>
    </row>
    <row r="937" spans="1:9" ht="12.75" customHeight="1">
      <c r="A937" s="878"/>
      <c r="B937" s="386" t="s">
        <v>316</v>
      </c>
      <c r="C937" s="878"/>
      <c r="D937" s="1255" t="s">
        <v>580</v>
      </c>
      <c r="E937" s="1255"/>
      <c r="F937" s="1255"/>
      <c r="G937" s="877"/>
      <c r="I937" s="391"/>
    </row>
    <row r="938" spans="1:9" ht="12.75" customHeight="1">
      <c r="A938" s="121"/>
      <c r="B938" s="121"/>
      <c r="C938" s="121"/>
      <c r="D938" s="2"/>
      <c r="E938" s="3"/>
      <c r="F938" s="877"/>
      <c r="G938" s="877"/>
      <c r="I938" s="391"/>
    </row>
    <row r="939" spans="1:9" ht="12.75" customHeight="1">
      <c r="A939" s="886"/>
      <c r="B939" s="386" t="s">
        <v>316</v>
      </c>
      <c r="C939" s="887"/>
      <c r="D939" s="1240" t="s">
        <v>581</v>
      </c>
      <c r="E939" s="1240"/>
      <c r="F939" s="1240"/>
      <c r="G939" s="888"/>
      <c r="I939" s="391"/>
    </row>
    <row r="940" spans="1:9" ht="12.75" customHeight="1">
      <c r="A940" s="886"/>
      <c r="B940" s="886"/>
      <c r="C940" s="887"/>
      <c r="D940" s="1240"/>
      <c r="E940" s="1240"/>
      <c r="F940" s="1240"/>
      <c r="G940" s="888"/>
      <c r="I940" s="391"/>
    </row>
    <row r="941" spans="1:9" ht="12.75" customHeight="1">
      <c r="A941" s="886"/>
      <c r="B941" s="886"/>
      <c r="C941" s="887"/>
      <c r="D941" s="1240"/>
      <c r="E941" s="1240"/>
      <c r="F941" s="1240"/>
      <c r="G941" s="888"/>
      <c r="I941" s="391"/>
    </row>
    <row r="942" spans="1:9" ht="12.75" customHeight="1">
      <c r="A942" s="886"/>
      <c r="B942" s="886"/>
      <c r="C942" s="887"/>
      <c r="D942" s="1240"/>
      <c r="E942" s="1240"/>
      <c r="F942" s="1240"/>
      <c r="G942" s="888"/>
      <c r="I942" s="391"/>
    </row>
    <row r="943" spans="1:9" ht="12.75" customHeight="1">
      <c r="A943" s="886"/>
      <c r="B943" s="886"/>
      <c r="C943" s="887"/>
      <c r="D943" s="1240"/>
      <c r="E943" s="1240"/>
      <c r="F943" s="1240"/>
      <c r="G943" s="888"/>
      <c r="I943" s="391"/>
    </row>
    <row r="944" spans="1:9" ht="12.75" customHeight="1">
      <c r="A944" s="886"/>
      <c r="B944" s="886"/>
      <c r="C944" s="887"/>
      <c r="D944" s="1240"/>
      <c r="E944" s="1240"/>
      <c r="F944" s="1240"/>
      <c r="G944" s="888"/>
      <c r="I944" s="391"/>
    </row>
    <row r="945" spans="1:9" ht="12.75" customHeight="1">
      <c r="A945" s="886"/>
      <c r="B945" s="886"/>
      <c r="C945" s="887"/>
      <c r="D945" s="1240"/>
      <c r="E945" s="1240"/>
      <c r="F945" s="1240"/>
      <c r="G945" s="888"/>
      <c r="I945" s="391"/>
    </row>
    <row r="946" spans="1:9" ht="12.75" customHeight="1">
      <c r="A946" s="886"/>
      <c r="B946" s="886"/>
      <c r="C946" s="887"/>
      <c r="D946" s="1240"/>
      <c r="E946" s="1240"/>
      <c r="F946" s="1240"/>
      <c r="G946" s="888"/>
      <c r="I946" s="391"/>
    </row>
    <row r="947" spans="1:9" ht="12.75" customHeight="1">
      <c r="A947" s="886"/>
      <c r="B947" s="886"/>
      <c r="C947" s="887"/>
      <c r="D947" s="1240"/>
      <c r="E947" s="1240"/>
      <c r="F947" s="1240"/>
      <c r="G947" s="888"/>
      <c r="I947" s="391"/>
    </row>
    <row r="948" spans="1:9" ht="12.75" customHeight="1">
      <c r="A948" s="121"/>
      <c r="B948" s="121"/>
      <c r="C948" s="121"/>
      <c r="D948" s="2"/>
      <c r="E948" s="3"/>
      <c r="F948" s="877"/>
      <c r="G948" s="877"/>
      <c r="I948" s="391"/>
    </row>
    <row r="949" spans="1:9" ht="12.75" customHeight="1">
      <c r="A949" s="122"/>
      <c r="B949" s="386" t="s">
        <v>311</v>
      </c>
      <c r="C949" s="121"/>
      <c r="D949" s="1263" t="s">
        <v>582</v>
      </c>
      <c r="E949" s="1263"/>
      <c r="F949" s="1263"/>
      <c r="G949" s="877"/>
      <c r="I949" s="391"/>
    </row>
    <row r="950" spans="1:9" ht="12.75" customHeight="1">
      <c r="A950" s="122"/>
      <c r="B950" s="122"/>
      <c r="C950" s="121"/>
      <c r="D950" s="1263"/>
      <c r="E950" s="1263"/>
      <c r="F950" s="1263"/>
      <c r="G950" s="877"/>
      <c r="I950" s="391"/>
    </row>
    <row r="951" spans="1:9" ht="12.75" customHeight="1">
      <c r="A951" s="122"/>
      <c r="B951" s="122"/>
      <c r="C951" s="121"/>
      <c r="D951" s="1263"/>
      <c r="E951" s="1263"/>
      <c r="F951" s="1263"/>
      <c r="G951" s="877"/>
      <c r="I951" s="391"/>
    </row>
    <row r="952" spans="1:9" ht="12.75" customHeight="1">
      <c r="A952" s="122"/>
      <c r="B952" s="122"/>
      <c r="C952" s="121"/>
      <c r="D952" s="1263"/>
      <c r="E952" s="1263"/>
      <c r="F952" s="1263"/>
      <c r="G952" s="877"/>
      <c r="I952" s="391"/>
    </row>
    <row r="953" spans="1:9" ht="12.75" customHeight="1">
      <c r="A953" s="122"/>
      <c r="B953" s="122"/>
      <c r="C953" s="121"/>
      <c r="D953" s="1263"/>
      <c r="E953" s="1263"/>
      <c r="F953" s="1263"/>
      <c r="G953" s="877"/>
      <c r="I953" s="391"/>
    </row>
    <row r="954" spans="1:9" ht="12.75" customHeight="1">
      <c r="A954" s="122"/>
      <c r="B954" s="122"/>
      <c r="C954" s="121"/>
      <c r="D954" s="1263"/>
      <c r="E954" s="1263"/>
      <c r="F954" s="1263"/>
      <c r="G954" s="877"/>
      <c r="I954" s="391"/>
    </row>
    <row r="955" spans="1:9" ht="12.75" customHeight="1">
      <c r="A955" s="122"/>
      <c r="B955" s="122"/>
      <c r="C955" s="121"/>
      <c r="D955" s="1263"/>
      <c r="E955" s="1263"/>
      <c r="F955" s="1263"/>
      <c r="G955" s="877"/>
      <c r="I955" s="391"/>
    </row>
    <row r="956" spans="1:9" ht="12.75" customHeight="1">
      <c r="A956" s="122"/>
      <c r="B956" s="122"/>
      <c r="C956" s="121"/>
      <c r="D956" s="912"/>
      <c r="E956" s="912"/>
      <c r="F956" s="912"/>
      <c r="G956" s="877"/>
      <c r="I956" s="391"/>
    </row>
    <row r="957" spans="1:9" ht="12.75" customHeight="1">
      <c r="A957" s="122"/>
      <c r="B957" s="386" t="s">
        <v>311</v>
      </c>
      <c r="C957" s="121"/>
      <c r="D957" s="1239" t="s">
        <v>583</v>
      </c>
      <c r="E957" s="1239"/>
      <c r="F957" s="1239"/>
      <c r="G957" s="877"/>
      <c r="I957" s="391"/>
    </row>
    <row r="958" spans="1:9" ht="12.75" customHeight="1">
      <c r="A958" s="122"/>
      <c r="B958" s="122"/>
      <c r="C958" s="121"/>
      <c r="D958" s="1239"/>
      <c r="E958" s="1239"/>
      <c r="F958" s="1239"/>
      <c r="G958" s="877"/>
      <c r="I958" s="391"/>
    </row>
    <row r="959" spans="1:9" ht="12.75" customHeight="1">
      <c r="A959" s="122"/>
      <c r="B959" s="122"/>
      <c r="C959" s="121"/>
      <c r="D959" s="1239"/>
      <c r="E959" s="1239"/>
      <c r="F959" s="1239"/>
      <c r="G959" s="877"/>
      <c r="I959" s="391"/>
    </row>
    <row r="960" spans="1:9" ht="12.75" customHeight="1">
      <c r="A960" s="122"/>
      <c r="B960" s="122"/>
      <c r="C960" s="121"/>
      <c r="D960" s="1239"/>
      <c r="E960" s="1239"/>
      <c r="F960" s="1239"/>
      <c r="G960" s="877"/>
      <c r="I960" s="391"/>
    </row>
    <row r="961" spans="1:9" ht="12.75" customHeight="1">
      <c r="A961" s="122"/>
      <c r="B961" s="122"/>
      <c r="C961" s="121"/>
      <c r="D961" s="1239"/>
      <c r="E961" s="1239"/>
      <c r="F961" s="1239"/>
      <c r="G961" s="877"/>
      <c r="I961" s="391"/>
    </row>
    <row r="962" spans="1:9" ht="12.75" customHeight="1">
      <c r="A962" s="122"/>
      <c r="B962" s="122"/>
      <c r="C962" s="121"/>
      <c r="D962" s="1239"/>
      <c r="E962" s="1239"/>
      <c r="F962" s="1239"/>
      <c r="G962" s="877"/>
      <c r="I962" s="391"/>
    </row>
    <row r="963" spans="1:9" ht="12.75" customHeight="1">
      <c r="A963" s="122"/>
      <c r="B963" s="122"/>
      <c r="C963" s="121"/>
      <c r="D963" s="912"/>
      <c r="E963" s="912"/>
      <c r="F963" s="912"/>
      <c r="G963" s="877"/>
      <c r="I963" s="391"/>
    </row>
    <row r="964" spans="1:9" ht="12.75" customHeight="1">
      <c r="A964" s="878"/>
      <c r="B964" s="386" t="s">
        <v>316</v>
      </c>
      <c r="C964" s="878"/>
      <c r="D964" s="1253" t="s">
        <v>584</v>
      </c>
      <c r="E964" s="1253"/>
      <c r="F964" s="1253"/>
      <c r="G964" s="877"/>
      <c r="I964" s="391"/>
    </row>
    <row r="965" spans="1:9" ht="12.75" customHeight="1">
      <c r="A965" s="878"/>
      <c r="B965" s="878"/>
      <c r="C965" s="878"/>
      <c r="D965" s="1253"/>
      <c r="E965" s="1253"/>
      <c r="F965" s="1253"/>
      <c r="G965" s="877"/>
      <c r="I965" s="391"/>
    </row>
    <row r="966" spans="1:9" ht="12.75" customHeight="1">
      <c r="A966" s="878"/>
      <c r="B966" s="878"/>
      <c r="C966" s="878"/>
      <c r="D966" s="1253"/>
      <c r="E966" s="1253"/>
      <c r="F966" s="1253"/>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40" t="s">
        <v>585</v>
      </c>
      <c r="E969" s="1240"/>
      <c r="F969" s="1240"/>
      <c r="G969" s="877"/>
      <c r="I969" s="391"/>
    </row>
    <row r="970" spans="1:9" ht="12.75" customHeight="1">
      <c r="A970" s="122"/>
      <c r="B970" s="122"/>
      <c r="C970" s="121"/>
      <c r="D970" s="1240"/>
      <c r="E970" s="1240"/>
      <c r="F970" s="1240"/>
      <c r="G970" s="877"/>
      <c r="I970" s="391"/>
    </row>
    <row r="971" spans="1:9" ht="12.75" customHeight="1">
      <c r="A971" s="122"/>
      <c r="B971" s="122"/>
      <c r="C971" s="121"/>
      <c r="D971" s="1240"/>
      <c r="E971" s="1240"/>
      <c r="F971" s="1240"/>
      <c r="G971" s="877"/>
      <c r="I971" s="391"/>
    </row>
    <row r="972" spans="1:9" ht="12.75" customHeight="1">
      <c r="A972" s="122"/>
      <c r="B972" s="122"/>
      <c r="C972" s="121"/>
      <c r="D972" s="1240"/>
      <c r="E972" s="1240"/>
      <c r="F972" s="1240"/>
      <c r="G972" s="877"/>
      <c r="I972" s="391"/>
    </row>
    <row r="973" spans="1:9" ht="12.75" customHeight="1">
      <c r="A973" s="878"/>
      <c r="B973" s="878"/>
      <c r="C973" s="878"/>
      <c r="D973" s="869"/>
      <c r="E973" s="869"/>
      <c r="F973" s="869"/>
      <c r="G973" s="869"/>
      <c r="I973" s="391"/>
    </row>
    <row r="974" spans="1:9" ht="12.75" customHeight="1">
      <c r="A974" s="257"/>
      <c r="B974" s="257"/>
      <c r="C974" s="257"/>
      <c r="D974" s="1254" t="s">
        <v>586</v>
      </c>
      <c r="E974" s="1254"/>
      <c r="F974" s="1254"/>
      <c r="G974" s="3"/>
      <c r="I974" s="391"/>
    </row>
    <row r="975" spans="1:9" ht="12.75" customHeight="1">
      <c r="A975" s="122"/>
      <c r="B975" s="386" t="s">
        <v>316</v>
      </c>
      <c r="C975" s="257"/>
      <c r="D975" s="1255" t="s">
        <v>587</v>
      </c>
      <c r="E975" s="1255"/>
      <c r="F975" s="1255"/>
      <c r="G975" s="3"/>
      <c r="I975" s="391"/>
    </row>
    <row r="976" spans="1:9" ht="12.75" customHeight="1">
      <c r="A976" s="257"/>
      <c r="B976" s="257"/>
      <c r="C976" s="257"/>
      <c r="D976" s="3"/>
      <c r="E976" s="3"/>
      <c r="F976" s="3"/>
      <c r="G976" s="3"/>
      <c r="I976" s="391"/>
    </row>
    <row r="977" spans="1:9" ht="12.75" customHeight="1">
      <c r="A977" s="257"/>
      <c r="B977" s="257"/>
      <c r="C977" s="257"/>
      <c r="D977" s="1254" t="s">
        <v>588</v>
      </c>
      <c r="E977" s="1254"/>
      <c r="F977" s="1254"/>
      <c r="G977"/>
      <c r="I977" s="391"/>
    </row>
    <row r="978" spans="1:9" ht="12.75" customHeight="1">
      <c r="A978" s="122"/>
      <c r="B978" s="386" t="s">
        <v>316</v>
      </c>
      <c r="C978" s="257"/>
      <c r="D978" s="1230" t="s">
        <v>589</v>
      </c>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c r="I987" s="391"/>
    </row>
    <row r="988" spans="1:9" ht="12.75" customHeight="1">
      <c r="A988" s="122"/>
      <c r="B988" s="122"/>
      <c r="C988" s="257"/>
      <c r="D988" s="1230"/>
      <c r="E988" s="1230"/>
      <c r="F988" s="1230"/>
      <c r="G988"/>
      <c r="I988" s="391"/>
    </row>
    <row r="989" spans="1:9" ht="12.75" customHeight="1">
      <c r="A989" s="122"/>
      <c r="B989" s="122"/>
      <c r="C989" s="257"/>
      <c r="D989" s="1230"/>
      <c r="E989" s="1230"/>
      <c r="F989" s="1230"/>
      <c r="G989"/>
      <c r="I989" s="391"/>
    </row>
    <row r="990" spans="1:9" ht="12.75" customHeight="1">
      <c r="A990" s="122"/>
      <c r="B990" s="122"/>
      <c r="C990" s="257"/>
      <c r="D990" s="1230"/>
      <c r="E990" s="1230"/>
      <c r="F990" s="1230"/>
      <c r="G990"/>
      <c r="I990" s="391"/>
    </row>
    <row r="991" spans="1:9" ht="12.75" customHeight="1">
      <c r="A991" s="122"/>
      <c r="B991" s="122"/>
      <c r="C991" s="257"/>
      <c r="D991" s="1230"/>
      <c r="E991" s="1230"/>
      <c r="F991" s="1230"/>
      <c r="G991"/>
      <c r="I991" s="391"/>
    </row>
    <row r="992" spans="1:9" ht="12.75" customHeight="1">
      <c r="A992" s="122"/>
      <c r="B992" s="122"/>
      <c r="C992" s="257"/>
      <c r="D992" s="1230"/>
      <c r="E992" s="1230"/>
      <c r="F992" s="1230"/>
      <c r="G992" s="3"/>
      <c r="I992" s="391"/>
    </row>
    <row r="993" spans="1:9" ht="12.75" customHeight="1">
      <c r="A993" s="257"/>
      <c r="B993" s="257"/>
      <c r="C993" s="257"/>
      <c r="D993" s="3"/>
      <c r="E993" s="3"/>
      <c r="F993" s="3"/>
      <c r="G993" s="3"/>
      <c r="I993" s="391"/>
    </row>
    <row r="994" spans="1:9" ht="12.75" customHeight="1">
      <c r="A994" s="1251" t="s">
        <v>590</v>
      </c>
      <c r="B994" s="1251"/>
      <c r="C994" s="1251"/>
      <c r="D994" s="1251"/>
      <c r="E994" s="1251"/>
      <c r="F994" s="1251"/>
      <c r="G994" s="1251"/>
      <c r="H994" s="914"/>
      <c r="I994" s="1036"/>
    </row>
    <row r="995" spans="1:9" ht="12.75" customHeight="1">
      <c r="A995" s="84"/>
      <c r="B995" s="84"/>
      <c r="C995" s="257"/>
      <c r="D995" s="3"/>
      <c r="E995" s="3"/>
      <c r="F995" s="3"/>
      <c r="G995" s="3"/>
      <c r="I995" s="391"/>
    </row>
    <row r="996" spans="1:9" ht="12.75" customHeight="1">
      <c r="A996" s="257"/>
      <c r="B996" s="257"/>
      <c r="C996" s="878"/>
      <c r="D996" s="1254" t="s">
        <v>591</v>
      </c>
      <c r="E996" s="1254"/>
      <c r="F996" s="1254"/>
      <c r="G996" s="3"/>
      <c r="I996" s="391"/>
    </row>
    <row r="997" spans="1:9" ht="12.75" customHeight="1">
      <c r="A997" s="119"/>
      <c r="B997" s="119"/>
      <c r="C997" s="119"/>
      <c r="D997" s="1255" t="s">
        <v>592</v>
      </c>
      <c r="E997" s="1255"/>
      <c r="F997" s="1255"/>
      <c r="G997" s="3"/>
      <c r="I997" s="391"/>
    </row>
    <row r="998" spans="1:9" ht="12.75" customHeight="1">
      <c r="A998" s="119"/>
      <c r="B998" s="119"/>
      <c r="C998" s="119"/>
      <c r="D998" s="3"/>
      <c r="E998" s="3"/>
      <c r="F998" s="877"/>
      <c r="G998"/>
      <c r="I998" s="391"/>
    </row>
    <row r="999" spans="1:9" ht="12.75" customHeight="1">
      <c r="A999" s="257"/>
      <c r="B999" s="386" t="s">
        <v>311</v>
      </c>
      <c r="C999" s="257"/>
      <c r="D999" s="1256" t="s">
        <v>593</v>
      </c>
      <c r="E999" s="1256"/>
      <c r="F999" s="1256"/>
      <c r="G999"/>
      <c r="I999" s="391"/>
    </row>
    <row r="1000" spans="1:9" ht="12.75" customHeight="1">
      <c r="A1000" s="257"/>
      <c r="B1000" s="257"/>
      <c r="C1000" s="257"/>
      <c r="D1000" s="1256"/>
      <c r="E1000" s="1256"/>
      <c r="F1000" s="1256"/>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5" t="s">
        <v>595</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0" t="s">
        <v>596</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1230"/>
      <c r="E1009" s="1230"/>
      <c r="F1009" s="1230"/>
      <c r="G1009"/>
      <c r="I1009" s="391"/>
    </row>
    <row r="1010" spans="1:9" ht="12.75" customHeight="1">
      <c r="A1010" s="121"/>
      <c r="B1010" s="121"/>
      <c r="C1010" s="121"/>
      <c r="D1010" s="1230"/>
      <c r="E1010" s="1230"/>
      <c r="F1010" s="1230"/>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0" t="s">
        <v>597</v>
      </c>
      <c r="E1012" s="1230"/>
      <c r="F1012" s="1230"/>
      <c r="G1012"/>
      <c r="I1012" s="391"/>
    </row>
    <row r="1013" spans="1:9" ht="12.75" customHeight="1">
      <c r="A1013" s="121"/>
      <c r="B1013" s="121"/>
      <c r="C1013" s="121"/>
      <c r="D1013" s="1230"/>
      <c r="E1013" s="1230"/>
      <c r="F1013" s="1230"/>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55" t="s">
        <v>598</v>
      </c>
      <c r="E1015" s="1255"/>
      <c r="F1015" s="1255"/>
      <c r="G1015"/>
      <c r="I1015" s="391"/>
    </row>
    <row r="1016" spans="1:9" ht="12.75" customHeight="1">
      <c r="A1016" s="257"/>
      <c r="B1016" s="257"/>
      <c r="C1016" s="257"/>
      <c r="D1016" s="3"/>
      <c r="E1016" s="3"/>
      <c r="F1016" s="3"/>
      <c r="G1016"/>
      <c r="I1016" s="391"/>
    </row>
    <row r="1017" spans="1:9" ht="12.75" customHeight="1">
      <c r="A1017" s="122"/>
      <c r="B1017" s="386" t="s">
        <v>316</v>
      </c>
      <c r="C1017" s="257"/>
      <c r="D1017" s="1255" t="s">
        <v>599</v>
      </c>
      <c r="E1017" s="1255"/>
      <c r="F1017" s="1255"/>
      <c r="G1017"/>
      <c r="I1017" s="391"/>
    </row>
    <row r="1018" spans="1:9" ht="12.75" customHeight="1">
      <c r="A1018" s="257"/>
      <c r="B1018" s="257"/>
      <c r="C1018" s="257"/>
      <c r="D1018" s="84"/>
      <c r="E1018" s="3"/>
      <c r="F1018" s="3"/>
      <c r="G1018"/>
      <c r="I1018" s="391"/>
    </row>
    <row r="1019" spans="1:9" ht="12.75" customHeight="1">
      <c r="A1019" s="122"/>
      <c r="B1019" s="386" t="s">
        <v>311</v>
      </c>
      <c r="C1019" s="257"/>
      <c r="D1019" s="1255" t="s">
        <v>600</v>
      </c>
      <c r="E1019" s="1255"/>
      <c r="F1019" s="1255"/>
      <c r="G1019"/>
      <c r="I1019" s="391"/>
    </row>
    <row r="1020" spans="1:9" ht="12.75" customHeight="1">
      <c r="A1020" s="257"/>
      <c r="B1020" s="257"/>
      <c r="C1020" s="257"/>
      <c r="D1020" s="84"/>
      <c r="E1020" s="3"/>
      <c r="F1020" s="3"/>
      <c r="G1020"/>
      <c r="I1020" s="391"/>
    </row>
    <row r="1021" spans="1:9" ht="12.75" customHeight="1">
      <c r="A1021" s="122"/>
      <c r="B1021" s="386" t="s">
        <v>311</v>
      </c>
      <c r="C1021" s="257"/>
      <c r="D1021" s="1230" t="s">
        <v>601</v>
      </c>
      <c r="E1021" s="1230"/>
      <c r="F1021" s="1230"/>
      <c r="G1021"/>
      <c r="I1021" s="391"/>
    </row>
    <row r="1022" spans="1:9" ht="12.75" customHeight="1">
      <c r="A1022" s="122"/>
      <c r="B1022" s="122"/>
      <c r="C1022" s="257"/>
      <c r="D1022" s="1230"/>
      <c r="E1022" s="1230"/>
      <c r="F1022" s="1230"/>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57" t="s">
        <v>602</v>
      </c>
      <c r="E1024" s="1257"/>
      <c r="F1024" s="1257"/>
      <c r="G1024" s="890"/>
      <c r="I1024" s="391"/>
    </row>
    <row r="1025" spans="1:9" ht="12.75" customHeight="1">
      <c r="A1025" s="889"/>
      <c r="B1025" s="889"/>
      <c r="C1025" s="889"/>
      <c r="D1025" s="1257"/>
      <c r="E1025" s="1257"/>
      <c r="F1025" s="1257"/>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50" t="s">
        <v>603</v>
      </c>
      <c r="E1027" s="1250"/>
      <c r="F1027" s="1250"/>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55" t="s">
        <v>604</v>
      </c>
      <c r="E1029" s="1255"/>
      <c r="F1029" s="1255"/>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0" t="s">
        <v>605</v>
      </c>
      <c r="E1031" s="1230"/>
      <c r="F1031" s="1230"/>
      <c r="G1031" s="3"/>
      <c r="I1031" s="391"/>
    </row>
    <row r="1032" spans="1:9" ht="12.75" customHeight="1">
      <c r="A1032" s="122"/>
      <c r="B1032" s="122"/>
      <c r="C1032" s="257"/>
      <c r="D1032" s="1230"/>
      <c r="E1032" s="1230"/>
      <c r="F1032" s="1230"/>
      <c r="G1032" s="3"/>
      <c r="I1032" s="391"/>
    </row>
    <row r="1033" spans="1:9" ht="12.75" customHeight="1">
      <c r="A1033" s="257"/>
      <c r="B1033" s="257"/>
      <c r="C1033" s="257"/>
      <c r="D1033" s="3"/>
      <c r="E1033" s="3"/>
      <c r="F1033" s="3"/>
      <c r="G1033" s="3"/>
      <c r="I1033" s="391"/>
    </row>
    <row r="1034" spans="1:9" ht="12.75" customHeight="1">
      <c r="A1034" s="1251" t="s">
        <v>606</v>
      </c>
      <c r="B1034" s="1251"/>
      <c r="C1034" s="1251"/>
      <c r="D1034" s="1251"/>
      <c r="E1034" s="1251"/>
      <c r="F1034" s="1251"/>
      <c r="G1034" s="1251"/>
      <c r="H1034" s="914"/>
      <c r="I1034" s="1036"/>
    </row>
    <row r="1035" spans="1:9" ht="12.75" customHeight="1">
      <c r="A1035" s="257"/>
      <c r="B1035" s="257"/>
      <c r="C1035" s="257"/>
      <c r="D1035" s="3"/>
      <c r="E1035" s="3"/>
      <c r="F1035" s="3"/>
      <c r="G1035" s="3"/>
      <c r="I1035" s="391"/>
    </row>
    <row r="1036" spans="1:9" ht="12.75" customHeight="1">
      <c r="A1036" s="257"/>
      <c r="B1036" s="257"/>
      <c r="C1036" s="257"/>
      <c r="D1036" s="1249" t="s">
        <v>607</v>
      </c>
      <c r="E1036" s="1249"/>
      <c r="F1036" s="1249"/>
      <c r="G1036" s="3"/>
      <c r="I1036" s="391"/>
    </row>
    <row r="1037" spans="1:9" ht="12.75" customHeight="1">
      <c r="A1037" s="257"/>
      <c r="B1037" s="257"/>
      <c r="C1037" s="257"/>
      <c r="D1037" s="1250" t="s">
        <v>608</v>
      </c>
      <c r="E1037" s="1250"/>
      <c r="F1037" s="1250"/>
      <c r="G1037" s="3"/>
      <c r="I1037" s="391"/>
    </row>
    <row r="1038" spans="1:9" ht="12.75" customHeight="1">
      <c r="A1038" s="119"/>
      <c r="B1038" s="119"/>
      <c r="C1038" s="119"/>
      <c r="D1038" s="3"/>
      <c r="E1038" s="3"/>
      <c r="F1038" s="3"/>
      <c r="G1038" s="3"/>
      <c r="I1038" s="391"/>
    </row>
    <row r="1039" spans="1:9" ht="12.75" customHeight="1">
      <c r="A1039" s="122"/>
      <c r="B1039" s="122"/>
      <c r="C1039" s="121"/>
      <c r="D1039" s="1249" t="s">
        <v>609</v>
      </c>
      <c r="E1039" s="1249"/>
      <c r="F1039" s="1249"/>
      <c r="G1039" s="3"/>
      <c r="I1039" s="391"/>
    </row>
    <row r="1040" spans="1:9" ht="12.75" customHeight="1">
      <c r="A1040" s="257"/>
      <c r="B1040" s="386" t="s">
        <v>311</v>
      </c>
      <c r="C1040" s="257"/>
      <c r="D1040" s="1250" t="s">
        <v>610</v>
      </c>
      <c r="E1040" s="1250"/>
      <c r="F1040" s="1250"/>
      <c r="G1040" s="3"/>
      <c r="I1040" s="391"/>
    </row>
    <row r="1041" spans="1:9" ht="12.75" customHeight="1">
      <c r="A1041" s="257"/>
      <c r="B1041" s="122"/>
      <c r="C1041" s="257"/>
      <c r="D1041" s="1250" t="s">
        <v>611</v>
      </c>
      <c r="E1041" s="1250"/>
      <c r="F1041" s="1250"/>
      <c r="G1041" s="3"/>
      <c r="I1041" s="391"/>
    </row>
    <row r="1042" spans="1:9" ht="12.75" customHeight="1">
      <c r="A1042" s="257"/>
      <c r="B1042" s="257"/>
      <c r="C1042" s="257"/>
      <c r="D1042" s="1250"/>
      <c r="E1042" s="1250"/>
      <c r="F1042" s="1250"/>
      <c r="G1042" s="3"/>
      <c r="I1042" s="391"/>
    </row>
    <row r="1043" spans="1:9" ht="12.75" customHeight="1">
      <c r="A1043" s="1251" t="s">
        <v>612</v>
      </c>
      <c r="B1043" s="1251"/>
      <c r="C1043" s="1251"/>
      <c r="D1043" s="1251"/>
      <c r="E1043" s="1251"/>
      <c r="F1043" s="1251"/>
      <c r="G1043" s="1251"/>
      <c r="H1043" s="914"/>
      <c r="I1043" s="1036"/>
    </row>
    <row r="1044" spans="1:9" ht="12.75" customHeight="1">
      <c r="A1044" s="84"/>
      <c r="B1044" s="84"/>
      <c r="C1044" s="257"/>
      <c r="D1044" s="3"/>
      <c r="E1044" s="3"/>
      <c r="F1044" s="3"/>
      <c r="G1044" s="3"/>
      <c r="I1044" s="391"/>
    </row>
    <row r="1045" spans="1:9" ht="12.75" hidden="1" customHeight="1">
      <c r="A1045" s="84"/>
      <c r="B1045" s="305"/>
      <c r="D1045" s="1248" t="s">
        <v>613</v>
      </c>
      <c r="E1045" s="1248"/>
      <c r="F1045" s="1248"/>
      <c r="G1045" s="3"/>
      <c r="I1045" s="391"/>
    </row>
    <row r="1046" spans="1:9" ht="12.75" hidden="1" customHeight="1">
      <c r="A1046" s="84"/>
      <c r="B1046" s="386" t="s">
        <v>348</v>
      </c>
      <c r="D1046" s="1247" t="s">
        <v>610</v>
      </c>
      <c r="E1046" s="1247"/>
      <c r="F1046" s="1247"/>
      <c r="G1046" s="3"/>
      <c r="I1046" s="391"/>
    </row>
    <row r="1047" spans="1:9" ht="12.75" hidden="1" customHeight="1">
      <c r="A1047" s="84"/>
      <c r="B1047" s="305"/>
      <c r="D1047" s="1247" t="s">
        <v>614</v>
      </c>
      <c r="E1047" s="1247"/>
      <c r="F1047" s="1247"/>
      <c r="G1047" s="3"/>
      <c r="I1047" s="391"/>
    </row>
    <row r="1048" spans="1:9" ht="12.75" hidden="1" customHeight="1">
      <c r="A1048" s="84"/>
      <c r="B1048" s="305"/>
      <c r="D1048" s="346"/>
      <c r="E1048" s="346"/>
      <c r="F1048" s="346"/>
      <c r="G1048" s="3"/>
      <c r="I1048" s="391"/>
    </row>
    <row r="1049" spans="1:9" ht="12.75" customHeight="1">
      <c r="A1049" s="84"/>
      <c r="B1049" s="84"/>
      <c r="C1049" s="257"/>
      <c r="D1049" s="1252" t="s">
        <v>615</v>
      </c>
      <c r="E1049" s="1252"/>
      <c r="F1049" s="1252"/>
      <c r="G1049" s="3"/>
      <c r="I1049" s="391"/>
    </row>
    <row r="1050" spans="1:9" ht="12.75" customHeight="1">
      <c r="A1050" s="224"/>
      <c r="B1050" s="224"/>
      <c r="C1050" s="224"/>
      <c r="D1050" s="1246" t="s">
        <v>616</v>
      </c>
      <c r="E1050" s="1246"/>
      <c r="F1050" s="1246"/>
      <c r="G1050" s="73"/>
      <c r="I1050" s="391"/>
    </row>
    <row r="1051" spans="1:9" ht="12.75" customHeight="1">
      <c r="A1051" s="122"/>
      <c r="B1051" s="386" t="s">
        <v>316</v>
      </c>
      <c r="C1051" s="257"/>
      <c r="D1051" s="1246" t="s">
        <v>617</v>
      </c>
      <c r="E1051" s="1246"/>
      <c r="F1051" s="1246"/>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51" t="s">
        <v>619</v>
      </c>
      <c r="B1054" s="1251"/>
      <c r="C1054" s="1251"/>
      <c r="D1054" s="1251"/>
      <c r="E1054" s="1251"/>
      <c r="F1054" s="1251"/>
      <c r="G1054" s="1251"/>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59" t="s">
        <v>622</v>
      </c>
      <c r="E1059" s="1259"/>
      <c r="F1059" s="1259"/>
      <c r="I1059" s="391"/>
    </row>
    <row r="1060" spans="1:9">
      <c r="A1060" s="305"/>
      <c r="B1060" s="305"/>
      <c r="C1060" s="305"/>
      <c r="D1060" s="1259"/>
      <c r="E1060" s="1259"/>
      <c r="F1060" s="1259"/>
      <c r="I1060" s="391"/>
    </row>
    <row r="1061" spans="1:9">
      <c r="A1061" s="305"/>
      <c r="B1061" s="305"/>
      <c r="C1061" s="305"/>
      <c r="D1061" s="1259"/>
      <c r="E1061" s="1259"/>
      <c r="F1061" s="1259"/>
      <c r="I1061" s="391"/>
    </row>
    <row r="1062" spans="1:9">
      <c r="A1062" s="305"/>
      <c r="B1062" s="305"/>
      <c r="C1062" s="305"/>
      <c r="D1062" s="1259"/>
      <c r="E1062" s="1259"/>
      <c r="F1062" s="1259"/>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259" t="s">
        <v>625</v>
      </c>
      <c r="E1069" s="1259"/>
      <c r="F1069" s="1259"/>
      <c r="I1069" s="391"/>
    </row>
    <row r="1070" spans="1:9">
      <c r="A1070" s="305"/>
      <c r="B1070" s="305"/>
      <c r="C1070" s="305"/>
      <c r="D1070" s="1259"/>
      <c r="E1070" s="1259"/>
      <c r="F1070" s="1259"/>
      <c r="I1070" s="391"/>
    </row>
    <row r="1071" spans="1:9">
      <c r="A1071" s="305"/>
      <c r="B1071" s="305"/>
      <c r="C1071" s="305"/>
      <c r="D1071" s="1259"/>
      <c r="E1071" s="1259"/>
      <c r="F1071" s="1259"/>
      <c r="I1071" s="391"/>
    </row>
    <row r="1072" spans="1:9">
      <c r="A1072" s="305"/>
      <c r="B1072" s="305"/>
      <c r="C1072" s="305"/>
      <c r="D1072" s="1259"/>
      <c r="E1072" s="1259"/>
      <c r="F1072" s="1259"/>
      <c r="I1072" s="391"/>
    </row>
    <row r="1073" spans="1:9">
      <c r="A1073" s="305"/>
      <c r="B1073" s="305"/>
      <c r="C1073" s="305"/>
      <c r="D1073" s="1259"/>
      <c r="E1073" s="1259"/>
      <c r="F1073" s="1259"/>
      <c r="I1073" s="391"/>
    </row>
    <row r="1074" spans="1:9">
      <c r="A1074" s="305"/>
      <c r="B1074" s="305"/>
      <c r="C1074" s="305"/>
      <c r="I1074" s="391"/>
    </row>
    <row r="1075" spans="1:9">
      <c r="A1075" s="1251" t="s">
        <v>626</v>
      </c>
      <c r="B1075" s="1251"/>
      <c r="C1075" s="1251"/>
      <c r="D1075" s="1251"/>
      <c r="E1075" s="1251"/>
      <c r="F1075" s="1251"/>
      <c r="G1075" s="1251"/>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62" t="s">
        <v>629</v>
      </c>
      <c r="E1081" s="1262"/>
      <c r="F1081" s="1262"/>
      <c r="I1081" s="391"/>
    </row>
    <row r="1082" spans="1:9">
      <c r="A1082" s="305"/>
      <c r="B1082" s="305"/>
      <c r="C1082" s="305"/>
      <c r="D1082" s="1262"/>
      <c r="E1082" s="1262"/>
      <c r="F1082" s="1262"/>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30" t="s">
        <v>632</v>
      </c>
      <c r="E1086" s="1230"/>
      <c r="F1086" s="1230"/>
      <c r="I1086" s="391"/>
    </row>
    <row r="1087" spans="1:9">
      <c r="A1087" s="305"/>
      <c r="B1087" s="305"/>
      <c r="C1087" s="305"/>
      <c r="D1087" s="1230"/>
      <c r="E1087" s="1230"/>
      <c r="F1087" s="1230"/>
      <c r="I1087" s="391"/>
    </row>
    <row r="1088" spans="1:9">
      <c r="A1088" s="305"/>
      <c r="B1088" s="305"/>
      <c r="C1088" s="305"/>
      <c r="D1088" s="1230"/>
      <c r="E1088" s="1230"/>
      <c r="F1088" s="1230"/>
      <c r="I1088" s="391"/>
    </row>
    <row r="1089" spans="1:9">
      <c r="A1089" s="305"/>
      <c r="B1089" s="305"/>
      <c r="C1089" s="305"/>
      <c r="D1089" s="1230"/>
      <c r="E1089" s="1230"/>
      <c r="F1089" s="1230"/>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58" t="s">
        <v>635</v>
      </c>
      <c r="E1093" s="1258"/>
      <c r="F1093" s="1258"/>
      <c r="I1093" s="391"/>
    </row>
    <row r="1094" spans="1:9">
      <c r="A1094" s="305"/>
      <c r="B1094" s="305"/>
      <c r="C1094" s="305"/>
      <c r="D1094" s="1258"/>
      <c r="E1094" s="1258"/>
      <c r="F1094" s="1258"/>
      <c r="I1094" s="391"/>
    </row>
    <row r="1095" spans="1:9">
      <c r="A1095" s="305"/>
      <c r="B1095" s="305"/>
      <c r="C1095" s="305"/>
      <c r="D1095" s="1258"/>
      <c r="E1095" s="1258"/>
      <c r="F1095" s="1258"/>
      <c r="I1095" s="391"/>
    </row>
    <row r="1096" spans="1:9">
      <c r="A1096" s="305"/>
      <c r="B1096" s="305"/>
      <c r="C1096" s="305"/>
      <c r="D1096" s="1258"/>
      <c r="E1096" s="1258"/>
      <c r="F1096" s="1258"/>
      <c r="I1096" s="391"/>
    </row>
    <row r="1097" spans="1:9">
      <c r="A1097" s="305"/>
      <c r="B1097" s="305"/>
      <c r="C1097" s="305"/>
      <c r="D1097" s="1258"/>
      <c r="E1097" s="1258"/>
      <c r="F1097" s="1258"/>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2" t="s">
        <v>637</v>
      </c>
      <c r="E1100" s="1242"/>
      <c r="F1100" s="1242"/>
      <c r="I1100" s="391"/>
    </row>
    <row r="1101" spans="1:9">
      <c r="A1101" s="305"/>
      <c r="B1101" s="305"/>
      <c r="C1101" s="305"/>
      <c r="D1101" s="1242"/>
      <c r="E1101" s="1242"/>
      <c r="F1101" s="1242"/>
      <c r="I1101" s="391"/>
    </row>
    <row r="1102" spans="1:9">
      <c r="A1102" s="305"/>
      <c r="B1102" s="305"/>
      <c r="C1102" s="305"/>
      <c r="D1102" s="1242"/>
      <c r="E1102" s="1242"/>
      <c r="F1102" s="1242"/>
      <c r="I1102" s="391"/>
    </row>
    <row r="1103" spans="1:9">
      <c r="A1103" s="305"/>
      <c r="B1103" s="305"/>
      <c r="C1103" s="305"/>
      <c r="I1103" s="391"/>
    </row>
    <row r="1104" spans="1:9">
      <c r="A1104" s="1251" t="s">
        <v>638</v>
      </c>
      <c r="B1104" s="1251"/>
      <c r="C1104" s="1251"/>
      <c r="D1104" s="1251"/>
      <c r="E1104" s="1251"/>
      <c r="F1104" s="1251"/>
      <c r="G1104" s="1251"/>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60" t="s">
        <v>639</v>
      </c>
      <c r="E1107" s="1260"/>
      <c r="F1107" s="1260"/>
      <c r="I1107" s="391"/>
    </row>
    <row r="1108" spans="1:9">
      <c r="A1108" s="305"/>
      <c r="B1108" s="305"/>
      <c r="C1108" s="305"/>
      <c r="D1108" s="1260"/>
      <c r="E1108" s="1260"/>
      <c r="F1108" s="1260"/>
      <c r="I1108" s="391"/>
    </row>
    <row r="1109" spans="1:9">
      <c r="A1109" s="305"/>
      <c r="B1109" s="305"/>
      <c r="C1109" s="305"/>
      <c r="D1109" s="1261" t="s">
        <v>640</v>
      </c>
      <c r="E1109" s="1230"/>
      <c r="F1109" s="1230"/>
      <c r="I1109" s="391"/>
    </row>
    <row r="1110" spans="1:9">
      <c r="A1110" s="305"/>
      <c r="B1110" s="305"/>
      <c r="C1110" s="305"/>
      <c r="D1110" s="427"/>
      <c r="I1110" s="391"/>
    </row>
    <row r="1111" spans="1:9">
      <c r="A1111" s="305"/>
      <c r="B1111" s="386" t="s">
        <v>316</v>
      </c>
      <c r="C1111" s="305"/>
      <c r="D1111" s="1258" t="s">
        <v>641</v>
      </c>
      <c r="E1111" s="1258"/>
      <c r="F1111" s="1258"/>
      <c r="I1111" s="391"/>
    </row>
    <row r="1112" spans="1:9">
      <c r="A1112" s="305"/>
      <c r="B1112" s="305"/>
      <c r="C1112" s="305"/>
      <c r="D1112" s="1258"/>
      <c r="E1112" s="1258"/>
      <c r="F1112" s="1258"/>
      <c r="I1112" s="391"/>
    </row>
    <row r="1113" spans="1:9">
      <c r="A1113" s="305"/>
      <c r="B1113" s="305"/>
      <c r="C1113" s="305"/>
      <c r="D1113" s="1258"/>
      <c r="E1113" s="1258"/>
      <c r="F1113" s="1258"/>
      <c r="I1113" s="391"/>
    </row>
    <row r="1114" spans="1:9">
      <c r="A1114" s="305"/>
      <c r="B1114" s="305"/>
      <c r="C1114" s="305"/>
      <c r="D1114" s="427"/>
      <c r="I1114" s="391"/>
    </row>
    <row r="1115" spans="1:9">
      <c r="A1115" s="305"/>
      <c r="B1115" s="386" t="s">
        <v>316</v>
      </c>
      <c r="C1115" s="305"/>
      <c r="D1115" s="1258" t="s">
        <v>642</v>
      </c>
      <c r="E1115" s="1258"/>
      <c r="F1115" s="1258"/>
      <c r="I1115" s="391"/>
    </row>
    <row r="1116" spans="1:9">
      <c r="A1116" s="305"/>
      <c r="B1116" s="305"/>
      <c r="C1116" s="305"/>
      <c r="D1116" s="1258"/>
      <c r="E1116" s="1258"/>
      <c r="F1116" s="1258"/>
      <c r="I1116" s="391"/>
    </row>
    <row r="1117" spans="1:9">
      <c r="A1117" s="305"/>
      <c r="B1117" s="305"/>
      <c r="C1117" s="305"/>
      <c r="D1117" s="1258"/>
      <c r="E1117" s="1258"/>
      <c r="F1117" s="1258"/>
      <c r="I1117" s="391"/>
    </row>
    <row r="1118" spans="1:9">
      <c r="A1118" s="305"/>
      <c r="B1118" s="305"/>
      <c r="C1118" s="305"/>
      <c r="D1118" s="1258"/>
      <c r="E1118" s="1258"/>
      <c r="F1118" s="1258"/>
      <c r="I1118" s="391"/>
    </row>
    <row r="1119" spans="1:9">
      <c r="A1119" s="305"/>
      <c r="B1119" s="305"/>
      <c r="C1119" s="305"/>
      <c r="D1119" s="1258"/>
      <c r="E1119" s="1258"/>
      <c r="F1119" s="1258"/>
      <c r="I1119" s="391"/>
    </row>
    <row r="1120" spans="1:9">
      <c r="A1120" s="305"/>
      <c r="B1120" s="305"/>
      <c r="C1120" s="305"/>
      <c r="D1120" s="427"/>
      <c r="I1120" s="381"/>
    </row>
    <row r="1121" spans="1:9">
      <c r="A1121" s="305"/>
      <c r="B1121" s="386" t="s">
        <v>316</v>
      </c>
      <c r="C1121" s="305"/>
      <c r="D1121" s="1258" t="s">
        <v>643</v>
      </c>
      <c r="E1121" s="1258"/>
      <c r="F1121" s="1258"/>
      <c r="I1121" s="391"/>
    </row>
    <row r="1122" spans="1:9">
      <c r="A1122" s="305"/>
      <c r="B1122" s="305"/>
      <c r="C1122" s="305"/>
      <c r="D1122" s="1258"/>
      <c r="E1122" s="1258"/>
      <c r="F1122" s="1258"/>
      <c r="I1122" s="391"/>
    </row>
    <row r="1123" spans="1:9">
      <c r="A1123" s="305"/>
      <c r="B1123" s="305"/>
      <c r="C1123" s="305"/>
      <c r="D1123" s="1258"/>
      <c r="E1123" s="1258"/>
      <c r="F1123" s="1258"/>
      <c r="I1123" s="391"/>
    </row>
    <row r="1124" spans="1:9">
      <c r="A1124" s="305"/>
      <c r="B1124" s="305"/>
      <c r="C1124" s="305"/>
      <c r="D1124" s="427"/>
      <c r="I1124" s="391"/>
    </row>
    <row r="1125" spans="1:9">
      <c r="A1125" s="305"/>
      <c r="B1125" s="386" t="s">
        <v>316</v>
      </c>
      <c r="C1125" s="305"/>
      <c r="D1125" s="1235" t="s">
        <v>644</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311</v>
      </c>
      <c r="C1129" s="305"/>
      <c r="D1129" s="1230" t="s">
        <v>645</v>
      </c>
      <c r="E1129" s="1230"/>
      <c r="F1129" s="1230"/>
      <c r="I1129" s="391"/>
    </row>
    <row r="1130" spans="1:9">
      <c r="A1130" s="305"/>
      <c r="B1130" s="305"/>
      <c r="C1130" s="305"/>
      <c r="D1130" s="1230"/>
      <c r="E1130" s="1230"/>
      <c r="F1130" s="1230"/>
      <c r="I1130" s="391"/>
    </row>
    <row r="1131" spans="1:9">
      <c r="A1131" s="305"/>
      <c r="B1131" s="305"/>
      <c r="C1131" s="305"/>
      <c r="D1131" s="1230"/>
      <c r="E1131" s="1230"/>
      <c r="F1131" s="1230"/>
      <c r="I1131" s="391"/>
    </row>
    <row r="1132" spans="1:9">
      <c r="A1132" s="305"/>
      <c r="B1132" s="305"/>
      <c r="C1132" s="305"/>
      <c r="D1132" s="1230"/>
      <c r="E1132" s="1230"/>
      <c r="F1132" s="1230"/>
      <c r="I1132" s="391"/>
    </row>
    <row r="1133" spans="1:9">
      <c r="A1133" s="305"/>
      <c r="B1133" s="305"/>
      <c r="C1133" s="305"/>
      <c r="D1133" s="869"/>
      <c r="E1133" s="869"/>
      <c r="F1133" s="869"/>
      <c r="I1133" s="391"/>
    </row>
    <row r="1134" spans="1:9">
      <c r="A1134" s="305"/>
      <c r="B1134" s="386" t="s">
        <v>316</v>
      </c>
      <c r="C1134" s="305"/>
      <c r="D1134" s="1235" t="s">
        <v>646</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c r="A1141" s="305"/>
      <c r="B1141" s="386" t="s">
        <v>316</v>
      </c>
      <c r="C1141" s="305"/>
      <c r="D1141" s="1259" t="s">
        <v>647</v>
      </c>
      <c r="E1141" s="1259"/>
      <c r="F1141" s="1259"/>
      <c r="I1141" s="1042"/>
    </row>
    <row r="1142" spans="1:9">
      <c r="A1142" s="305"/>
      <c r="B1142" s="305"/>
      <c r="C1142" s="305"/>
      <c r="D1142" s="1259"/>
      <c r="E1142" s="1259"/>
      <c r="F1142" s="1259"/>
      <c r="I1142" s="391"/>
    </row>
    <row r="1143" spans="1:9">
      <c r="A1143" s="305"/>
      <c r="B1143" s="305"/>
      <c r="C1143" s="305"/>
      <c r="D1143" s="1259"/>
      <c r="E1143" s="1259"/>
      <c r="F1143" s="1259"/>
    </row>
    <row r="1144" spans="1:9">
      <c r="A1144" s="305"/>
      <c r="B1144" s="305"/>
      <c r="C1144" s="305"/>
      <c r="D1144" s="1259"/>
      <c r="E1144" s="1259"/>
      <c r="F1144" s="1259"/>
    </row>
    <row r="1145" spans="1:9">
      <c r="A1145" s="305"/>
      <c r="B1145" s="305"/>
      <c r="C1145" s="305"/>
      <c r="D1145" s="1259"/>
      <c r="E1145" s="1259"/>
      <c r="F1145" s="125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8"/>
      <c r="H1553" s="1268"/>
      <c r="I1553" s="1268"/>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90" zoomScaleNormal="100" workbookViewId="0">
      <selection activeCell="N382" sqref="N382:AF38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Northern (Butte, El Dorado, Placer, Sacramento, San Joaquin, Shasta, Solano, Sutter, Yuba, and Yolo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26</v>
      </c>
    </row>
    <row r="8" spans="1:58" ht="26.25" customHeight="1">
      <c r="A8" s="1439" t="s">
        <v>658</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790"/>
      <c r="AV8" s="790"/>
      <c r="AW8" s="790"/>
      <c r="AX8" s="790"/>
      <c r="AY8" s="790"/>
      <c r="BD8" s="3" t="s">
        <v>659</v>
      </c>
      <c r="BE8" s="1072">
        <f>SUMIF($AC$726:$AC$760,"&lt;=35%",$G$726:G$760)-SUM($BE$5:BE7)</f>
        <v>0</v>
      </c>
    </row>
    <row r="9" spans="1:58" ht="12.95" customHeight="1">
      <c r="A9" s="1315" t="s">
        <v>660</v>
      </c>
      <c r="B9" s="1315"/>
      <c r="C9" s="1315"/>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5"/>
      <c r="AB9" s="1315"/>
      <c r="AC9" s="1315"/>
      <c r="AD9" s="1315"/>
      <c r="AE9" s="1315"/>
      <c r="AF9" s="1315"/>
      <c r="AG9" s="1315"/>
      <c r="AH9" s="1315"/>
      <c r="AI9" s="1315"/>
      <c r="AJ9" s="1315"/>
      <c r="AK9" s="1315"/>
      <c r="AL9" s="1315"/>
      <c r="AM9" s="1315"/>
      <c r="AN9" s="1315"/>
      <c r="AO9" s="1315"/>
      <c r="AP9" s="1315"/>
      <c r="AQ9" s="1315"/>
      <c r="AR9" s="1315"/>
      <c r="AS9" s="1315"/>
      <c r="AT9" s="1315"/>
      <c r="AU9" s="12"/>
      <c r="AV9" s="12"/>
      <c r="AW9" s="12"/>
      <c r="AX9" s="12"/>
      <c r="AY9" s="12"/>
      <c r="BD9" s="1071" t="s">
        <v>661</v>
      </c>
      <c r="BE9" s="1072">
        <f>SUMIF($AC$726:$AC$760,"&lt;=40%",$G$726:G$760)-SUM($BE$5:BE8)</f>
        <v>0</v>
      </c>
    </row>
    <row r="10" spans="1:58" ht="12.95" customHeight="1">
      <c r="A10" s="1315" t="s">
        <v>662</v>
      </c>
      <c r="B10" s="1315"/>
      <c r="C10" s="1315"/>
      <c r="D10" s="1315"/>
      <c r="E10" s="1315"/>
      <c r="F10" s="1315"/>
      <c r="G10" s="1315"/>
      <c r="H10" s="1315"/>
      <c r="I10" s="1315"/>
      <c r="J10" s="1315"/>
      <c r="K10" s="1315"/>
      <c r="L10" s="1315"/>
      <c r="M10" s="1315"/>
      <c r="N10" s="1315"/>
      <c r="O10" s="1315"/>
      <c r="P10" s="1315"/>
      <c r="Q10" s="1315"/>
      <c r="R10" s="1315"/>
      <c r="S10" s="1315"/>
      <c r="T10" s="1315"/>
      <c r="U10" s="1315"/>
      <c r="V10" s="1315"/>
      <c r="W10" s="1315"/>
      <c r="X10" s="1315"/>
      <c r="Y10" s="1315"/>
      <c r="Z10" s="1315"/>
      <c r="AA10" s="1315"/>
      <c r="AB10" s="1315"/>
      <c r="AC10" s="1315"/>
      <c r="AD10" s="1315"/>
      <c r="AE10" s="1315"/>
      <c r="AF10" s="1315"/>
      <c r="AG10" s="1315"/>
      <c r="AH10" s="1315"/>
      <c r="AI10" s="1315"/>
      <c r="AJ10" s="1315"/>
      <c r="AK10" s="1315"/>
      <c r="AL10" s="1315"/>
      <c r="AM10" s="1315"/>
      <c r="AN10" s="1315"/>
      <c r="AO10" s="1315"/>
      <c r="AP10" s="1315"/>
      <c r="AQ10" s="1315"/>
      <c r="AR10" s="1315"/>
      <c r="AS10" s="1315"/>
      <c r="AT10" s="1315"/>
      <c r="AU10" s="12"/>
      <c r="AV10" s="12"/>
      <c r="AW10" s="12"/>
      <c r="AX10" s="12"/>
      <c r="AY10" s="12"/>
      <c r="BD10" s="3" t="s">
        <v>663</v>
      </c>
      <c r="BE10" s="1072">
        <f>SUMIF($AC$726:$AC$760,"&lt;=45%",$G$726:G$760)-SUM($BE$5:BE9)</f>
        <v>0</v>
      </c>
    </row>
    <row r="11" spans="1:58" ht="12.95" customHeight="1">
      <c r="A11" s="1315" t="s">
        <v>664</v>
      </c>
      <c r="B11" s="1315"/>
      <c r="C11" s="1315"/>
      <c r="D11" s="1315"/>
      <c r="E11" s="1315"/>
      <c r="F11" s="1315"/>
      <c r="G11" s="1315"/>
      <c r="H11" s="1315"/>
      <c r="I11" s="1315"/>
      <c r="J11" s="1315"/>
      <c r="K11" s="1315"/>
      <c r="L11" s="1315"/>
      <c r="M11" s="1315"/>
      <c r="N11" s="1315"/>
      <c r="O11" s="1315"/>
      <c r="P11" s="1315"/>
      <c r="Q11" s="1315"/>
      <c r="R11" s="1315"/>
      <c r="S11" s="1315"/>
      <c r="T11" s="1315"/>
      <c r="U11" s="1315"/>
      <c r="V11" s="1315"/>
      <c r="W11" s="1315"/>
      <c r="X11" s="1315"/>
      <c r="Y11" s="1315"/>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2"/>
      <c r="AV11" s="12"/>
      <c r="AW11" s="12"/>
      <c r="AX11" s="12"/>
      <c r="AY11" s="12"/>
      <c r="BD11" s="1070" t="s">
        <v>665</v>
      </c>
      <c r="BE11" s="1072">
        <f>SUMIF($AC$726:$AC$760,"&lt;=50%",$G$726:G$760)-SUM($BE$5:BE10)</f>
        <v>25</v>
      </c>
    </row>
    <row r="12" spans="1:58" ht="12.95" customHeight="1">
      <c r="A12" s="1440" t="s">
        <v>666</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257"/>
      <c r="AV12" s="257"/>
      <c r="AW12" s="257"/>
      <c r="AX12" s="257"/>
      <c r="AY12" s="257"/>
      <c r="BD12" s="3" t="s">
        <v>667</v>
      </c>
      <c r="BE12" s="1072">
        <f>SUMIF($AC$726:$AC$760,"&lt;=55%",$G$726:G$760)-SUM($BE$5:BE11)</f>
        <v>0</v>
      </c>
    </row>
    <row r="13" spans="1:58" ht="12.95" customHeight="1">
      <c r="A13" s="1228" t="s">
        <v>668</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91"/>
      <c r="AV13" s="791"/>
      <c r="AW13" s="791"/>
      <c r="AX13" s="791"/>
      <c r="AY13" s="791"/>
      <c r="BD13" s="1071" t="s">
        <v>669</v>
      </c>
      <c r="BE13" s="1072">
        <f>SUMIF($AC$726:$AC$760,"&lt;=60%",$G$726:G$760)-SUM($BE$5:BE12)</f>
        <v>22</v>
      </c>
    </row>
    <row r="14" spans="1:58" ht="12.95"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91"/>
      <c r="AV14" s="791"/>
      <c r="AW14" s="791"/>
      <c r="AX14" s="791"/>
      <c r="AY14" s="791"/>
      <c r="BD14" s="1070" t="s">
        <v>670</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10</v>
      </c>
    </row>
    <row r="16" spans="1:58" ht="12.95" customHeight="1">
      <c r="A16" s="49" t="s">
        <v>672</v>
      </c>
      <c r="C16" s="3"/>
      <c r="D16" s="3"/>
      <c r="E16" s="3"/>
      <c r="F16" s="3"/>
      <c r="G16" s="3"/>
      <c r="H16" s="1446" t="s">
        <v>673</v>
      </c>
      <c r="I16" s="1446"/>
      <c r="J16" s="1446"/>
      <c r="K16" s="1446"/>
      <c r="L16" s="1446"/>
      <c r="M16" s="1446"/>
      <c r="N16" s="1446"/>
      <c r="O16" s="1446"/>
      <c r="P16" s="1446"/>
      <c r="Q16" s="1446"/>
      <c r="R16" s="1446"/>
      <c r="S16" s="1446"/>
      <c r="T16" s="1446"/>
      <c r="U16" s="1446"/>
      <c r="V16" s="1446"/>
      <c r="W16" s="1446"/>
      <c r="X16" s="1446"/>
      <c r="Y16" s="1446"/>
      <c r="Z16" s="1446"/>
      <c r="AA16" s="1446"/>
      <c r="AB16" s="1446"/>
      <c r="AC16" s="1446"/>
      <c r="AD16" s="1446"/>
      <c r="AE16" s="1446"/>
      <c r="AF16" s="1446"/>
      <c r="AG16" s="1446"/>
      <c r="AH16" s="1446"/>
      <c r="AI16" s="1446"/>
      <c r="AJ16" s="1446"/>
      <c r="BD16" s="1071" t="s">
        <v>77</v>
      </c>
      <c r="BE16" s="1072" t="str">
        <f>Application!H18</f>
        <v>I Street Apartments</v>
      </c>
    </row>
    <row r="17" spans="1:58" ht="12.95" customHeight="1">
      <c r="BD17" s="1070" t="s">
        <v>674</v>
      </c>
      <c r="BE17" s="1072">
        <f>Application!AA943</f>
        <v>0</v>
      </c>
    </row>
    <row r="18" spans="1:58" ht="12.95" customHeight="1">
      <c r="A18" s="49" t="s">
        <v>675</v>
      </c>
      <c r="C18" s="3"/>
      <c r="D18" s="3"/>
      <c r="E18" s="3"/>
      <c r="F18" s="3"/>
      <c r="G18" s="3"/>
      <c r="H18" s="1444" t="s">
        <v>676</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BD18" s="1071" t="s">
        <v>677</v>
      </c>
      <c r="BE18" s="1072">
        <f>AA943</f>
        <v>0</v>
      </c>
    </row>
    <row r="19" spans="1:58" ht="12.95" customHeight="1">
      <c r="BD19" s="1070" t="s">
        <v>678</v>
      </c>
      <c r="BE19" s="1072">
        <f ca="1">Application!M26</f>
        <v>3150514</v>
      </c>
    </row>
    <row r="20" spans="1:58" ht="12.95" customHeight="1">
      <c r="A20" s="1441" t="s">
        <v>679</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792"/>
      <c r="AV20" s="792"/>
      <c r="AW20" s="792"/>
      <c r="AX20" s="792"/>
      <c r="AY20" s="792"/>
      <c r="BD20" s="1071" t="s">
        <v>680</v>
      </c>
      <c r="BE20" s="1072">
        <f ca="1">Application!M27</f>
        <v>5298328</v>
      </c>
    </row>
    <row r="21" spans="1:58" ht="12.95" customHeight="1">
      <c r="A21" s="1447" t="s">
        <v>681</v>
      </c>
      <c r="B21" s="1447"/>
      <c r="C21" s="144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c r="AL21" s="1447"/>
      <c r="AM21" s="793"/>
      <c r="AN21" s="793"/>
      <c r="AO21" s="793"/>
      <c r="AP21" s="793"/>
      <c r="AQ21" s="793"/>
      <c r="AR21" s="793"/>
      <c r="AS21" s="793"/>
      <c r="AT21" s="793"/>
      <c r="AU21" s="793"/>
      <c r="AV21" s="793"/>
      <c r="AW21" s="793"/>
      <c r="AX21" s="793"/>
      <c r="AY21" s="793"/>
      <c r="BD21" s="1070" t="s">
        <v>682</v>
      </c>
      <c r="BE21" s="1072">
        <f>Application!AM562</f>
        <v>17490897</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66736372</v>
      </c>
      <c r="BF22" s="3" t="s">
        <v>684</v>
      </c>
    </row>
    <row r="23" spans="1:58" ht="12.95" customHeight="1">
      <c r="A23" s="1260" t="s">
        <v>685</v>
      </c>
      <c r="B23" s="1260"/>
      <c r="C23" s="1260"/>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6"/>
      <c r="AV23" s="16"/>
      <c r="AW23" s="16"/>
      <c r="AX23" s="16"/>
      <c r="AY23" s="16"/>
      <c r="AZ23" s="16"/>
      <c r="BD23" s="1070" t="s">
        <v>686</v>
      </c>
      <c r="BE23" s="1072">
        <f>'Sources and Uses Budget'!B4</f>
        <v>2550000</v>
      </c>
    </row>
    <row r="24" spans="1:58" ht="12.95" customHeight="1">
      <c r="A24" s="1260"/>
      <c r="B24" s="1260"/>
      <c r="C24" s="1260"/>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6"/>
      <c r="AV24" s="16"/>
      <c r="AW24" s="16"/>
      <c r="AX24" s="16"/>
      <c r="AY24" s="16"/>
      <c r="AZ24" s="16"/>
      <c r="BD24" s="1071" t="s">
        <v>687</v>
      </c>
      <c r="BE24" s="1072">
        <f>Application!AG459</f>
        <v>73839</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45">
        <f ca="1">'Basis &amp; Credits'!AB56</f>
        <v>3150514</v>
      </c>
      <c r="N26" s="1445"/>
      <c r="O26" s="1445"/>
      <c r="P26" s="1445"/>
      <c r="Q26" s="1445"/>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67">
        <f ca="1">'Basis &amp; Credits'!AB78</f>
        <v>5298328</v>
      </c>
      <c r="N27" s="1367"/>
      <c r="O27" s="1367"/>
      <c r="P27" s="1367"/>
      <c r="Q27" s="1367"/>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42" t="s">
        <v>694</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BD29" s="1070" t="s">
        <v>695</v>
      </c>
      <c r="BE29" s="1072" t="b">
        <f>Application!M367="Yes"</f>
        <v>0</v>
      </c>
    </row>
    <row r="30" spans="1:58"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17"/>
      <c r="BD30" s="1071" t="s">
        <v>696</v>
      </c>
      <c r="BE30" s="1072" t="b">
        <f>Application!AJ364="Yes"</f>
        <v>0</v>
      </c>
    </row>
    <row r="31" spans="1:58"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10" t="s">
        <v>700</v>
      </c>
      <c r="P33" s="1310"/>
      <c r="Q33" s="1443" t="s">
        <v>701</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17"/>
      <c r="AV33" s="17"/>
      <c r="AW33" s="17"/>
      <c r="AX33" s="17"/>
      <c r="AY33" s="17"/>
      <c r="BD33" s="1070" t="s">
        <v>702</v>
      </c>
      <c r="BE33" s="1072" t="str">
        <f>Application!D220</f>
        <v>Capital Region: El Dorado, Placer, Sacramento, Sutter, Yuba, and Yolo Counties</v>
      </c>
    </row>
    <row r="34" spans="1:57" ht="12.95" hidden="1" customHeight="1">
      <c r="A34" s="1442" t="s">
        <v>703</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7"/>
      <c r="AV34" s="17"/>
      <c r="AW34" s="17"/>
      <c r="AX34" s="17"/>
      <c r="AY34" s="17"/>
      <c r="AZ34" s="17"/>
      <c r="BD34" s="1071" t="s">
        <v>704</v>
      </c>
      <c r="BE34" s="1072" t="str">
        <f>Application!I185</f>
        <v>1511-1517 I Street</v>
      </c>
    </row>
    <row r="35" spans="1:57" ht="12.95" hidden="1"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7"/>
      <c r="AV35" s="17"/>
      <c r="AW35" s="17"/>
      <c r="AX35" s="17"/>
      <c r="AY35" s="17"/>
      <c r="AZ35" s="17"/>
      <c r="BD35" s="1070" t="s">
        <v>705</v>
      </c>
      <c r="BE35" s="1072" t="str">
        <f>IF(Application!E187="","",Application!E187)</f>
        <v/>
      </c>
    </row>
    <row r="36" spans="1:57" ht="12.95" hidden="1"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7"/>
      <c r="AV36" s="17"/>
      <c r="AW36" s="17"/>
      <c r="AX36" s="17"/>
      <c r="AY36" s="17"/>
      <c r="AZ36" s="17"/>
      <c r="BD36" s="1071" t="s">
        <v>706</v>
      </c>
      <c r="BE36" s="1072" t="str">
        <f>Application!I189</f>
        <v>Sacramento</v>
      </c>
    </row>
    <row r="37" spans="1:57" ht="12.95" hidden="1"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17"/>
      <c r="BD37" s="1070" t="s">
        <v>707</v>
      </c>
      <c r="BE37" s="1072" t="str">
        <f>Application!T189</f>
        <v>Sacramento</v>
      </c>
    </row>
    <row r="38" spans="1:57" ht="12.95" hidden="1" customHeight="1">
      <c r="A38" s="3"/>
      <c r="AZ38" s="17"/>
      <c r="BD38" s="1071" t="s">
        <v>708</v>
      </c>
      <c r="BE38" s="1072">
        <f>Application!I190</f>
        <v>95814</v>
      </c>
    </row>
    <row r="39" spans="1:57" ht="12.95" customHeight="1">
      <c r="A39" s="1230" t="s">
        <v>709</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070" t="s">
        <v>710</v>
      </c>
      <c r="BE39" s="1072">
        <f>Application!AG446</f>
        <v>84</v>
      </c>
    </row>
    <row r="40" spans="1:57" ht="12.9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071" t="s">
        <v>201</v>
      </c>
      <c r="BE40" s="1072">
        <f>Application!AG449</f>
        <v>83</v>
      </c>
    </row>
    <row r="41" spans="1:57" ht="12.9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070" t="s">
        <v>209</v>
      </c>
      <c r="BE41" s="1072">
        <f>Application!AG447</f>
        <v>0</v>
      </c>
    </row>
    <row r="42" spans="1:57" ht="12.9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071" t="s">
        <v>711</v>
      </c>
      <c r="BE42" s="1074">
        <f>Application!AC761</f>
        <v>0.49999999999999994</v>
      </c>
    </row>
    <row r="43" spans="1:57" ht="12.9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070" t="s">
        <v>712</v>
      </c>
      <c r="BE43" s="1074">
        <f>Application!AH761</f>
        <v>0.49314988174063501</v>
      </c>
    </row>
    <row r="44" spans="1:57" ht="12.9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071" t="s">
        <v>713</v>
      </c>
      <c r="BE44" s="1072">
        <f>Application!AC463</f>
        <v>794480.61904761905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2.95" customHeight="1">
      <c r="A46" s="1260" t="s">
        <v>715</v>
      </c>
      <c r="B46" s="1260"/>
      <c r="C46" s="1260"/>
      <c r="D46" s="1260"/>
      <c r="E46" s="1260"/>
      <c r="F46" s="1260"/>
      <c r="G46" s="1260"/>
      <c r="H46" s="1260"/>
      <c r="I46" s="1260"/>
      <c r="J46" s="1260"/>
      <c r="K46" s="1260"/>
      <c r="L46" s="1260"/>
      <c r="M46" s="1260"/>
      <c r="N46" s="1260"/>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7"/>
      <c r="AV46" s="17"/>
      <c r="AW46" s="17"/>
      <c r="AX46" s="17"/>
      <c r="AY46" s="17"/>
      <c r="AZ46" s="17"/>
      <c r="BD46" s="1071" t="s">
        <v>716</v>
      </c>
      <c r="BE46" s="1072" t="b">
        <f>Application!T195="Yes"</f>
        <v>0</v>
      </c>
    </row>
    <row r="47" spans="1:57" ht="12.95" customHeight="1">
      <c r="A47" s="1260"/>
      <c r="B47" s="1260"/>
      <c r="C47" s="1260"/>
      <c r="D47" s="1260"/>
      <c r="E47" s="1260"/>
      <c r="F47" s="1260"/>
      <c r="G47" s="1260"/>
      <c r="H47" s="1260"/>
      <c r="I47" s="1260"/>
      <c r="J47" s="1260"/>
      <c r="K47" s="1260"/>
      <c r="L47" s="1260"/>
      <c r="M47" s="1260"/>
      <c r="N47" s="1260"/>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7"/>
      <c r="AV47" s="17"/>
      <c r="AW47" s="17"/>
      <c r="AX47" s="17"/>
      <c r="AY47" s="17"/>
      <c r="AZ47" s="17"/>
      <c r="BD47" s="1070" t="s">
        <v>717</v>
      </c>
      <c r="BE47" s="1072" t="b">
        <f>Application!T196="Yes"</f>
        <v>1</v>
      </c>
    </row>
    <row r="48" spans="1:57" ht="12.95" customHeight="1">
      <c r="A48" s="1260"/>
      <c r="B48" s="1260"/>
      <c r="C48" s="1260"/>
      <c r="D48" s="1260"/>
      <c r="E48" s="1260"/>
      <c r="F48" s="1260"/>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7"/>
      <c r="AV48" s="17"/>
      <c r="AW48" s="17"/>
      <c r="AX48" s="17"/>
      <c r="AY48" s="17"/>
      <c r="AZ48" s="17"/>
      <c r="BD48" s="1071" t="s">
        <v>718</v>
      </c>
      <c r="BE48" s="1072" t="str">
        <f>Application!M252</f>
        <v>CHW I Street, LLC</v>
      </c>
    </row>
    <row r="49" spans="1:57" ht="12.95" customHeight="1">
      <c r="A49" s="1260"/>
      <c r="B49" s="1260"/>
      <c r="C49" s="1260"/>
      <c r="D49" s="1260"/>
      <c r="E49" s="1260"/>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7"/>
      <c r="AV49" s="17"/>
      <c r="AW49" s="17"/>
      <c r="AX49" s="17"/>
      <c r="AY49" s="17"/>
      <c r="AZ49" s="17"/>
      <c r="BD49" s="1070" t="s">
        <v>719</v>
      </c>
      <c r="BE49" s="1072" t="str">
        <f>Application!M255</f>
        <v>Kevin Leichner</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Community HousingWorks</v>
      </c>
    </row>
    <row r="51" spans="1:57" ht="12.95" customHeight="1">
      <c r="A51" s="1230" t="s">
        <v>721</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070" t="s">
        <v>722</v>
      </c>
      <c r="BE51" s="1072">
        <f>Application!M260</f>
        <v>0</v>
      </c>
    </row>
    <row r="52" spans="1:57" ht="12.9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071" t="s">
        <v>723</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30" t="s">
        <v>725</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071" t="s">
        <v>726</v>
      </c>
      <c r="BE54" s="1072">
        <f>Application!M268</f>
        <v>0</v>
      </c>
    </row>
    <row r="55" spans="1:57" ht="12.9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070" t="s">
        <v>727</v>
      </c>
      <c r="BE55" s="1072">
        <f>Application!M271</f>
        <v>0</v>
      </c>
    </row>
    <row r="56" spans="1:57" ht="12.9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071" t="s">
        <v>728</v>
      </c>
      <c r="BE56" s="1072">
        <f>Application!AA274</f>
        <v>0</v>
      </c>
    </row>
    <row r="57" spans="1:57" ht="12.9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070" t="s">
        <v>729</v>
      </c>
      <c r="BE57" s="1072" t="str">
        <f>Application!H296</f>
        <v>Community HousingWorks</v>
      </c>
    </row>
    <row r="58" spans="1:57" ht="12.9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071" t="s">
        <v>730</v>
      </c>
      <c r="BE58" s="1072" t="str">
        <f>Application!H297</f>
        <v>3110 Camino Del Rio N. Suite 800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San Diego, CA 92108</v>
      </c>
    </row>
    <row r="60" spans="1:57" ht="12.95" customHeight="1">
      <c r="A60" s="1230" t="s">
        <v>732</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071" t="s">
        <v>733</v>
      </c>
      <c r="BE60" s="1072" t="str">
        <f>Application!H299</f>
        <v>Kevin Leichner</v>
      </c>
    </row>
    <row r="61" spans="1:57" ht="12.9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070" t="s">
        <v>734</v>
      </c>
      <c r="BE61" s="1072" t="str">
        <f>Application!H302</f>
        <v>kleichner@chworks.org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 ca="1">'Basis &amp; Credits'!AB50</f>
        <v>0.93084437142637688</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0.92</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30" t="s">
        <v>739</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070" t="s">
        <v>740</v>
      </c>
      <c r="BE65" s="1072" t="str">
        <f>Z205</f>
        <v>$500M</v>
      </c>
    </row>
    <row r="66" spans="1:57" ht="12.9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071" t="s">
        <v>741</v>
      </c>
      <c r="BE66" s="1072" t="b">
        <f>Application!Z205="State Farmworker Credit"</f>
        <v>0</v>
      </c>
    </row>
    <row r="67" spans="1:57" ht="12.9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30" t="s">
        <v>744</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070" t="s">
        <v>745</v>
      </c>
      <c r="BE69" s="1072" t="str">
        <f>Application!W708</f>
        <v>Sacramento Housing and Redevelopment Agency</v>
      </c>
    </row>
    <row r="70" spans="1:57" ht="12.9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42" t="s">
        <v>748</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7"/>
      <c r="AV72" s="17"/>
      <c r="AW72" s="17"/>
      <c r="AX72" s="17"/>
      <c r="AY72" s="17"/>
      <c r="AZ72" s="17"/>
      <c r="BD72" s="1071" t="s">
        <v>749</v>
      </c>
      <c r="BE72" s="1072">
        <f>'Points System'!AF827</f>
        <v>10</v>
      </c>
    </row>
    <row r="73" spans="1:57"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711" t="s">
        <v>752</v>
      </c>
      <c r="B75" s="1711"/>
      <c r="C75" s="1711"/>
      <c r="D75" s="1711"/>
      <c r="E75" s="1711"/>
      <c r="F75" s="1711"/>
      <c r="G75" s="1711"/>
      <c r="H75" s="1711"/>
      <c r="I75" s="1711"/>
      <c r="J75" s="1711"/>
      <c r="K75" s="1711"/>
      <c r="L75" s="1711"/>
      <c r="M75" s="1711"/>
      <c r="N75" s="1711"/>
      <c r="O75" s="1711"/>
      <c r="P75" s="1711"/>
      <c r="Q75" s="1711"/>
      <c r="R75" s="1711"/>
      <c r="S75" s="1711"/>
      <c r="T75" s="1711"/>
      <c r="U75" s="1711"/>
      <c r="V75" s="1711"/>
      <c r="W75" s="1711"/>
      <c r="X75" s="1711"/>
      <c r="Y75" s="1711"/>
      <c r="Z75" s="1711"/>
      <c r="AA75" s="1711"/>
      <c r="AB75" s="1711"/>
      <c r="AC75" s="1711"/>
      <c r="AD75" s="1711"/>
      <c r="AE75" s="1711"/>
      <c r="AF75" s="1711"/>
      <c r="AG75" s="1711"/>
      <c r="AH75" s="1711"/>
      <c r="AI75" s="1711"/>
      <c r="AJ75" s="1711"/>
      <c r="AK75" s="1711"/>
      <c r="AL75" s="1711"/>
      <c r="AM75" s="1711"/>
      <c r="AN75" s="1711"/>
      <c r="AO75" s="1711"/>
      <c r="AP75" s="1711"/>
      <c r="AQ75" s="1711"/>
      <c r="AR75" s="1711"/>
      <c r="AS75" s="1711"/>
      <c r="AT75" s="1711"/>
      <c r="AU75" s="17"/>
      <c r="AV75" s="17"/>
      <c r="AW75" s="17"/>
      <c r="AX75" s="17"/>
      <c r="AY75" s="17"/>
      <c r="AZ75" s="17"/>
      <c r="BD75" s="1070" t="s">
        <v>753</v>
      </c>
      <c r="BE75" s="1072">
        <f>'Points System'!AF830</f>
        <v>10</v>
      </c>
    </row>
    <row r="76" spans="1:57" ht="12.95" customHeight="1">
      <c r="A76" s="1711"/>
      <c r="B76" s="1711"/>
      <c r="C76" s="1711"/>
      <c r="D76" s="1711"/>
      <c r="E76" s="1711"/>
      <c r="F76" s="1711"/>
      <c r="G76" s="1711"/>
      <c r="H76" s="1711"/>
      <c r="I76" s="1711"/>
      <c r="J76" s="1711"/>
      <c r="K76" s="1711"/>
      <c r="L76" s="1711"/>
      <c r="M76" s="1711"/>
      <c r="N76" s="1711"/>
      <c r="O76" s="1711"/>
      <c r="P76" s="1711"/>
      <c r="Q76" s="1711"/>
      <c r="R76" s="1711"/>
      <c r="S76" s="1711"/>
      <c r="T76" s="1711"/>
      <c r="U76" s="1711"/>
      <c r="V76" s="1711"/>
      <c r="W76" s="1711"/>
      <c r="X76" s="1711"/>
      <c r="Y76" s="1711"/>
      <c r="Z76" s="1711"/>
      <c r="AA76" s="1711"/>
      <c r="AB76" s="1711"/>
      <c r="AC76" s="1711"/>
      <c r="AD76" s="1711"/>
      <c r="AE76" s="1711"/>
      <c r="AF76" s="1711"/>
      <c r="AG76" s="1711"/>
      <c r="AH76" s="1711"/>
      <c r="AI76" s="1711"/>
      <c r="AJ76" s="1711"/>
      <c r="AK76" s="1711"/>
      <c r="AL76" s="1711"/>
      <c r="AM76" s="1711"/>
      <c r="AN76" s="1711"/>
      <c r="AO76" s="1711"/>
      <c r="AP76" s="1711"/>
      <c r="AQ76" s="1711"/>
      <c r="AR76" s="1711"/>
      <c r="AS76" s="1711"/>
      <c r="AT76" s="1711"/>
      <c r="AU76" s="17"/>
      <c r="AV76" s="17"/>
      <c r="AW76" s="17"/>
      <c r="AX76" s="17"/>
      <c r="AY76" s="17"/>
      <c r="AZ76" s="15"/>
      <c r="BD76" s="1071" t="s">
        <v>754</v>
      </c>
      <c r="BE76" s="1072">
        <f>'Points System'!AF833</f>
        <v>10</v>
      </c>
    </row>
    <row r="77" spans="1:57" ht="12.95" customHeight="1">
      <c r="A77" s="1711"/>
      <c r="B77" s="1711"/>
      <c r="C77" s="1711"/>
      <c r="D77" s="1711"/>
      <c r="E77" s="1711"/>
      <c r="F77" s="1711"/>
      <c r="G77" s="1711"/>
      <c r="H77" s="1711"/>
      <c r="I77" s="1711"/>
      <c r="J77" s="1711"/>
      <c r="K77" s="1711"/>
      <c r="L77" s="1711"/>
      <c r="M77" s="1711"/>
      <c r="N77" s="1711"/>
      <c r="O77" s="1711"/>
      <c r="P77" s="1711"/>
      <c r="Q77" s="1711"/>
      <c r="R77" s="1711"/>
      <c r="S77" s="1711"/>
      <c r="T77" s="1711"/>
      <c r="U77" s="1711"/>
      <c r="V77" s="1711"/>
      <c r="W77" s="1711"/>
      <c r="X77" s="1711"/>
      <c r="Y77" s="1711"/>
      <c r="Z77" s="1711"/>
      <c r="AA77" s="1711"/>
      <c r="AB77" s="1711"/>
      <c r="AC77" s="1711"/>
      <c r="AD77" s="1711"/>
      <c r="AE77" s="1711"/>
      <c r="AF77" s="1711"/>
      <c r="AG77" s="1711"/>
      <c r="AH77" s="1711"/>
      <c r="AI77" s="1711"/>
      <c r="AJ77" s="1711"/>
      <c r="AK77" s="1711"/>
      <c r="AL77" s="1711"/>
      <c r="AM77" s="1711"/>
      <c r="AN77" s="1711"/>
      <c r="AO77" s="1711"/>
      <c r="AP77" s="1711"/>
      <c r="AQ77" s="1711"/>
      <c r="AR77" s="1711"/>
      <c r="AS77" s="1711"/>
      <c r="AT77" s="1711"/>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30" t="s">
        <v>757</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070" t="s">
        <v>758</v>
      </c>
      <c r="BE79" s="1072">
        <f>'Points System'!AF837</f>
        <v>9</v>
      </c>
    </row>
    <row r="80" spans="1:57" ht="12.9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071" t="s">
        <v>759</v>
      </c>
      <c r="BE80" s="1072">
        <f>'Points System'!AF839</f>
        <v>10</v>
      </c>
    </row>
    <row r="81" spans="1:57" ht="12.9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30" t="s">
        <v>762</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070" t="s">
        <v>763</v>
      </c>
      <c r="BE83" s="1076">
        <f ca="1">'Tie Breaker'!H5</f>
        <v>1.1523917456430579</v>
      </c>
    </row>
    <row r="84" spans="1:57" ht="12.9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071" t="s">
        <v>764</v>
      </c>
      <c r="BE84" s="1072" t="str">
        <f>Application!O153</f>
        <v>City of Sacramento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Marakeshia Smith</v>
      </c>
    </row>
    <row r="86" spans="1:57" ht="12.95" customHeight="1">
      <c r="A86" s="1230" t="s">
        <v>766</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071" t="s">
        <v>767</v>
      </c>
      <c r="BE86" s="1072" t="str">
        <f>Application!O155</f>
        <v>City Manager</v>
      </c>
    </row>
    <row r="87" spans="1:57" ht="12.9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070" t="s">
        <v>768</v>
      </c>
      <c r="BE87" s="1072" t="str">
        <f>Application!O156</f>
        <v>915 I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Sacramento</v>
      </c>
    </row>
    <row r="89" spans="1:57" ht="12.95" customHeight="1">
      <c r="A89" s="1710" t="s">
        <v>770</v>
      </c>
      <c r="B89" s="1710"/>
      <c r="C89" s="1710"/>
      <c r="D89" s="1710"/>
      <c r="E89" s="1710"/>
      <c r="F89" s="1710"/>
      <c r="G89" s="1710"/>
      <c r="H89" s="1710"/>
      <c r="I89" s="1710"/>
      <c r="J89" s="1710"/>
      <c r="K89" s="1710"/>
      <c r="L89" s="1710"/>
      <c r="M89" s="1710"/>
      <c r="N89" s="1710"/>
      <c r="O89" s="1710"/>
      <c r="P89" s="1710"/>
      <c r="Q89" s="1710"/>
      <c r="R89" s="1710"/>
      <c r="S89" s="1710"/>
      <c r="T89" s="1710"/>
      <c r="U89" s="1710"/>
      <c r="V89" s="1710"/>
      <c r="W89" s="1710"/>
      <c r="X89" s="1710"/>
      <c r="Y89" s="1710"/>
      <c r="Z89" s="1710"/>
      <c r="AA89" s="1710"/>
      <c r="AB89" s="1710"/>
      <c r="AC89" s="1710"/>
      <c r="AD89" s="1710"/>
      <c r="AE89" s="1710"/>
      <c r="AF89" s="1710"/>
      <c r="AG89" s="1710"/>
      <c r="AH89" s="1710"/>
      <c r="AI89" s="1710"/>
      <c r="AJ89" s="1710"/>
      <c r="AK89" s="1710"/>
      <c r="AL89" s="1710"/>
      <c r="AM89" s="1710"/>
      <c r="AN89" s="1710"/>
      <c r="AO89" s="1710"/>
      <c r="AP89" s="1710"/>
      <c r="AQ89" s="1710"/>
      <c r="AR89" s="1710"/>
      <c r="AS89" s="1710"/>
      <c r="AT89" s="1710"/>
      <c r="AU89" s="15"/>
      <c r="AV89" s="15"/>
      <c r="AW89" s="15"/>
      <c r="AX89" s="15"/>
      <c r="AY89" s="15"/>
      <c r="AZ89" s="17"/>
      <c r="BD89" s="1070" t="s">
        <v>771</v>
      </c>
      <c r="BE89" s="1072">
        <f>Application!O158</f>
        <v>95814</v>
      </c>
    </row>
    <row r="90" spans="1:57" ht="12.95" customHeight="1">
      <c r="A90" s="1710"/>
      <c r="B90" s="1710"/>
      <c r="C90" s="1710"/>
      <c r="D90" s="1710"/>
      <c r="E90" s="1710"/>
      <c r="F90" s="1710"/>
      <c r="G90" s="1710"/>
      <c r="H90" s="1710"/>
      <c r="I90" s="1710"/>
      <c r="J90" s="1710"/>
      <c r="K90" s="1710"/>
      <c r="L90" s="1710"/>
      <c r="M90" s="1710"/>
      <c r="N90" s="1710"/>
      <c r="O90" s="1710"/>
      <c r="P90" s="1710"/>
      <c r="Q90" s="1710"/>
      <c r="R90" s="1710"/>
      <c r="S90" s="1710"/>
      <c r="T90" s="1710"/>
      <c r="U90" s="1710"/>
      <c r="V90" s="1710"/>
      <c r="W90" s="1710"/>
      <c r="X90" s="1710"/>
      <c r="Y90" s="1710"/>
      <c r="Z90" s="1710"/>
      <c r="AA90" s="1710"/>
      <c r="AB90" s="1710"/>
      <c r="AC90" s="1710"/>
      <c r="AD90" s="1710"/>
      <c r="AE90" s="1710"/>
      <c r="AF90" s="1710"/>
      <c r="AG90" s="1710"/>
      <c r="AH90" s="1710"/>
      <c r="AI90" s="1710"/>
      <c r="AJ90" s="1710"/>
      <c r="AK90" s="1710"/>
      <c r="AL90" s="1710"/>
      <c r="AM90" s="1710"/>
      <c r="AN90" s="1710"/>
      <c r="AO90" s="1710"/>
      <c r="AP90" s="1710"/>
      <c r="AQ90" s="1710"/>
      <c r="AR90" s="1710"/>
      <c r="AS90" s="1710"/>
      <c r="AT90" s="1710"/>
      <c r="AU90" s="15"/>
      <c r="AV90" s="15"/>
      <c r="AW90" s="15"/>
      <c r="AX90" s="15"/>
      <c r="AY90" s="15"/>
      <c r="AZ90" s="17"/>
      <c r="BD90" s="1071" t="s">
        <v>772</v>
      </c>
      <c r="BE90" s="1072" t="str">
        <f>Application!H16</f>
        <v>I Street Housing Associates,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3110 Camino Del Rio N. Suite 800</v>
      </c>
    </row>
    <row r="92" spans="1:57" ht="12.95" customHeight="1">
      <c r="A92" s="1711" t="s">
        <v>774</v>
      </c>
      <c r="B92" s="1711"/>
      <c r="C92" s="1711"/>
      <c r="D92" s="1711"/>
      <c r="E92" s="1711"/>
      <c r="F92" s="1711"/>
      <c r="G92" s="1711"/>
      <c r="H92" s="1711"/>
      <c r="I92" s="1711"/>
      <c r="J92" s="1711"/>
      <c r="K92" s="1711"/>
      <c r="L92" s="1711"/>
      <c r="M92" s="1711"/>
      <c r="N92" s="1711"/>
      <c r="O92" s="1711"/>
      <c r="P92" s="1711"/>
      <c r="Q92" s="1711"/>
      <c r="R92" s="1711"/>
      <c r="S92" s="1711"/>
      <c r="T92" s="1711"/>
      <c r="U92" s="1711"/>
      <c r="V92" s="1711"/>
      <c r="W92" s="1711"/>
      <c r="X92" s="1711"/>
      <c r="Y92" s="1711"/>
      <c r="Z92" s="1711"/>
      <c r="AA92" s="1711"/>
      <c r="AB92" s="1711"/>
      <c r="AC92" s="1711"/>
      <c r="AD92" s="1711"/>
      <c r="AE92" s="1711"/>
      <c r="AF92" s="1711"/>
      <c r="AG92" s="1711"/>
      <c r="AH92" s="1711"/>
      <c r="AI92" s="1711"/>
      <c r="AJ92" s="1711"/>
      <c r="AK92" s="1711"/>
      <c r="AL92" s="1711"/>
      <c r="AM92" s="1711"/>
      <c r="AN92" s="1711"/>
      <c r="AO92" s="1711"/>
      <c r="AP92" s="1711"/>
      <c r="AQ92" s="1711"/>
      <c r="AR92" s="1711"/>
      <c r="AS92" s="1711"/>
      <c r="AT92" s="1711"/>
      <c r="AU92" s="17"/>
      <c r="AV92" s="17"/>
      <c r="AW92" s="17"/>
      <c r="AX92" s="17"/>
      <c r="AY92" s="17"/>
      <c r="AZ92" s="17"/>
      <c r="BD92" s="1071" t="s">
        <v>775</v>
      </c>
      <c r="BE92" s="1072" t="str">
        <f>Application!M243</f>
        <v>San Diego</v>
      </c>
    </row>
    <row r="93" spans="1:57" ht="12.95" customHeight="1">
      <c r="A93" s="1711"/>
      <c r="B93" s="1711"/>
      <c r="C93" s="1711"/>
      <c r="D93" s="1711"/>
      <c r="E93" s="1711"/>
      <c r="F93" s="1711"/>
      <c r="G93" s="1711"/>
      <c r="H93" s="1711"/>
      <c r="I93" s="1711"/>
      <c r="J93" s="1711"/>
      <c r="K93" s="1711"/>
      <c r="L93" s="1711"/>
      <c r="M93" s="1711"/>
      <c r="N93" s="1711"/>
      <c r="O93" s="1711"/>
      <c r="P93" s="1711"/>
      <c r="Q93" s="1711"/>
      <c r="R93" s="1711"/>
      <c r="S93" s="1711"/>
      <c r="T93" s="1711"/>
      <c r="U93" s="1711"/>
      <c r="V93" s="1711"/>
      <c r="W93" s="1711"/>
      <c r="X93" s="1711"/>
      <c r="Y93" s="1711"/>
      <c r="Z93" s="1711"/>
      <c r="AA93" s="1711"/>
      <c r="AB93" s="1711"/>
      <c r="AC93" s="1711"/>
      <c r="AD93" s="1711"/>
      <c r="AE93" s="1711"/>
      <c r="AF93" s="1711"/>
      <c r="AG93" s="1711"/>
      <c r="AH93" s="1711"/>
      <c r="AI93" s="1711"/>
      <c r="AJ93" s="1711"/>
      <c r="AK93" s="1711"/>
      <c r="AL93" s="1711"/>
      <c r="AM93" s="1711"/>
      <c r="AN93" s="1711"/>
      <c r="AO93" s="1711"/>
      <c r="AP93" s="1711"/>
      <c r="AQ93" s="1711"/>
      <c r="AR93" s="1711"/>
      <c r="AS93" s="1711"/>
      <c r="AT93" s="1711"/>
      <c r="AU93" s="17"/>
      <c r="AV93" s="17"/>
      <c r="AW93" s="17"/>
      <c r="AX93" s="17"/>
      <c r="AY93" s="17"/>
      <c r="AZ93" s="17"/>
      <c r="BD93" s="1070" t="s">
        <v>776</v>
      </c>
      <c r="BE93" s="1072" t="str">
        <f>Application!W243</f>
        <v>CA</v>
      </c>
    </row>
    <row r="94" spans="1:57" ht="12.95" customHeight="1">
      <c r="A94" s="1711"/>
      <c r="B94" s="1711"/>
      <c r="C94" s="1711"/>
      <c r="D94" s="1711"/>
      <c r="E94" s="1711"/>
      <c r="F94" s="1711"/>
      <c r="G94" s="1711"/>
      <c r="H94" s="1711"/>
      <c r="I94" s="1711"/>
      <c r="J94" s="1711"/>
      <c r="K94" s="1711"/>
      <c r="L94" s="1711"/>
      <c r="M94" s="1711"/>
      <c r="N94" s="1711"/>
      <c r="O94" s="1711"/>
      <c r="P94" s="1711"/>
      <c r="Q94" s="1711"/>
      <c r="R94" s="1711"/>
      <c r="S94" s="1711"/>
      <c r="T94" s="1711"/>
      <c r="U94" s="1711"/>
      <c r="V94" s="1711"/>
      <c r="W94" s="1711"/>
      <c r="X94" s="1711"/>
      <c r="Y94" s="1711"/>
      <c r="Z94" s="1711"/>
      <c r="AA94" s="1711"/>
      <c r="AB94" s="1711"/>
      <c r="AC94" s="1711"/>
      <c r="AD94" s="1711"/>
      <c r="AE94" s="1711"/>
      <c r="AF94" s="1711"/>
      <c r="AG94" s="1711"/>
      <c r="AH94" s="1711"/>
      <c r="AI94" s="1711"/>
      <c r="AJ94" s="1711"/>
      <c r="AK94" s="1711"/>
      <c r="AL94" s="1711"/>
      <c r="AM94" s="1711"/>
      <c r="AN94" s="1711"/>
      <c r="AO94" s="1711"/>
      <c r="AP94" s="1711"/>
      <c r="AQ94" s="1711"/>
      <c r="AR94" s="1711"/>
      <c r="AS94" s="1711"/>
      <c r="AT94" s="1711"/>
      <c r="AU94" s="17"/>
      <c r="AV94" s="17"/>
      <c r="AW94" s="17"/>
      <c r="AX94" s="17"/>
      <c r="AY94" s="17"/>
      <c r="AZ94" s="17"/>
      <c r="BD94" s="1071" t="s">
        <v>777</v>
      </c>
      <c r="BE94" s="1072">
        <f>Application!AC243</f>
        <v>92108</v>
      </c>
    </row>
    <row r="95" spans="1:57" ht="12.95" customHeight="1">
      <c r="A95" s="1711"/>
      <c r="B95" s="1711"/>
      <c r="C95" s="1711"/>
      <c r="D95" s="1711"/>
      <c r="E95" s="1711"/>
      <c r="F95" s="1711"/>
      <c r="G95" s="1711"/>
      <c r="H95" s="1711"/>
      <c r="I95" s="1711"/>
      <c r="J95" s="1711"/>
      <c r="K95" s="1711"/>
      <c r="L95" s="1711"/>
      <c r="M95" s="1711"/>
      <c r="N95" s="1711"/>
      <c r="O95" s="1711"/>
      <c r="P95" s="1711"/>
      <c r="Q95" s="1711"/>
      <c r="R95" s="1711"/>
      <c r="S95" s="1711"/>
      <c r="T95" s="1711"/>
      <c r="U95" s="1711"/>
      <c r="V95" s="1711"/>
      <c r="W95" s="1711"/>
      <c r="X95" s="1711"/>
      <c r="Y95" s="1711"/>
      <c r="Z95" s="1711"/>
      <c r="AA95" s="1711"/>
      <c r="AB95" s="1711"/>
      <c r="AC95" s="1711"/>
      <c r="AD95" s="1711"/>
      <c r="AE95" s="1711"/>
      <c r="AF95" s="1711"/>
      <c r="AG95" s="1711"/>
      <c r="AH95" s="1711"/>
      <c r="AI95" s="1711"/>
      <c r="AJ95" s="1711"/>
      <c r="AK95" s="1711"/>
      <c r="AL95" s="1711"/>
      <c r="AM95" s="1711"/>
      <c r="AN95" s="1711"/>
      <c r="AO95" s="1711"/>
      <c r="AP95" s="1711"/>
      <c r="AQ95" s="1711"/>
      <c r="AR95" s="1711"/>
      <c r="AS95" s="1711"/>
      <c r="AT95" s="1711"/>
      <c r="AU95" s="17"/>
      <c r="AV95" s="17"/>
      <c r="AW95" s="17"/>
      <c r="AX95" s="17"/>
      <c r="AY95" s="17"/>
      <c r="AZ95" s="17"/>
      <c r="BD95" s="1070" t="s">
        <v>778</v>
      </c>
      <c r="BE95" s="1072" t="str">
        <f>Application!M244</f>
        <v>Kevin Leichner</v>
      </c>
    </row>
    <row r="96" spans="1:57" ht="12.95" customHeight="1">
      <c r="A96" s="1711"/>
      <c r="B96" s="1711"/>
      <c r="C96" s="1711"/>
      <c r="D96" s="1711"/>
      <c r="E96" s="1711"/>
      <c r="F96" s="1711"/>
      <c r="G96" s="1711"/>
      <c r="H96" s="1711"/>
      <c r="I96" s="1711"/>
      <c r="J96" s="1711"/>
      <c r="K96" s="1711"/>
      <c r="L96" s="1711"/>
      <c r="M96" s="1711"/>
      <c r="N96" s="1711"/>
      <c r="O96" s="1711"/>
      <c r="P96" s="1711"/>
      <c r="Q96" s="1711"/>
      <c r="R96" s="1711"/>
      <c r="S96" s="1711"/>
      <c r="T96" s="1711"/>
      <c r="U96" s="1711"/>
      <c r="V96" s="1711"/>
      <c r="W96" s="1711"/>
      <c r="X96" s="1711"/>
      <c r="Y96" s="1711"/>
      <c r="Z96" s="1711"/>
      <c r="AA96" s="1711"/>
      <c r="AB96" s="1711"/>
      <c r="AC96" s="1711"/>
      <c r="AD96" s="1711"/>
      <c r="AE96" s="1711"/>
      <c r="AF96" s="1711"/>
      <c r="AG96" s="1711"/>
      <c r="AH96" s="1711"/>
      <c r="AI96" s="1711"/>
      <c r="AJ96" s="1711"/>
      <c r="AK96" s="1711"/>
      <c r="AL96" s="1711"/>
      <c r="AM96" s="1711"/>
      <c r="AN96" s="1711"/>
      <c r="AO96" s="1711"/>
      <c r="AP96" s="1711"/>
      <c r="AQ96" s="1711"/>
      <c r="AR96" s="1711"/>
      <c r="AS96" s="1711"/>
      <c r="AT96" s="1711"/>
      <c r="AU96" s="17"/>
      <c r="AV96" s="17"/>
      <c r="AW96" s="17"/>
      <c r="AX96" s="17"/>
      <c r="AY96" s="17"/>
      <c r="AZ96" s="17"/>
      <c r="BD96" s="1071" t="s">
        <v>779</v>
      </c>
      <c r="BE96" s="1072" t="str">
        <f>Application!M246</f>
        <v>kleichner@chworks.org</v>
      </c>
    </row>
    <row r="97" spans="1:57" ht="12.95" customHeight="1">
      <c r="A97" s="1711"/>
      <c r="B97" s="1711"/>
      <c r="C97" s="1711"/>
      <c r="D97" s="1711"/>
      <c r="E97" s="1711"/>
      <c r="F97" s="1711"/>
      <c r="G97" s="1711"/>
      <c r="H97" s="1711"/>
      <c r="I97" s="1711"/>
      <c r="J97" s="1711"/>
      <c r="K97" s="1711"/>
      <c r="L97" s="1711"/>
      <c r="M97" s="1711"/>
      <c r="N97" s="1711"/>
      <c r="O97" s="1711"/>
      <c r="P97" s="1711"/>
      <c r="Q97" s="1711"/>
      <c r="R97" s="1711"/>
      <c r="S97" s="1711"/>
      <c r="T97" s="1711"/>
      <c r="U97" s="1711"/>
      <c r="V97" s="1711"/>
      <c r="W97" s="1711"/>
      <c r="X97" s="1711"/>
      <c r="Y97" s="1711"/>
      <c r="Z97" s="1711"/>
      <c r="AA97" s="1711"/>
      <c r="AB97" s="1711"/>
      <c r="AC97" s="1711"/>
      <c r="AD97" s="1711"/>
      <c r="AE97" s="1711"/>
      <c r="AF97" s="1711"/>
      <c r="AG97" s="1711"/>
      <c r="AH97" s="1711"/>
      <c r="AI97" s="1711"/>
      <c r="AJ97" s="1711"/>
      <c r="AK97" s="1711"/>
      <c r="AL97" s="1711"/>
      <c r="AM97" s="1711"/>
      <c r="AN97" s="1711"/>
      <c r="AO97" s="1711"/>
      <c r="AP97" s="1711"/>
      <c r="AQ97" s="1711"/>
      <c r="AR97" s="1711"/>
      <c r="AS97" s="1711"/>
      <c r="AT97" s="1711"/>
      <c r="AU97" s="17"/>
      <c r="AV97" s="17"/>
      <c r="AW97" s="17"/>
      <c r="AX97" s="17"/>
      <c r="AY97" s="17"/>
      <c r="AZ97" s="17"/>
      <c r="BD97" s="1070" t="s">
        <v>780</v>
      </c>
      <c r="BE97" s="1072" t="str">
        <f>Application!M257</f>
        <v>kleichner@chworks.org</v>
      </c>
    </row>
    <row r="98" spans="1:57" ht="12.95" customHeight="1">
      <c r="A98" s="1711"/>
      <c r="B98" s="1711"/>
      <c r="C98" s="1711"/>
      <c r="D98" s="1711"/>
      <c r="E98" s="1711"/>
      <c r="F98" s="1711"/>
      <c r="G98" s="1711"/>
      <c r="H98" s="1711"/>
      <c r="I98" s="1711"/>
      <c r="J98" s="1711"/>
      <c r="K98" s="1711"/>
      <c r="L98" s="1711"/>
      <c r="M98" s="1711"/>
      <c r="N98" s="1711"/>
      <c r="O98" s="1711"/>
      <c r="P98" s="1711"/>
      <c r="Q98" s="1711"/>
      <c r="R98" s="1711"/>
      <c r="S98" s="1711"/>
      <c r="T98" s="1711"/>
      <c r="U98" s="1711"/>
      <c r="V98" s="1711"/>
      <c r="W98" s="1711"/>
      <c r="X98" s="1711"/>
      <c r="Y98" s="1711"/>
      <c r="Z98" s="1711"/>
      <c r="AA98" s="1711"/>
      <c r="AB98" s="1711"/>
      <c r="AC98" s="1711"/>
      <c r="AD98" s="1711"/>
      <c r="AE98" s="1711"/>
      <c r="AF98" s="1711"/>
      <c r="AG98" s="1711"/>
      <c r="AH98" s="1711"/>
      <c r="AI98" s="1711"/>
      <c r="AJ98" s="1711"/>
      <c r="AK98" s="1711"/>
      <c r="AL98" s="1711"/>
      <c r="AM98" s="1711"/>
      <c r="AN98" s="1711"/>
      <c r="AO98" s="1711"/>
      <c r="AP98" s="1711"/>
      <c r="AQ98" s="1711"/>
      <c r="AR98" s="1711"/>
      <c r="AS98" s="1711"/>
      <c r="AT98" s="1711"/>
      <c r="AU98" s="17"/>
      <c r="AV98" s="17"/>
      <c r="AW98" s="17"/>
      <c r="AX98" s="17"/>
      <c r="AY98" s="17"/>
      <c r="AZ98" s="17"/>
      <c r="BD98" s="1071" t="s">
        <v>781</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712" t="s">
        <v>783</v>
      </c>
      <c r="B100" s="1712"/>
      <c r="C100" s="1712"/>
      <c r="D100" s="1712"/>
      <c r="E100" s="1712"/>
      <c r="F100" s="1712"/>
      <c r="G100" s="1712"/>
      <c r="H100" s="1712"/>
      <c r="I100" s="1712"/>
      <c r="J100" s="1712"/>
      <c r="K100" s="1712"/>
      <c r="L100" s="1712"/>
      <c r="M100" s="1712"/>
      <c r="N100" s="1712"/>
      <c r="O100" s="1712"/>
      <c r="P100" s="1712"/>
      <c r="Q100" s="1712"/>
      <c r="R100" s="1712"/>
      <c r="S100" s="1712"/>
      <c r="T100" s="1712"/>
      <c r="U100" s="1712"/>
      <c r="V100" s="1712"/>
      <c r="W100" s="1712"/>
      <c r="X100" s="1712"/>
      <c r="Y100" s="1712"/>
      <c r="Z100" s="1712"/>
      <c r="AA100" s="1712"/>
      <c r="AB100" s="1712"/>
      <c r="AC100" s="1712"/>
      <c r="AD100" s="1712"/>
      <c r="AE100" s="1712"/>
      <c r="AF100" s="1712"/>
      <c r="AG100" s="1712"/>
      <c r="AH100" s="1712"/>
      <c r="AI100" s="1712"/>
      <c r="AJ100" s="1712"/>
      <c r="AK100" s="1712"/>
      <c r="AL100" s="1712"/>
      <c r="AM100" s="1712"/>
      <c r="AN100" s="1712"/>
      <c r="AO100" s="1712"/>
      <c r="AP100" s="1712"/>
      <c r="AQ100" s="1712"/>
      <c r="AR100" s="1712"/>
      <c r="AS100" s="1712"/>
      <c r="AT100" s="1712"/>
      <c r="AU100" s="17"/>
      <c r="AV100" s="17"/>
      <c r="AW100" s="17"/>
      <c r="AX100" s="17"/>
      <c r="AY100" s="17"/>
      <c r="AZ100" s="17"/>
      <c r="BD100" s="1071" t="s">
        <v>784</v>
      </c>
      <c r="BE100" s="1072" t="str">
        <f>Application!L288</f>
        <v>kleichner@chworks.org</v>
      </c>
    </row>
    <row r="101" spans="1:57" ht="12.95" customHeight="1">
      <c r="A101" s="1712"/>
      <c r="B101" s="1712"/>
      <c r="C101" s="1712"/>
      <c r="D101" s="1712"/>
      <c r="E101" s="1712"/>
      <c r="F101" s="1712"/>
      <c r="G101" s="1712"/>
      <c r="H101" s="1712"/>
      <c r="I101" s="1712"/>
      <c r="J101" s="1712"/>
      <c r="K101" s="1712"/>
      <c r="L101" s="1712"/>
      <c r="M101" s="1712"/>
      <c r="N101" s="1712"/>
      <c r="O101" s="1712"/>
      <c r="P101" s="1712"/>
      <c r="Q101" s="1712"/>
      <c r="R101" s="1712"/>
      <c r="S101" s="1712"/>
      <c r="T101" s="1712"/>
      <c r="U101" s="1712"/>
      <c r="V101" s="1712"/>
      <c r="W101" s="1712"/>
      <c r="X101" s="1712"/>
      <c r="Y101" s="1712"/>
      <c r="Z101" s="1712"/>
      <c r="AA101" s="1712"/>
      <c r="AB101" s="1712"/>
      <c r="AC101" s="1712"/>
      <c r="AD101" s="1712"/>
      <c r="AE101" s="1712"/>
      <c r="AF101" s="1712"/>
      <c r="AG101" s="1712"/>
      <c r="AH101" s="1712"/>
      <c r="AI101" s="1712"/>
      <c r="AJ101" s="1712"/>
      <c r="AK101" s="1712"/>
      <c r="AL101" s="1712"/>
      <c r="AM101" s="1712"/>
      <c r="AN101" s="1712"/>
      <c r="AO101" s="1712"/>
      <c r="AP101" s="1712"/>
      <c r="AQ101" s="1712"/>
      <c r="AR101" s="1712"/>
      <c r="AS101" s="1712"/>
      <c r="AT101" s="1712"/>
      <c r="AU101" s="17"/>
      <c r="AV101" s="17"/>
      <c r="AW101" s="17"/>
      <c r="AX101" s="17"/>
      <c r="AY101" s="17"/>
      <c r="AZ101" s="17"/>
      <c r="BD101" s="3" t="s">
        <v>785</v>
      </c>
      <c r="BE101">
        <f>'Sources and Uses Budget'!C105</f>
        <v>66736372</v>
      </c>
    </row>
    <row r="102" spans="1:57" ht="12.95" customHeight="1">
      <c r="A102" s="1712"/>
      <c r="B102" s="1712"/>
      <c r="C102" s="1712"/>
      <c r="D102" s="1712"/>
      <c r="E102" s="1712"/>
      <c r="F102" s="1712"/>
      <c r="G102" s="1712"/>
      <c r="H102" s="1712"/>
      <c r="I102" s="1712"/>
      <c r="J102" s="1712"/>
      <c r="K102" s="1712"/>
      <c r="L102" s="1712"/>
      <c r="M102" s="1712"/>
      <c r="N102" s="1712"/>
      <c r="O102" s="1712"/>
      <c r="P102" s="1712"/>
      <c r="Q102" s="1712"/>
      <c r="R102" s="1712"/>
      <c r="S102" s="1712"/>
      <c r="T102" s="1712"/>
      <c r="U102" s="1712"/>
      <c r="V102" s="1712"/>
      <c r="W102" s="1712"/>
      <c r="X102" s="1712"/>
      <c r="Y102" s="1712"/>
      <c r="Z102" s="1712"/>
      <c r="AA102" s="1712"/>
      <c r="AB102" s="1712"/>
      <c r="AC102" s="1712"/>
      <c r="AD102" s="1712"/>
      <c r="AE102" s="1712"/>
      <c r="AF102" s="1712"/>
      <c r="AG102" s="1712"/>
      <c r="AH102" s="1712"/>
      <c r="AI102" s="1712"/>
      <c r="AJ102" s="1712"/>
      <c r="AK102" s="1712"/>
      <c r="AL102" s="1712"/>
      <c r="AM102" s="1712"/>
      <c r="AN102" s="1712"/>
      <c r="AO102" s="1712"/>
      <c r="AP102" s="1712"/>
      <c r="AQ102" s="1712"/>
      <c r="AR102" s="1712"/>
      <c r="AS102" s="1712"/>
      <c r="AT102" s="1712"/>
      <c r="AU102" s="17"/>
      <c r="AV102" s="17"/>
      <c r="AW102" s="17"/>
      <c r="AX102" s="17"/>
      <c r="AY102" s="17"/>
      <c r="AZ102" s="17"/>
      <c r="BD102" s="3" t="s">
        <v>786</v>
      </c>
      <c r="BE102" t="b">
        <f>T197="Yes"</f>
        <v>0</v>
      </c>
    </row>
    <row r="103" spans="1:57" ht="12.95" customHeight="1">
      <c r="A103" s="1712"/>
      <c r="B103" s="1712"/>
      <c r="C103" s="1712"/>
      <c r="D103" s="1712"/>
      <c r="E103" s="1712"/>
      <c r="F103" s="1712"/>
      <c r="G103" s="1712"/>
      <c r="H103" s="1712"/>
      <c r="I103" s="1712"/>
      <c r="J103" s="1712"/>
      <c r="K103" s="1712"/>
      <c r="L103" s="1712"/>
      <c r="M103" s="1712"/>
      <c r="N103" s="1712"/>
      <c r="O103" s="1712"/>
      <c r="P103" s="1712"/>
      <c r="Q103" s="1712"/>
      <c r="R103" s="1712"/>
      <c r="S103" s="1712"/>
      <c r="T103" s="1712"/>
      <c r="U103" s="1712"/>
      <c r="V103" s="1712"/>
      <c r="W103" s="1712"/>
      <c r="X103" s="1712"/>
      <c r="Y103" s="1712"/>
      <c r="Z103" s="1712"/>
      <c r="AA103" s="1712"/>
      <c r="AB103" s="1712"/>
      <c r="AC103" s="1712"/>
      <c r="AD103" s="1712"/>
      <c r="AE103" s="1712"/>
      <c r="AF103" s="1712"/>
      <c r="AG103" s="1712"/>
      <c r="AH103" s="1712"/>
      <c r="AI103" s="1712"/>
      <c r="AJ103" s="1712"/>
      <c r="AK103" s="1712"/>
      <c r="AL103" s="1712"/>
      <c r="AM103" s="1712"/>
      <c r="AN103" s="1712"/>
      <c r="AO103" s="1712"/>
      <c r="AP103" s="1712"/>
      <c r="AQ103" s="1712"/>
      <c r="AR103" s="1712"/>
      <c r="AS103" s="1712"/>
      <c r="AT103" s="1712"/>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712" t="s">
        <v>789</v>
      </c>
      <c r="B105" s="1712"/>
      <c r="C105" s="1712"/>
      <c r="D105" s="1712"/>
      <c r="E105" s="1712"/>
      <c r="F105" s="1712"/>
      <c r="G105" s="1712"/>
      <c r="H105" s="1712"/>
      <c r="I105" s="1712"/>
      <c r="J105" s="1712"/>
      <c r="K105" s="1712"/>
      <c r="L105" s="1712"/>
      <c r="M105" s="1712"/>
      <c r="N105" s="1712"/>
      <c r="O105" s="1712"/>
      <c r="P105" s="1712"/>
      <c r="Q105" s="1712"/>
      <c r="R105" s="1712"/>
      <c r="S105" s="1712"/>
      <c r="T105" s="1712"/>
      <c r="U105" s="1712"/>
      <c r="V105" s="1712"/>
      <c r="W105" s="1712"/>
      <c r="X105" s="1712"/>
      <c r="Y105" s="1712"/>
      <c r="Z105" s="1712"/>
      <c r="AA105" s="1712"/>
      <c r="AB105" s="1712"/>
      <c r="AC105" s="1712"/>
      <c r="AD105" s="1712"/>
      <c r="AE105" s="1712"/>
      <c r="AF105" s="1712"/>
      <c r="AG105" s="1712"/>
      <c r="AH105" s="1712"/>
      <c r="AI105" s="1712"/>
      <c r="AJ105" s="1712"/>
      <c r="AK105" s="1712"/>
      <c r="AL105" s="1712"/>
      <c r="AM105" s="1712"/>
      <c r="AN105" s="1712"/>
      <c r="AO105" s="1712"/>
      <c r="AP105" s="1712"/>
      <c r="AQ105" s="1712"/>
      <c r="AR105" s="1712"/>
      <c r="AS105" s="1712"/>
      <c r="AT105" s="1712"/>
      <c r="AU105" s="17"/>
      <c r="AV105" s="17"/>
      <c r="AW105" s="17"/>
      <c r="AX105" s="17"/>
      <c r="AY105" s="17"/>
      <c r="BD105" s="3" t="s">
        <v>790</v>
      </c>
      <c r="BE105" s="1072" t="b">
        <f>V224="Yes"</f>
        <v>0</v>
      </c>
    </row>
    <row r="106" spans="1:57" ht="12.95" customHeight="1">
      <c r="A106" s="1712"/>
      <c r="B106" s="1712"/>
      <c r="C106" s="1712"/>
      <c r="D106" s="1712"/>
      <c r="E106" s="1712"/>
      <c r="F106" s="1712"/>
      <c r="G106" s="1712"/>
      <c r="H106" s="1712"/>
      <c r="I106" s="1712"/>
      <c r="J106" s="1712"/>
      <c r="K106" s="1712"/>
      <c r="L106" s="1712"/>
      <c r="M106" s="1712"/>
      <c r="N106" s="1712"/>
      <c r="O106" s="1712"/>
      <c r="P106" s="1712"/>
      <c r="Q106" s="1712"/>
      <c r="R106" s="1712"/>
      <c r="S106" s="1712"/>
      <c r="T106" s="1712"/>
      <c r="U106" s="1712"/>
      <c r="V106" s="1712"/>
      <c r="W106" s="1712"/>
      <c r="X106" s="1712"/>
      <c r="Y106" s="1712"/>
      <c r="Z106" s="1712"/>
      <c r="AA106" s="1712"/>
      <c r="AB106" s="1712"/>
      <c r="AC106" s="1712"/>
      <c r="AD106" s="1712"/>
      <c r="AE106" s="1712"/>
      <c r="AF106" s="1712"/>
      <c r="AG106" s="1712"/>
      <c r="AH106" s="1712"/>
      <c r="AI106" s="1712"/>
      <c r="AJ106" s="1712"/>
      <c r="AK106" s="1712"/>
      <c r="AL106" s="1712"/>
      <c r="AM106" s="1712"/>
      <c r="AN106" s="1712"/>
      <c r="AO106" s="1712"/>
      <c r="AP106" s="1712"/>
      <c r="AQ106" s="1712"/>
      <c r="AR106" s="1712"/>
      <c r="AS106" s="1712"/>
      <c r="AT106" s="1712"/>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1</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698"/>
      <c r="H113" s="1698"/>
      <c r="I113" s="3" t="s">
        <v>798</v>
      </c>
      <c r="L113" s="1698"/>
      <c r="M113" s="1698"/>
      <c r="N113" s="1698"/>
      <c r="O113" s="1698"/>
      <c r="P113" s="1716" t="s">
        <v>799</v>
      </c>
      <c r="Q113" s="1716"/>
      <c r="R113" s="1716"/>
      <c r="S113" s="171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21"/>
      <c r="D115" s="1721"/>
      <c r="E115" s="1721"/>
      <c r="F115" s="1721"/>
      <c r="G115" s="1721"/>
      <c r="H115" s="1721"/>
      <c r="I115" s="1721"/>
      <c r="J115" s="1721"/>
      <c r="K115" s="1721"/>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698"/>
      <c r="Z117" s="1698"/>
      <c r="AA117" s="1698"/>
      <c r="AB117" s="1698"/>
      <c r="AC117" s="1698"/>
      <c r="AD117" s="1698"/>
      <c r="AE117" s="1698"/>
      <c r="AF117" s="1698"/>
      <c r="AG117" s="1698"/>
      <c r="AH117" s="1698"/>
      <c r="AI117" s="1698"/>
      <c r="AJ117" s="1698"/>
      <c r="AK117" s="1698"/>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98"/>
      <c r="Z120" s="1698"/>
      <c r="AA120" s="1698"/>
      <c r="AB120" s="1698"/>
      <c r="AC120" s="1698"/>
      <c r="AD120" s="1698"/>
      <c r="AE120" s="1698"/>
      <c r="AF120" s="1698"/>
      <c r="AG120" s="1698"/>
      <c r="AH120" s="1698"/>
      <c r="AI120" s="1698"/>
      <c r="AJ120" s="1698"/>
      <c r="AK120" s="169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04" t="s">
        <v>805</v>
      </c>
      <c r="CV122" s="1605"/>
      <c r="CW122" s="13"/>
      <c r="CX122" s="13" t="s">
        <v>806</v>
      </c>
      <c r="CY122" s="13"/>
      <c r="CZ122" s="13"/>
      <c r="DA122" s="13"/>
      <c r="DB122" s="13"/>
      <c r="DC122" s="13"/>
      <c r="DD122" s="13"/>
      <c r="DE122" s="13"/>
      <c r="DF122" s="13"/>
      <c r="DG122" s="1601" t="str">
        <f>T189</f>
        <v>Sacramento</v>
      </c>
      <c r="DH122" s="1602"/>
      <c r="DI122" s="1602"/>
      <c r="DJ122" s="1602"/>
      <c r="DK122" s="1602"/>
      <c r="DL122" s="1602"/>
      <c r="DM122" s="1603"/>
    </row>
    <row r="123" spans="1:117" ht="12.95" customHeight="1">
      <c r="A123" s="3"/>
      <c r="B123" s="3"/>
      <c r="T123" s="3"/>
      <c r="U123" s="3"/>
      <c r="V123" s="3"/>
      <c r="W123" s="3"/>
      <c r="X123" s="3"/>
      <c r="Y123" s="1698"/>
      <c r="Z123" s="1698"/>
      <c r="AA123" s="1698"/>
      <c r="AB123" s="1698"/>
      <c r="AC123" s="1698"/>
      <c r="AD123" s="1698"/>
      <c r="AE123" s="1698"/>
      <c r="AF123" s="1698"/>
      <c r="AG123" s="1698"/>
      <c r="AH123" s="1698"/>
      <c r="AI123" s="1698"/>
      <c r="AJ123" s="1698"/>
      <c r="AK123" s="169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312"/>
      <c r="G150" s="1312"/>
      <c r="H150" s="1312"/>
      <c r="I150" s="1312"/>
      <c r="J150" s="1312"/>
      <c r="K150" s="1312"/>
      <c r="L150" s="1312"/>
      <c r="M150" s="1312"/>
      <c r="N150" s="1312"/>
      <c r="O150" s="1312"/>
      <c r="P150" s="1312"/>
      <c r="Q150" s="1312"/>
      <c r="R150" s="1312"/>
      <c r="S150" s="1312"/>
      <c r="T150" s="131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444" t="s">
        <v>813</v>
      </c>
      <c r="P153" s="1444"/>
      <c r="Q153" s="1444"/>
      <c r="R153" s="1444"/>
      <c r="S153" s="1444"/>
      <c r="T153" s="1444"/>
      <c r="U153" s="1444"/>
      <c r="V153" s="1444"/>
      <c r="W153" s="1444"/>
      <c r="X153" s="1444"/>
      <c r="Y153" s="1444"/>
      <c r="Z153" s="1444"/>
      <c r="AA153" s="1444"/>
      <c r="AB153" s="1444"/>
      <c r="AC153" s="1444"/>
      <c r="AD153" s="1444"/>
      <c r="AE153" s="1444"/>
      <c r="AF153" s="1444"/>
      <c r="AG153" s="1444"/>
      <c r="AH153" s="1444"/>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354" t="s">
        <v>818</v>
      </c>
      <c r="P154" s="1354"/>
      <c r="Q154" s="1354"/>
      <c r="R154" s="1354"/>
      <c r="S154" s="1354"/>
      <c r="T154" s="1354"/>
      <c r="U154" s="1354"/>
      <c r="V154" s="1354"/>
      <c r="W154" s="1354"/>
      <c r="X154" s="1354"/>
      <c r="Y154" s="1354"/>
      <c r="Z154" s="1354"/>
      <c r="AA154" s="1354"/>
      <c r="AB154" s="1354"/>
      <c r="AC154" s="1354"/>
      <c r="AD154" s="1354"/>
      <c r="AE154" s="1354"/>
      <c r="AF154" s="1354"/>
      <c r="AG154" s="1354"/>
      <c r="AH154" s="1354"/>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717" t="s">
        <v>821</v>
      </c>
      <c r="P155" s="1717"/>
      <c r="Q155" s="1717"/>
      <c r="R155" s="1717"/>
      <c r="S155" s="1717"/>
      <c r="T155" s="1717"/>
      <c r="U155" s="1717"/>
      <c r="V155" s="1717"/>
      <c r="W155" s="1717"/>
      <c r="X155" s="1717"/>
      <c r="Y155" s="1717"/>
      <c r="Z155" s="1717"/>
      <c r="AA155" s="1717"/>
      <c r="AB155" s="1717"/>
      <c r="AC155" s="1717"/>
      <c r="AD155" s="1717"/>
      <c r="AE155" s="1717"/>
      <c r="AF155" s="1717"/>
      <c r="AG155" s="1717"/>
      <c r="AH155" s="1717"/>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450" t="s">
        <v>824</v>
      </c>
      <c r="P156" s="1450"/>
      <c r="Q156" s="1450"/>
      <c r="R156" s="1450"/>
      <c r="S156" s="1450"/>
      <c r="T156" s="1450"/>
      <c r="U156" s="1450"/>
      <c r="V156" s="1450"/>
      <c r="W156" s="1450"/>
      <c r="X156" s="1450"/>
      <c r="Y156" s="1450"/>
      <c r="Z156" s="1450"/>
      <c r="AA156" s="1450"/>
      <c r="AB156" s="1450"/>
      <c r="AC156" s="1450"/>
      <c r="AD156" s="1450"/>
      <c r="AE156" s="1450"/>
      <c r="AF156" s="1450"/>
      <c r="AG156" s="1450"/>
      <c r="AH156" s="1450"/>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444" t="s">
        <v>828</v>
      </c>
      <c r="P157" s="1444"/>
      <c r="Q157" s="1444"/>
      <c r="R157" s="1444"/>
      <c r="S157" s="1444"/>
      <c r="T157" s="1444"/>
      <c r="U157" s="1444"/>
      <c r="V157" s="1444"/>
      <c r="W157" s="1444"/>
      <c r="X157" s="1444"/>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5" customHeight="1">
      <c r="D158" t="s">
        <v>833</v>
      </c>
      <c r="O158" s="1714">
        <v>95814</v>
      </c>
      <c r="P158" s="1714"/>
      <c r="Q158" s="1714"/>
      <c r="R158" s="1714"/>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836</v>
      </c>
      <c r="O159" s="1699" t="s">
        <v>837</v>
      </c>
      <c r="P159" s="1699"/>
      <c r="Q159" s="1699"/>
      <c r="R159" s="1699"/>
      <c r="S159" s="1699"/>
      <c r="T159" s="1699"/>
      <c r="V159" s="72" t="s">
        <v>838</v>
      </c>
      <c r="W159" s="1715"/>
      <c r="X159" s="1715"/>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5" customHeight="1">
      <c r="D160" t="s">
        <v>850</v>
      </c>
      <c r="O160" s="1699"/>
      <c r="P160" s="1699"/>
      <c r="Q160" s="1699"/>
      <c r="R160" s="1699"/>
      <c r="S160" s="1699"/>
      <c r="T160" s="1699"/>
      <c r="U160" s="9"/>
      <c r="V160" s="9"/>
      <c r="W160" s="9"/>
      <c r="X160" s="9"/>
      <c r="Y160" s="9"/>
      <c r="Z160" s="9"/>
      <c r="AA160" s="9"/>
      <c r="AB160" s="9"/>
      <c r="AC160" s="9"/>
      <c r="AD160" s="9"/>
      <c r="AE160" s="9"/>
      <c r="AF160" s="9"/>
      <c r="BN160" s="133" t="s">
        <v>851</v>
      </c>
      <c r="BS160">
        <v>6</v>
      </c>
      <c r="BT160" t="s">
        <v>852</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5" customHeight="1">
      <c r="D161" t="s">
        <v>853</v>
      </c>
      <c r="O161" s="1696" t="s">
        <v>854</v>
      </c>
      <c r="P161" s="1696"/>
      <c r="Q161" s="1696"/>
      <c r="R161" s="1696"/>
      <c r="S161" s="1696"/>
      <c r="T161" s="1696"/>
      <c r="U161" s="1696"/>
      <c r="V161" s="1696"/>
      <c r="W161" s="1696"/>
      <c r="X161" s="1696"/>
      <c r="Y161" s="1696"/>
      <c r="Z161" s="1696"/>
      <c r="AA161" s="1696"/>
      <c r="AB161" s="1696"/>
      <c r="AC161" s="1696"/>
      <c r="AD161" s="1696"/>
      <c r="AE161" s="1696"/>
      <c r="AF161" s="1696"/>
      <c r="AG161" s="1696"/>
      <c r="AH161" s="1696"/>
      <c r="BJ161" t="s">
        <v>700</v>
      </c>
      <c r="BN161" s="133" t="s">
        <v>855</v>
      </c>
      <c r="BS161">
        <v>7</v>
      </c>
      <c r="BT161" t="s">
        <v>856</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722" t="s">
        <v>864</v>
      </c>
      <c r="E164" s="1722"/>
      <c r="F164" s="1722"/>
      <c r="G164" s="1722"/>
      <c r="H164" s="1722"/>
      <c r="I164" s="1722"/>
      <c r="J164" s="1722"/>
      <c r="K164" s="1722"/>
      <c r="L164" s="1722"/>
      <c r="M164" s="1722"/>
      <c r="N164" s="1722"/>
      <c r="O164" s="1722"/>
      <c r="P164" s="1722"/>
      <c r="Q164" s="1722"/>
      <c r="R164" s="1722"/>
      <c r="S164" s="1722"/>
      <c r="T164" s="1722"/>
      <c r="U164" s="1722"/>
      <c r="V164" s="1722"/>
      <c r="W164" s="1722"/>
      <c r="X164" s="1722"/>
      <c r="Y164" s="1722"/>
      <c r="Z164" s="1722"/>
      <c r="AA164" s="1722"/>
      <c r="AB164" s="1722"/>
      <c r="AC164" s="1722"/>
      <c r="AD164" s="1722"/>
      <c r="AE164" s="1722"/>
      <c r="AF164" s="1722"/>
      <c r="AG164" s="1722"/>
      <c r="AH164" s="1722"/>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48" t="s">
        <v>875</v>
      </c>
      <c r="B169" s="1448"/>
      <c r="C169" s="1448"/>
      <c r="D169" s="1448"/>
      <c r="E169" s="1448"/>
      <c r="F169" s="1448"/>
      <c r="G169" s="1448"/>
      <c r="H169" s="1448"/>
      <c r="I169" s="1448"/>
      <c r="J169" s="1448"/>
      <c r="K169" s="1448"/>
      <c r="L169" s="1448"/>
      <c r="M169" s="1448"/>
      <c r="N169" s="1448"/>
      <c r="O169" s="1448"/>
      <c r="P169" s="1448"/>
      <c r="Q169" s="1448"/>
      <c r="R169" s="1448"/>
      <c r="S169" s="1448"/>
      <c r="T169" s="1448"/>
      <c r="U169" s="1448"/>
      <c r="V169" s="1448"/>
      <c r="W169" s="1448"/>
      <c r="X169" s="1448"/>
      <c r="Y169" s="1448"/>
      <c r="Z169" s="1448"/>
      <c r="AA169" s="1448"/>
      <c r="AB169" s="1448"/>
      <c r="AC169" s="1448"/>
      <c r="AD169" s="1448"/>
      <c r="AE169" s="1448"/>
      <c r="AF169" s="1448"/>
      <c r="AG169" s="1448"/>
      <c r="AH169" s="1448"/>
      <c r="AI169" s="1448"/>
      <c r="AJ169" s="1448"/>
      <c r="AK169" s="1448"/>
      <c r="AL169" s="1448"/>
      <c r="AM169" s="1448"/>
      <c r="AN169" s="1448"/>
      <c r="AO169" s="1448"/>
      <c r="AP169" s="1448"/>
      <c r="AQ169" s="1448"/>
      <c r="AR169" s="1448"/>
      <c r="AS169" s="1448"/>
      <c r="AT169" s="1448"/>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48"/>
      <c r="B170" s="1448"/>
      <c r="C170" s="1448"/>
      <c r="D170" s="1448"/>
      <c r="E170" s="1448"/>
      <c r="F170" s="1448"/>
      <c r="G170" s="1448"/>
      <c r="H170" s="1448"/>
      <c r="I170" s="1448"/>
      <c r="J170" s="1448"/>
      <c r="K170" s="1448"/>
      <c r="L170" s="1448"/>
      <c r="M170" s="1448"/>
      <c r="N170" s="1448"/>
      <c r="O170" s="1448"/>
      <c r="P170" s="1448"/>
      <c r="Q170" s="1448"/>
      <c r="R170" s="1448"/>
      <c r="S170" s="1448"/>
      <c r="T170" s="1448"/>
      <c r="U170" s="1448"/>
      <c r="V170" s="1448"/>
      <c r="W170" s="1448"/>
      <c r="X170" s="1448"/>
      <c r="Y170" s="1448"/>
      <c r="Z170" s="1448"/>
      <c r="AA170" s="1448"/>
      <c r="AB170" s="1448"/>
      <c r="AC170" s="1448"/>
      <c r="AD170" s="1448"/>
      <c r="AE170" s="1448"/>
      <c r="AF170" s="1448"/>
      <c r="AG170" s="1448"/>
      <c r="AH170" s="1448"/>
      <c r="AI170" s="1448"/>
      <c r="AJ170" s="1448"/>
      <c r="AK170" s="1448"/>
      <c r="AL170" s="1448"/>
      <c r="AM170" s="1448"/>
      <c r="AN170" s="1448"/>
      <c r="AO170" s="1448"/>
      <c r="AP170" s="1448"/>
      <c r="AQ170" s="1448"/>
      <c r="AR170" s="1448"/>
      <c r="AS170" s="1448"/>
      <c r="AT170" s="1448"/>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2583" t="s">
        <v>886</v>
      </c>
      <c r="K173" s="2583"/>
      <c r="L173" s="2583"/>
      <c r="M173" s="2583"/>
      <c r="N173" s="2583"/>
      <c r="O173" s="2583"/>
      <c r="P173" s="2583"/>
      <c r="Q173" s="2583"/>
      <c r="R173" s="2583"/>
      <c r="S173" s="2583"/>
      <c r="U173" s="21"/>
      <c r="X173" s="21"/>
      <c r="BB173" s="3" t="s">
        <v>348</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450" t="s">
        <v>890</v>
      </c>
      <c r="K174" s="1450"/>
      <c r="L174" s="1450"/>
      <c r="M174" s="1450"/>
      <c r="N174" s="1450"/>
      <c r="O174" s="1450"/>
      <c r="P174" s="1450"/>
      <c r="Q174" s="1450"/>
      <c r="R174" s="1450"/>
      <c r="S174" s="1450"/>
      <c r="T174" s="1450"/>
      <c r="U174" s="1450"/>
      <c r="V174" s="1450"/>
      <c r="W174" s="1450"/>
      <c r="X174" s="1450"/>
      <c r="Y174" s="1450"/>
      <c r="Z174" s="1450"/>
      <c r="AA174" s="1450"/>
      <c r="AB174" s="1450"/>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310" t="s">
        <v>700</v>
      </c>
      <c r="V175" s="1310"/>
      <c r="BB175" t="s">
        <v>895</v>
      </c>
      <c r="BN175" s="133" t="s">
        <v>896</v>
      </c>
      <c r="BS175">
        <v>1</v>
      </c>
      <c r="BT175" t="s">
        <v>897</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898</v>
      </c>
      <c r="O176" s="23"/>
      <c r="P176" t="s">
        <v>899</v>
      </c>
      <c r="T176" s="23" t="s">
        <v>900</v>
      </c>
      <c r="U176" s="1434"/>
      <c r="V176" s="1434"/>
      <c r="W176" s="1" t="s">
        <v>901</v>
      </c>
      <c r="X176" s="1703"/>
      <c r="Y176" s="1703"/>
      <c r="BB176" t="s">
        <v>902</v>
      </c>
      <c r="BN176" s="133" t="s">
        <v>903</v>
      </c>
      <c r="BS176">
        <v>5</v>
      </c>
      <c r="BT176" t="s">
        <v>904</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905</v>
      </c>
      <c r="R177" s="1310" t="s">
        <v>700</v>
      </c>
      <c r="S177" s="1310"/>
      <c r="BB177" t="s">
        <v>906</v>
      </c>
      <c r="BN177" s="133" t="s">
        <v>907</v>
      </c>
      <c r="BS177">
        <v>2</v>
      </c>
      <c r="BT177" t="s">
        <v>908</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909</v>
      </c>
      <c r="AA178" t="s">
        <v>899</v>
      </c>
      <c r="AE178" s="23" t="s">
        <v>900</v>
      </c>
      <c r="AF178" s="1702"/>
      <c r="AG178" s="1702"/>
      <c r="AH178" s="1" t="s">
        <v>901</v>
      </c>
      <c r="AI178" s="1700"/>
      <c r="AJ178" s="1700"/>
      <c r="AK178" s="1700"/>
      <c r="BB178" t="s">
        <v>910</v>
      </c>
      <c r="BN178" s="133" t="s">
        <v>911</v>
      </c>
      <c r="BS178">
        <v>7</v>
      </c>
      <c r="BT178" t="s">
        <v>912</v>
      </c>
      <c r="CB178" s="253" t="s">
        <v>897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310" t="s">
        <v>700</v>
      </c>
      <c r="Y180" s="1310"/>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408" t="str">
        <f>H18</f>
        <v>I Street Apartments</v>
      </c>
      <c r="J184" s="1408"/>
      <c r="K184" s="1408"/>
      <c r="L184" s="1408"/>
      <c r="M184" s="1408"/>
      <c r="N184" s="1408"/>
      <c r="O184" s="1408"/>
      <c r="P184" s="1408"/>
      <c r="Q184" s="1408"/>
      <c r="R184" s="1408"/>
      <c r="S184" s="1408"/>
      <c r="T184" s="1408"/>
      <c r="U184" s="1408"/>
      <c r="V184" s="1408"/>
      <c r="W184" s="1408"/>
      <c r="X184" s="1408"/>
      <c r="Y184" s="1408"/>
      <c r="Z184" s="1408"/>
      <c r="AA184" s="1408"/>
      <c r="AB184" s="1408"/>
      <c r="AC184" s="1408"/>
      <c r="AD184" s="1408"/>
      <c r="AE184" s="1408"/>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431" t="s">
        <v>931</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708"/>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709"/>
      <c r="F188" s="1709"/>
      <c r="G188" s="1709"/>
      <c r="H188" s="1709"/>
      <c r="I188" s="1709"/>
      <c r="J188" s="1709"/>
      <c r="K188" s="1709"/>
      <c r="L188" s="1709"/>
      <c r="M188" s="1709"/>
      <c r="N188" s="1709"/>
      <c r="O188" s="1709"/>
      <c r="P188" s="1709"/>
      <c r="Q188" s="1709"/>
      <c r="R188" s="1709"/>
      <c r="S188" s="1709"/>
      <c r="T188" s="1709"/>
      <c r="U188" s="1709"/>
      <c r="V188" s="1709"/>
      <c r="W188" s="1709"/>
      <c r="X188" s="1709"/>
      <c r="Y188" s="1709"/>
      <c r="Z188" s="1709"/>
      <c r="AA188" s="1709"/>
      <c r="AB188" s="1709"/>
      <c r="AC188" s="1709"/>
      <c r="AD188" s="1709"/>
      <c r="AE188" s="1709"/>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444" t="s">
        <v>828</v>
      </c>
      <c r="J189" s="1450"/>
      <c r="K189" s="1450"/>
      <c r="L189" s="1450"/>
      <c r="M189" s="1450"/>
      <c r="N189" s="1450"/>
      <c r="O189" s="1450"/>
      <c r="P189" s="1450"/>
      <c r="Q189" t="s">
        <v>943</v>
      </c>
      <c r="T189" s="1450" t="s">
        <v>828</v>
      </c>
      <c r="U189" s="1450"/>
      <c r="V189" s="1450"/>
      <c r="W189" s="1450"/>
      <c r="X189" s="1450"/>
      <c r="Y189" s="1450"/>
      <c r="Z189" s="1450"/>
      <c r="AA189" s="1450"/>
      <c r="AB189" s="1450"/>
      <c r="AC189" s="1450"/>
      <c r="AD189" s="1450"/>
      <c r="AE189" s="1450"/>
      <c r="BC189" t="s">
        <v>348</v>
      </c>
      <c r="BH189" s="3" t="s">
        <v>822</v>
      </c>
      <c r="BN189" s="133" t="s">
        <v>944</v>
      </c>
      <c r="BS189">
        <v>5</v>
      </c>
      <c r="BT189" t="s">
        <v>945</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946</v>
      </c>
      <c r="I190" s="1431">
        <v>95814</v>
      </c>
      <c r="J190" s="1431"/>
      <c r="K190" s="1431"/>
      <c r="L190" s="1431"/>
      <c r="M190" s="1431"/>
      <c r="N190" s="1431"/>
      <c r="O190" t="s">
        <v>947</v>
      </c>
      <c r="T190" s="1713">
        <v>11.03</v>
      </c>
      <c r="U190" s="1713"/>
      <c r="V190" s="1713"/>
      <c r="W190" s="1713"/>
      <c r="X190" s="1713"/>
      <c r="Y190" s="1713"/>
      <c r="Z190" s="1713"/>
      <c r="AA190" s="1713"/>
      <c r="AB190" s="1713"/>
      <c r="AC190" s="1713"/>
      <c r="AD190" s="1713"/>
      <c r="AE190" s="1713"/>
      <c r="BC190" t="s">
        <v>948</v>
      </c>
      <c r="BH190" t="s">
        <v>948</v>
      </c>
      <c r="BN190" s="133" t="s">
        <v>949</v>
      </c>
      <c r="BS190">
        <v>6</v>
      </c>
      <c r="BT190" t="s">
        <v>828</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950</v>
      </c>
      <c r="N191" s="1708" t="s">
        <v>951</v>
      </c>
      <c r="O191" s="1708"/>
      <c r="P191" s="1708"/>
      <c r="Q191" s="1708"/>
      <c r="R191" s="1708"/>
      <c r="S191" s="1708"/>
      <c r="T191" s="1708"/>
      <c r="U191" s="1708"/>
      <c r="V191" s="1708"/>
      <c r="W191" s="1708"/>
      <c r="X191" s="1708"/>
      <c r="Y191" s="1708"/>
      <c r="Z191" s="1708"/>
      <c r="AA191" s="1708"/>
      <c r="AB191" s="1708"/>
      <c r="AC191" s="1708"/>
      <c r="AD191" s="1708"/>
      <c r="AE191" s="1708"/>
      <c r="BC191" t="s">
        <v>952</v>
      </c>
      <c r="BH191" t="s">
        <v>952</v>
      </c>
      <c r="BN191" s="133" t="s">
        <v>953</v>
      </c>
      <c r="BS191">
        <v>4</v>
      </c>
      <c r="BT191" t="s">
        <v>954</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709"/>
      <c r="O192" s="1709"/>
      <c r="P192" s="1709"/>
      <c r="Q192" s="1709"/>
      <c r="R192" s="1709"/>
      <c r="S192" s="1709"/>
      <c r="T192" s="1709"/>
      <c r="U192" s="1709"/>
      <c r="V192" s="1709"/>
      <c r="W192" s="1709"/>
      <c r="X192" s="1709"/>
      <c r="Y192" s="1709"/>
      <c r="Z192" s="1709"/>
      <c r="AA192" s="1709"/>
      <c r="AB192" s="1709"/>
      <c r="AC192" s="1709"/>
      <c r="AD192" s="1709"/>
      <c r="AE192" s="1709"/>
      <c r="BC192" t="s">
        <v>955</v>
      </c>
      <c r="BH192" s="3" t="s">
        <v>956</v>
      </c>
      <c r="BN192" s="133" t="s">
        <v>957</v>
      </c>
      <c r="BS192">
        <v>5</v>
      </c>
      <c r="BT192" t="s">
        <v>958</v>
      </c>
      <c r="CB192" s="253" t="s">
        <v>945</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944</v>
      </c>
      <c r="CS192" s="228">
        <v>381933</v>
      </c>
      <c r="CT192" s="228">
        <v>440365</v>
      </c>
      <c r="CU192" s="228">
        <v>531200</v>
      </c>
      <c r="CV192" s="228">
        <v>679936</v>
      </c>
      <c r="CW192" s="228">
        <v>757491</v>
      </c>
      <c r="CX192" s="13"/>
      <c r="CY192" s="133" t="s">
        <v>944</v>
      </c>
      <c r="CZ192" s="228">
        <v>381933</v>
      </c>
      <c r="DA192" s="228">
        <v>440365</v>
      </c>
      <c r="DB192" s="228">
        <v>531200</v>
      </c>
      <c r="DC192" s="228">
        <v>679936</v>
      </c>
      <c r="DD192" s="228">
        <v>757491</v>
      </c>
    </row>
    <row r="193" spans="1:108" ht="12.95" customHeight="1">
      <c r="C193" s="18"/>
      <c r="D193" t="s">
        <v>959</v>
      </c>
      <c r="M193" s="32"/>
      <c r="N193" s="786"/>
      <c r="O193" s="786"/>
      <c r="P193" s="786"/>
      <c r="Q193" s="786"/>
      <c r="R193" s="786"/>
      <c r="S193" s="786"/>
      <c r="T193" s="1705" t="s">
        <v>906</v>
      </c>
      <c r="U193" s="1705"/>
      <c r="V193" s="1705"/>
      <c r="W193" s="1705"/>
      <c r="X193" s="1705"/>
      <c r="Y193" s="1705"/>
      <c r="Z193" s="1705"/>
      <c r="AA193" s="1705"/>
      <c r="AB193" s="1705"/>
      <c r="AC193" s="1705"/>
      <c r="AD193" s="1705"/>
      <c r="AE193" s="1705"/>
      <c r="AF193" s="1705"/>
      <c r="AG193" s="1705"/>
      <c r="AH193" s="1705"/>
      <c r="AI193" s="1705"/>
      <c r="BC193" t="s">
        <v>960</v>
      </c>
      <c r="BH193" s="3" t="s">
        <v>961</v>
      </c>
      <c r="BN193" s="133" t="s">
        <v>962</v>
      </c>
      <c r="BS193">
        <v>4</v>
      </c>
      <c r="BT193" t="s">
        <v>963</v>
      </c>
      <c r="CB193" s="253" t="s">
        <v>828</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949</v>
      </c>
      <c r="CS193" s="226">
        <v>360075</v>
      </c>
      <c r="CT193" s="226">
        <v>415163</v>
      </c>
      <c r="CU193" s="226">
        <v>500800</v>
      </c>
      <c r="CV193" s="226">
        <v>641024</v>
      </c>
      <c r="CW193" s="226">
        <v>714141</v>
      </c>
      <c r="CX193" s="13"/>
      <c r="CY193" s="133" t="s">
        <v>949</v>
      </c>
      <c r="CZ193" s="226">
        <v>360075</v>
      </c>
      <c r="DA193" s="226">
        <v>415163</v>
      </c>
      <c r="DB193" s="226">
        <v>500800</v>
      </c>
      <c r="DC193" s="226">
        <v>641024</v>
      </c>
      <c r="DD193" s="226">
        <v>714141</v>
      </c>
    </row>
    <row r="194" spans="1:108" ht="12.95" customHeight="1">
      <c r="C194" s="18"/>
      <c r="D194" s="3" t="s">
        <v>964</v>
      </c>
      <c r="M194" s="32"/>
      <c r="N194" s="786"/>
      <c r="O194" s="786"/>
      <c r="P194" s="786"/>
      <c r="Q194" s="786"/>
      <c r="R194" s="786"/>
      <c r="S194" s="786"/>
      <c r="AH194" s="1310" t="s">
        <v>700</v>
      </c>
      <c r="AI194" s="1310"/>
      <c r="BC194" t="s">
        <v>956</v>
      </c>
      <c r="BN194" s="133" t="s">
        <v>965</v>
      </c>
      <c r="BS194">
        <v>2</v>
      </c>
      <c r="BT194" t="s">
        <v>966</v>
      </c>
      <c r="CB194" s="253" t="s">
        <v>954</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953</v>
      </c>
      <c r="CS194" s="228">
        <v>402640</v>
      </c>
      <c r="CT194" s="228">
        <v>464240</v>
      </c>
      <c r="CU194" s="228">
        <v>560000</v>
      </c>
      <c r="CV194" s="228">
        <v>716800</v>
      </c>
      <c r="CW194" s="228">
        <v>798560</v>
      </c>
      <c r="CX194" s="13"/>
      <c r="CY194" s="133" t="s">
        <v>953</v>
      </c>
      <c r="CZ194" s="228">
        <v>402640</v>
      </c>
      <c r="DA194" s="228">
        <v>464240</v>
      </c>
      <c r="DB194" s="228">
        <v>560000</v>
      </c>
      <c r="DC194" s="228">
        <v>716800</v>
      </c>
      <c r="DD194" s="228">
        <v>798560</v>
      </c>
    </row>
    <row r="195" spans="1:108" ht="12.95" customHeight="1">
      <c r="C195" s="18"/>
      <c r="D195" t="s">
        <v>967</v>
      </c>
      <c r="T195" s="1310" t="s">
        <v>700</v>
      </c>
      <c r="U195" s="1310"/>
      <c r="W195" t="s">
        <v>968</v>
      </c>
      <c r="AH195" s="1310">
        <v>7</v>
      </c>
      <c r="AI195" s="1310"/>
      <c r="BC195" t="s">
        <v>969</v>
      </c>
      <c r="BN195" s="133" t="s">
        <v>970</v>
      </c>
      <c r="BS195">
        <v>6</v>
      </c>
      <c r="BT195" t="s">
        <v>971</v>
      </c>
      <c r="CB195" s="253" t="s">
        <v>958</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957</v>
      </c>
      <c r="CS195" s="226">
        <v>381933</v>
      </c>
      <c r="CT195" s="226">
        <v>440365</v>
      </c>
      <c r="CU195" s="226">
        <v>531200</v>
      </c>
      <c r="CV195" s="226">
        <v>679936</v>
      </c>
      <c r="CW195" s="226">
        <v>757491</v>
      </c>
      <c r="CX195" s="13"/>
      <c r="CY195" s="133" t="s">
        <v>957</v>
      </c>
      <c r="CZ195" s="226">
        <v>381933</v>
      </c>
      <c r="DA195" s="226">
        <v>440365</v>
      </c>
      <c r="DB195" s="226">
        <v>531200</v>
      </c>
      <c r="DC195" s="226">
        <v>679936</v>
      </c>
      <c r="DD195" s="226">
        <v>757491</v>
      </c>
    </row>
    <row r="196" spans="1:108" ht="12.95" customHeight="1">
      <c r="C196" s="18"/>
      <c r="D196" t="s">
        <v>972</v>
      </c>
      <c r="T196" s="1348" t="s">
        <v>857</v>
      </c>
      <c r="U196" s="1348"/>
      <c r="W196" t="s">
        <v>973</v>
      </c>
      <c r="AH196" s="1310">
        <v>6</v>
      </c>
      <c r="AI196" s="1310"/>
      <c r="BN196" s="133" t="s">
        <v>974</v>
      </c>
      <c r="BS196">
        <v>4</v>
      </c>
      <c r="BT196" t="s">
        <v>975</v>
      </c>
      <c r="CB196" s="253" t="s">
        <v>963</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962</v>
      </c>
      <c r="CS196" s="228">
        <v>392286</v>
      </c>
      <c r="CT196" s="228">
        <v>452302</v>
      </c>
      <c r="CU196" s="228">
        <v>545600</v>
      </c>
      <c r="CV196" s="228">
        <v>698368</v>
      </c>
      <c r="CW196" s="228">
        <v>778026</v>
      </c>
      <c r="CX196" s="13"/>
      <c r="CY196" s="133" t="s">
        <v>962</v>
      </c>
      <c r="CZ196" s="228">
        <v>392286</v>
      </c>
      <c r="DA196" s="228">
        <v>452302</v>
      </c>
      <c r="DB196" s="228">
        <v>545600</v>
      </c>
      <c r="DC196" s="228">
        <v>698368</v>
      </c>
      <c r="DD196" s="228">
        <v>778026</v>
      </c>
    </row>
    <row r="197" spans="1:108" ht="12.95" customHeight="1">
      <c r="C197" s="18"/>
      <c r="D197" s="3" t="s">
        <v>976</v>
      </c>
      <c r="T197" s="1348" t="s">
        <v>700</v>
      </c>
      <c r="U197" s="1348"/>
      <c r="W197" t="s">
        <v>977</v>
      </c>
      <c r="AH197" s="1310">
        <v>8</v>
      </c>
      <c r="AI197" s="1310"/>
      <c r="BC197" t="s">
        <v>348</v>
      </c>
      <c r="BN197" s="133" t="s">
        <v>978</v>
      </c>
      <c r="BS197">
        <v>2</v>
      </c>
      <c r="BT197" t="s">
        <v>979</v>
      </c>
      <c r="CB197" s="253" t="s">
        <v>966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965</v>
      </c>
      <c r="CS197" s="226">
        <v>694266</v>
      </c>
      <c r="CT197" s="226">
        <v>800482</v>
      </c>
      <c r="CU197" s="226">
        <v>965600</v>
      </c>
      <c r="CV197" s="226">
        <v>1235968</v>
      </c>
      <c r="CW197" s="226">
        <v>1376946</v>
      </c>
      <c r="CX197" s="13"/>
      <c r="CY197" s="133" t="s">
        <v>965</v>
      </c>
      <c r="CZ197" s="226">
        <v>694266</v>
      </c>
      <c r="DA197" s="226">
        <v>800482</v>
      </c>
      <c r="DB197" s="226">
        <v>965600</v>
      </c>
      <c r="DC197" s="226">
        <v>1235968</v>
      </c>
      <c r="DD197" s="226">
        <v>1376946</v>
      </c>
    </row>
    <row r="198" spans="1:108" s="13" customFormat="1" ht="12.95" customHeight="1">
      <c r="A198"/>
      <c r="B198"/>
      <c r="C198" s="18"/>
      <c r="D198" s="3" t="s">
        <v>980</v>
      </c>
      <c r="E198"/>
      <c r="F198"/>
      <c r="G198"/>
      <c r="H198"/>
      <c r="I198"/>
      <c r="J198"/>
      <c r="K198"/>
      <c r="L198"/>
      <c r="M198"/>
      <c r="N198"/>
      <c r="O198"/>
      <c r="P198"/>
      <c r="Q198"/>
      <c r="R198"/>
      <c r="S198"/>
      <c r="T198" s="1348"/>
      <c r="U198" s="1348"/>
      <c r="V198"/>
      <c r="X198" s="1442" t="s">
        <v>981</v>
      </c>
      <c r="Y198" s="1442"/>
      <c r="Z198" s="1442"/>
      <c r="AA198" s="1442"/>
      <c r="AB198" s="1442"/>
      <c r="AC198" s="1442"/>
      <c r="AD198" s="1442"/>
      <c r="AE198" s="1442"/>
      <c r="AF198" s="1442"/>
      <c r="AG198" s="1442"/>
      <c r="AH198" s="1442"/>
      <c r="AI198" s="1442"/>
      <c r="AJ198" s="1442"/>
      <c r="AK198" s="1442"/>
      <c r="AL198" s="1442"/>
      <c r="AM198" s="1442"/>
      <c r="AN198" s="1442"/>
      <c r="AO198" s="1442"/>
      <c r="AP198" s="1442"/>
      <c r="AQ198" s="1442"/>
      <c r="AR198" s="1442"/>
      <c r="AS198" s="1442"/>
      <c r="AT198" s="1442"/>
      <c r="AU198"/>
      <c r="AV198"/>
      <c r="AW198"/>
      <c r="AX198"/>
      <c r="AY198"/>
      <c r="AZ198" s="25"/>
      <c r="BA198" s="25"/>
      <c r="BC198" s="13" t="s">
        <v>822</v>
      </c>
      <c r="BD198"/>
      <c r="BN198" s="133" t="s">
        <v>982</v>
      </c>
      <c r="BO198"/>
      <c r="BP198"/>
      <c r="BQ198"/>
      <c r="BR198"/>
      <c r="BS198">
        <v>4</v>
      </c>
      <c r="BT198" t="s">
        <v>983</v>
      </c>
      <c r="BU198"/>
      <c r="BV198" s="26"/>
      <c r="CB198" s="253" t="s">
        <v>971</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970</v>
      </c>
      <c r="CS198" s="228">
        <v>323262</v>
      </c>
      <c r="CT198" s="228">
        <v>372718</v>
      </c>
      <c r="CU198" s="228">
        <v>449600</v>
      </c>
      <c r="CV198" s="228">
        <v>575488</v>
      </c>
      <c r="CW198" s="228">
        <v>641130</v>
      </c>
      <c r="CY198" s="133" t="s">
        <v>970</v>
      </c>
      <c r="CZ198" s="228">
        <v>323262</v>
      </c>
      <c r="DA198" s="228">
        <v>372718</v>
      </c>
      <c r="DB198" s="228">
        <v>449600</v>
      </c>
      <c r="DC198" s="228">
        <v>575488</v>
      </c>
      <c r="DD198" s="228">
        <v>641130</v>
      </c>
    </row>
    <row r="199" spans="1:108" s="13" customFormat="1" ht="12.95" customHeight="1">
      <c r="A199"/>
      <c r="B199"/>
      <c r="C199" s="18"/>
      <c r="D199" s="84" t="s">
        <v>984</v>
      </c>
      <c r="E199"/>
      <c r="F199"/>
      <c r="G199"/>
      <c r="H199"/>
      <c r="I199"/>
      <c r="J199"/>
      <c r="K199"/>
      <c r="L199"/>
      <c r="M199"/>
      <c r="N199"/>
      <c r="O199"/>
      <c r="P199"/>
      <c r="Q199"/>
      <c r="R199"/>
      <c r="S199"/>
      <c r="T199" s="1310" t="s">
        <v>700</v>
      </c>
      <c r="U199" s="1310"/>
      <c r="V199"/>
      <c r="W199"/>
      <c r="X199" s="1442"/>
      <c r="Y199" s="1442"/>
      <c r="Z199" s="1442"/>
      <c r="AA199" s="1442"/>
      <c r="AB199" s="1442"/>
      <c r="AC199" s="1442"/>
      <c r="AD199" s="1442"/>
      <c r="AE199" s="1442"/>
      <c r="AF199" s="1442"/>
      <c r="AG199" s="1442"/>
      <c r="AH199" s="1442"/>
      <c r="AI199" s="1442"/>
      <c r="AJ199" s="1442"/>
      <c r="AK199" s="1442"/>
      <c r="AL199" s="1442"/>
      <c r="AM199" s="1442"/>
      <c r="AN199" s="1442"/>
      <c r="AO199" s="1442"/>
      <c r="AP199" s="1442"/>
      <c r="AQ199" s="1442"/>
      <c r="AR199" s="1442"/>
      <c r="AS199" s="1442"/>
      <c r="AT199" s="1442"/>
      <c r="AU199"/>
      <c r="AV199"/>
      <c r="AW199"/>
      <c r="AX199"/>
      <c r="AY199"/>
      <c r="AZ199" s="25"/>
      <c r="BA199" s="25"/>
      <c r="BC199" t="s">
        <v>809</v>
      </c>
      <c r="BD199"/>
      <c r="BN199" s="133" t="s">
        <v>985</v>
      </c>
      <c r="BO199"/>
      <c r="BP199"/>
      <c r="BQ199"/>
      <c r="BR199"/>
      <c r="BS199">
        <v>2</v>
      </c>
      <c r="BT199" s="27" t="s">
        <v>986</v>
      </c>
      <c r="BU199"/>
      <c r="BV199" s="26"/>
      <c r="CB199" s="253" t="s">
        <v>975</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974</v>
      </c>
      <c r="CS199" s="226">
        <v>442904</v>
      </c>
      <c r="CT199" s="226">
        <v>510664</v>
      </c>
      <c r="CU199" s="226">
        <v>616000</v>
      </c>
      <c r="CV199" s="226">
        <v>788480</v>
      </c>
      <c r="CW199" s="226">
        <v>878416</v>
      </c>
      <c r="CY199" s="133" t="s">
        <v>974</v>
      </c>
      <c r="CZ199" s="226">
        <v>442904</v>
      </c>
      <c r="DA199" s="226">
        <v>510664</v>
      </c>
      <c r="DB199" s="226">
        <v>616000</v>
      </c>
      <c r="DC199" s="226">
        <v>788480</v>
      </c>
      <c r="DD199" s="226">
        <v>878416</v>
      </c>
    </row>
    <row r="200" spans="1:108" s="13" customFormat="1" ht="12.95" customHeight="1">
      <c r="A200"/>
      <c r="B200"/>
      <c r="C200" s="18"/>
      <c r="D200" s="13" t="s">
        <v>987</v>
      </c>
      <c r="T200" s="1310" t="s">
        <v>700</v>
      </c>
      <c r="U200" s="1310"/>
      <c r="V200"/>
      <c r="W200"/>
      <c r="X200"/>
      <c r="Y200"/>
      <c r="AA200"/>
      <c r="AB200" s="1073" t="s">
        <v>988</v>
      </c>
      <c r="AC200"/>
      <c r="AF200"/>
      <c r="AG200"/>
      <c r="AH200" s="1"/>
      <c r="AJ200"/>
      <c r="AK200"/>
      <c r="AL200"/>
      <c r="AM200"/>
      <c r="AN200"/>
      <c r="AO200"/>
      <c r="AP200"/>
      <c r="AQ200"/>
      <c r="AR200"/>
      <c r="AS200"/>
      <c r="AU200"/>
      <c r="AV200"/>
      <c r="AW200"/>
      <c r="AX200"/>
      <c r="AY200"/>
      <c r="AZ200" s="25"/>
      <c r="BA200" s="25"/>
      <c r="BC200" s="3" t="s">
        <v>989</v>
      </c>
      <c r="BD200" s="339"/>
      <c r="BN200" s="133" t="s">
        <v>990</v>
      </c>
      <c r="BO200"/>
      <c r="BP200"/>
      <c r="BQ200"/>
      <c r="BR200"/>
      <c r="BS200">
        <v>2</v>
      </c>
      <c r="BT200" s="27" t="s">
        <v>991</v>
      </c>
      <c r="BU200"/>
      <c r="CB200" s="253" t="s">
        <v>979</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978</v>
      </c>
      <c r="CS200" s="227">
        <v>532060</v>
      </c>
      <c r="CT200" s="227">
        <v>613460</v>
      </c>
      <c r="CU200" s="228">
        <v>740000</v>
      </c>
      <c r="CV200" s="227">
        <v>947200</v>
      </c>
      <c r="CW200" s="227">
        <v>1055240</v>
      </c>
      <c r="CY200" s="133" t="s">
        <v>978</v>
      </c>
      <c r="CZ200" s="227">
        <v>532060</v>
      </c>
      <c r="DA200" s="227">
        <v>613460</v>
      </c>
      <c r="DB200" s="227">
        <v>740000</v>
      </c>
      <c r="DC200" s="227">
        <v>947200</v>
      </c>
      <c r="DD200" s="227">
        <v>1055240</v>
      </c>
    </row>
    <row r="201" spans="1:108" s="13" customFormat="1" ht="12.95" customHeight="1">
      <c r="A201"/>
      <c r="B201"/>
      <c r="C201" s="18"/>
      <c r="E201" s="3" t="s">
        <v>992</v>
      </c>
      <c r="V201"/>
      <c r="X201"/>
      <c r="Y201"/>
      <c r="Z201"/>
      <c r="AB201" s="1073" t="s">
        <v>993</v>
      </c>
      <c r="AC201"/>
      <c r="AH201" s="1"/>
      <c r="AJ201"/>
      <c r="AK201"/>
      <c r="AL201"/>
      <c r="AM201"/>
      <c r="AN201"/>
      <c r="AO201"/>
      <c r="AP201"/>
      <c r="AQ201"/>
      <c r="AR201"/>
      <c r="AS201"/>
      <c r="AU201"/>
      <c r="AV201"/>
      <c r="AW201"/>
      <c r="AX201"/>
      <c r="AY201"/>
      <c r="AZ201" s="25"/>
      <c r="BA201" s="25"/>
      <c r="BC201" s="3" t="s">
        <v>994</v>
      </c>
      <c r="BD201" s="339"/>
      <c r="BN201" s="133" t="s">
        <v>995</v>
      </c>
      <c r="BO201" s="26"/>
      <c r="BP201" s="27"/>
      <c r="BQ201" s="27"/>
      <c r="BR201" s="27"/>
      <c r="BS201">
        <v>6</v>
      </c>
      <c r="BT201" s="27" t="s">
        <v>996</v>
      </c>
      <c r="BU201"/>
      <c r="CB201" s="253" t="s">
        <v>983</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982</v>
      </c>
      <c r="CS201" s="226">
        <v>442904</v>
      </c>
      <c r="CT201" s="226">
        <v>510664</v>
      </c>
      <c r="CU201" s="226">
        <v>616000</v>
      </c>
      <c r="CV201" s="226">
        <v>788480</v>
      </c>
      <c r="CW201" s="226">
        <v>878416</v>
      </c>
      <c r="CY201" s="133" t="s">
        <v>982</v>
      </c>
      <c r="CZ201" s="226">
        <v>442904</v>
      </c>
      <c r="DA201" s="226">
        <v>510664</v>
      </c>
      <c r="DB201" s="226">
        <v>616000</v>
      </c>
      <c r="DC201" s="226">
        <v>788480</v>
      </c>
      <c r="DD201" s="226">
        <v>878416</v>
      </c>
    </row>
    <row r="202" spans="1:108" ht="12.95" customHeight="1">
      <c r="C202" s="18"/>
      <c r="AE202" s="7"/>
      <c r="BC202" t="s">
        <v>997</v>
      </c>
      <c r="BD202" s="339"/>
      <c r="BN202" s="133" t="s">
        <v>998</v>
      </c>
      <c r="BO202" s="13"/>
      <c r="BP202" s="27"/>
      <c r="BQ202" s="27"/>
      <c r="BR202" s="27"/>
      <c r="BS202">
        <v>7</v>
      </c>
      <c r="BT202" s="27" t="s">
        <v>999</v>
      </c>
      <c r="CB202" s="253" t="s">
        <v>986</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985</v>
      </c>
      <c r="CS202" s="227">
        <v>532060</v>
      </c>
      <c r="CT202" s="227">
        <v>613460</v>
      </c>
      <c r="CU202" s="227">
        <v>740000</v>
      </c>
      <c r="CV202" s="227">
        <v>947200</v>
      </c>
      <c r="CW202" s="227">
        <v>1055240</v>
      </c>
      <c r="CX202" s="13"/>
      <c r="CY202" s="133" t="s">
        <v>985</v>
      </c>
      <c r="CZ202" s="227">
        <v>532060</v>
      </c>
      <c r="DA202" s="227">
        <v>613460</v>
      </c>
      <c r="DB202" s="227">
        <v>740000</v>
      </c>
      <c r="DC202" s="227">
        <v>947200</v>
      </c>
      <c r="DD202" s="227">
        <v>1055240</v>
      </c>
    </row>
    <row r="203" spans="1:108" ht="12.95" customHeight="1">
      <c r="A203" s="2" t="s">
        <v>1000</v>
      </c>
      <c r="C203" s="2" t="s">
        <v>1001</v>
      </c>
      <c r="BC203" t="s">
        <v>1002</v>
      </c>
      <c r="BN203" s="133" t="s">
        <v>1003</v>
      </c>
      <c r="BO203" s="13"/>
      <c r="BP203" s="27"/>
      <c r="BQ203" s="27"/>
      <c r="BR203" s="27"/>
      <c r="BS203">
        <v>7</v>
      </c>
      <c r="BT203" s="27" t="s">
        <v>1004</v>
      </c>
      <c r="CB203" s="253" t="s">
        <v>991</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990</v>
      </c>
      <c r="CS203" s="226">
        <v>442904</v>
      </c>
      <c r="CT203" s="226">
        <v>510664</v>
      </c>
      <c r="CU203" s="226">
        <v>616000</v>
      </c>
      <c r="CV203" s="226">
        <v>788480</v>
      </c>
      <c r="CW203" s="226">
        <v>878416</v>
      </c>
      <c r="CX203" s="13"/>
      <c r="CY203" s="133" t="s">
        <v>990</v>
      </c>
      <c r="CZ203" s="226">
        <v>442904</v>
      </c>
      <c r="DA203" s="226">
        <v>510664</v>
      </c>
      <c r="DB203" s="226">
        <v>616000</v>
      </c>
      <c r="DC203" s="226">
        <v>788480</v>
      </c>
      <c r="DD203" s="226">
        <v>878416</v>
      </c>
    </row>
    <row r="204" spans="1:108" ht="12.95" customHeight="1">
      <c r="D204" s="1408" t="s">
        <v>1005</v>
      </c>
      <c r="E204" s="1408"/>
      <c r="F204" s="1408"/>
      <c r="G204" s="1408"/>
      <c r="H204" s="1408"/>
      <c r="I204" s="1408"/>
      <c r="J204" s="1408"/>
      <c r="K204" s="1408"/>
      <c r="L204" s="1408"/>
      <c r="M204" s="1408"/>
      <c r="P204" s="1445">
        <f ca="1">M26</f>
        <v>3150514</v>
      </c>
      <c r="Q204" s="1701"/>
      <c r="R204" s="1701"/>
      <c r="S204" s="1701"/>
      <c r="T204" s="1701"/>
      <c r="U204" s="1701"/>
      <c r="BC204" t="s">
        <v>1006</v>
      </c>
      <c r="BN204" s="133" t="s">
        <v>1007</v>
      </c>
      <c r="BS204">
        <v>6</v>
      </c>
      <c r="BT204" s="27" t="s">
        <v>1008</v>
      </c>
      <c r="BU204" s="13"/>
      <c r="CB204" s="253" t="s">
        <v>996</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995</v>
      </c>
      <c r="CS204" s="228">
        <v>369278</v>
      </c>
      <c r="CT204" s="228">
        <v>425774</v>
      </c>
      <c r="CU204" s="228">
        <v>513600</v>
      </c>
      <c r="CV204" s="228">
        <v>657408</v>
      </c>
      <c r="CW204" s="228">
        <v>732394</v>
      </c>
      <c r="CX204" s="13"/>
      <c r="CY204" s="133" t="s">
        <v>995</v>
      </c>
      <c r="CZ204" s="228">
        <v>369278</v>
      </c>
      <c r="DA204" s="228">
        <v>425774</v>
      </c>
      <c r="DB204" s="228">
        <v>513600</v>
      </c>
      <c r="DC204" s="228">
        <v>657408</v>
      </c>
      <c r="DD204" s="228">
        <v>732394</v>
      </c>
    </row>
    <row r="205" spans="1:108" ht="12.95" customHeight="1">
      <c r="C205" s="18"/>
      <c r="D205" s="1695" t="s">
        <v>1009</v>
      </c>
      <c r="E205" s="1408"/>
      <c r="F205" s="1408"/>
      <c r="G205" s="1408"/>
      <c r="H205" s="1408"/>
      <c r="I205" s="1408"/>
      <c r="J205" s="1408"/>
      <c r="K205" s="1408"/>
      <c r="L205" s="1408"/>
      <c r="M205" s="1408"/>
      <c r="P205" s="1701">
        <f ca="1">M27</f>
        <v>5298328</v>
      </c>
      <c r="Q205" s="1701"/>
      <c r="R205" s="1701"/>
      <c r="S205" s="1701"/>
      <c r="T205" s="1701"/>
      <c r="U205" s="1701"/>
      <c r="V205" s="19"/>
      <c r="W205" s="3" t="s">
        <v>1010</v>
      </c>
      <c r="Z205" s="1718" t="s">
        <v>1011</v>
      </c>
      <c r="AA205" s="1718"/>
      <c r="AB205" s="1718"/>
      <c r="AC205" s="1718"/>
      <c r="AD205" s="1718"/>
      <c r="AE205" s="1718"/>
      <c r="AF205" s="1718"/>
      <c r="AG205" s="1718"/>
      <c r="AH205" s="1718"/>
      <c r="AI205" s="1718"/>
      <c r="AJ205" s="1718"/>
      <c r="AK205" s="1718"/>
      <c r="AL205" s="1718"/>
      <c r="AM205" s="1718"/>
      <c r="AN205" s="1718"/>
      <c r="AP205" s="1312"/>
      <c r="AQ205" s="1312"/>
      <c r="BC205" t="s">
        <v>1012</v>
      </c>
      <c r="BN205" s="133" t="s">
        <v>1013</v>
      </c>
      <c r="BS205">
        <v>4</v>
      </c>
      <c r="BT205" s="27" t="s">
        <v>1014</v>
      </c>
      <c r="BU205" s="13"/>
      <c r="CB205" s="253" t="s">
        <v>999</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998</v>
      </c>
      <c r="CS205" s="226">
        <v>402640</v>
      </c>
      <c r="CT205" s="226">
        <v>464240</v>
      </c>
      <c r="CU205" s="226">
        <v>560000</v>
      </c>
      <c r="CV205" s="226">
        <v>716800</v>
      </c>
      <c r="CW205" s="226">
        <v>798560</v>
      </c>
      <c r="CX205" s="13"/>
      <c r="CY205" s="133" t="s">
        <v>998</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1015</v>
      </c>
      <c r="BN206" s="133" t="s">
        <v>1016</v>
      </c>
      <c r="BS206">
        <v>5</v>
      </c>
      <c r="BT206" s="27" t="s">
        <v>1017</v>
      </c>
      <c r="BU206" s="13"/>
      <c r="CB206" s="253" t="s">
        <v>1004</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1003</v>
      </c>
      <c r="CS206" s="228">
        <v>402640</v>
      </c>
      <c r="CT206" s="228">
        <v>464240</v>
      </c>
      <c r="CU206" s="228">
        <v>560000</v>
      </c>
      <c r="CV206" s="228">
        <v>716800</v>
      </c>
      <c r="CW206" s="228">
        <v>798560</v>
      </c>
      <c r="CX206" s="13"/>
      <c r="CY206" s="133" t="s">
        <v>1003</v>
      </c>
      <c r="CZ206" s="228">
        <v>402640</v>
      </c>
      <c r="DA206" s="228">
        <v>464240</v>
      </c>
      <c r="DB206" s="228">
        <v>560000</v>
      </c>
      <c r="DC206" s="228">
        <v>716800</v>
      </c>
      <c r="DD206" s="228">
        <v>798560</v>
      </c>
    </row>
    <row r="207" spans="1:108" ht="12.95" customHeight="1">
      <c r="A207" s="2" t="s">
        <v>1018</v>
      </c>
      <c r="C207" s="2" t="s">
        <v>1019</v>
      </c>
      <c r="BC207" s="340" t="s">
        <v>1020</v>
      </c>
      <c r="BN207" s="133" t="s">
        <v>1021</v>
      </c>
      <c r="BS207">
        <v>6</v>
      </c>
      <c r="BT207" s="27" t="s">
        <v>1022</v>
      </c>
      <c r="CB207" s="253" t="s">
        <v>1008</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1007</v>
      </c>
      <c r="CS207" s="226">
        <v>406666</v>
      </c>
      <c r="CT207" s="226">
        <v>468882</v>
      </c>
      <c r="CU207" s="226">
        <v>565600</v>
      </c>
      <c r="CV207" s="226">
        <v>723968</v>
      </c>
      <c r="CW207" s="226">
        <v>806546</v>
      </c>
      <c r="CX207" s="13"/>
      <c r="CY207" s="133" t="s">
        <v>1007</v>
      </c>
      <c r="CZ207" s="226">
        <v>406666</v>
      </c>
      <c r="DA207" s="226">
        <v>468882</v>
      </c>
      <c r="DB207" s="226">
        <v>565600</v>
      </c>
      <c r="DC207" s="226">
        <v>723968</v>
      </c>
      <c r="DD207" s="226">
        <v>806546</v>
      </c>
    </row>
    <row r="208" spans="1:108" ht="12.95" customHeight="1">
      <c r="C208" s="18"/>
      <c r="D208" s="1444" t="s">
        <v>1023</v>
      </c>
      <c r="E208" s="1444"/>
      <c r="F208" s="1444"/>
      <c r="G208" s="1444"/>
      <c r="H208" s="1444"/>
      <c r="I208" s="1444"/>
      <c r="J208" s="1444"/>
      <c r="K208" s="1444"/>
      <c r="L208" s="1444"/>
      <c r="M208" s="1444"/>
      <c r="BC208" s="3" t="s">
        <v>1024</v>
      </c>
      <c r="BN208" s="133" t="s">
        <v>1025</v>
      </c>
      <c r="BS208">
        <v>7</v>
      </c>
      <c r="BT208" s="27" t="s">
        <v>1026</v>
      </c>
      <c r="CB208" s="253" t="s">
        <v>1014</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1013</v>
      </c>
      <c r="CS208" s="228">
        <v>406666</v>
      </c>
      <c r="CT208" s="228">
        <v>468882</v>
      </c>
      <c r="CU208" s="228">
        <v>565600</v>
      </c>
      <c r="CV208" s="228">
        <v>723968</v>
      </c>
      <c r="CW208" s="228">
        <v>806546</v>
      </c>
      <c r="CX208" s="13"/>
      <c r="CY208" s="133" t="s">
        <v>1013</v>
      </c>
      <c r="CZ208" s="228">
        <v>406666</v>
      </c>
      <c r="DA208" s="228">
        <v>468882</v>
      </c>
      <c r="DB208" s="228">
        <v>565600</v>
      </c>
      <c r="DC208" s="228">
        <v>723968</v>
      </c>
      <c r="DD208" s="228">
        <v>806546</v>
      </c>
    </row>
    <row r="209" spans="1:108" ht="12.95" customHeight="1">
      <c r="BC209" t="s">
        <v>1027</v>
      </c>
      <c r="BN209" s="133" t="s">
        <v>1028</v>
      </c>
      <c r="BS209">
        <v>7</v>
      </c>
      <c r="BT209" s="27" t="s">
        <v>1029</v>
      </c>
      <c r="CB209" s="253" t="s">
        <v>1017</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1016</v>
      </c>
      <c r="CS209" s="226">
        <v>323262</v>
      </c>
      <c r="CT209" s="226">
        <v>372718</v>
      </c>
      <c r="CU209" s="226">
        <v>449600</v>
      </c>
      <c r="CV209" s="226">
        <v>575488</v>
      </c>
      <c r="CW209" s="226">
        <v>641130</v>
      </c>
      <c r="CX209" s="13"/>
      <c r="CY209" s="133" t="s">
        <v>1016</v>
      </c>
      <c r="CZ209" s="226">
        <v>323262</v>
      </c>
      <c r="DA209" s="226">
        <v>372718</v>
      </c>
      <c r="DB209" s="226">
        <v>449600</v>
      </c>
      <c r="DC209" s="226">
        <v>575488</v>
      </c>
      <c r="DD209" s="226">
        <v>641130</v>
      </c>
    </row>
    <row r="210" spans="1:108" ht="12.95" customHeight="1">
      <c r="A210" s="2" t="s">
        <v>1030</v>
      </c>
      <c r="C210" s="2" t="s">
        <v>1031</v>
      </c>
      <c r="BC210" t="s">
        <v>1032</v>
      </c>
      <c r="BN210" s="133" t="s">
        <v>1033</v>
      </c>
      <c r="BS210">
        <v>5</v>
      </c>
      <c r="BT210" s="27" t="s">
        <v>1034</v>
      </c>
      <c r="CB210" s="253" t="s">
        <v>1022</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1021</v>
      </c>
      <c r="CS210" s="228">
        <v>360075</v>
      </c>
      <c r="CT210" s="228">
        <v>415163</v>
      </c>
      <c r="CU210" s="228">
        <v>500800</v>
      </c>
      <c r="CV210" s="228">
        <v>641024</v>
      </c>
      <c r="CW210" s="228">
        <v>714141</v>
      </c>
      <c r="CX210" s="13"/>
      <c r="CY210" s="133" t="s">
        <v>1021</v>
      </c>
      <c r="CZ210" s="228">
        <v>360075</v>
      </c>
      <c r="DA210" s="228">
        <v>415163</v>
      </c>
      <c r="DB210" s="228">
        <v>500800</v>
      </c>
      <c r="DC210" s="228">
        <v>641024</v>
      </c>
      <c r="DD210" s="228">
        <v>714141</v>
      </c>
    </row>
    <row r="211" spans="1:108" ht="12.95" customHeight="1">
      <c r="C211" s="18"/>
      <c r="D211" s="1444" t="s">
        <v>969</v>
      </c>
      <c r="E211" s="1444"/>
      <c r="F211" s="1444"/>
      <c r="G211" s="1444"/>
      <c r="H211" s="1444"/>
      <c r="I211" s="1444"/>
      <c r="J211" s="1444"/>
      <c r="K211" s="1444"/>
      <c r="L211" s="1444"/>
      <c r="M211" s="1444"/>
      <c r="BN211" s="133" t="s">
        <v>1035</v>
      </c>
      <c r="BS211">
        <v>7</v>
      </c>
      <c r="BT211" s="27" t="s">
        <v>1036</v>
      </c>
      <c r="CB211" s="253" t="s">
        <v>1026</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1025</v>
      </c>
      <c r="CS211" s="226">
        <v>402640</v>
      </c>
      <c r="CT211" s="226">
        <v>464240</v>
      </c>
      <c r="CU211" s="226">
        <v>560000</v>
      </c>
      <c r="CV211" s="226">
        <v>716800</v>
      </c>
      <c r="CW211" s="226">
        <v>798560</v>
      </c>
      <c r="CX211" s="13"/>
      <c r="CY211" s="133" t="s">
        <v>1025</v>
      </c>
      <c r="CZ211" s="226">
        <v>402640</v>
      </c>
      <c r="DA211" s="226">
        <v>464240</v>
      </c>
      <c r="DB211" s="226">
        <v>560000</v>
      </c>
      <c r="DC211" s="226">
        <v>716800</v>
      </c>
      <c r="DD211" s="226">
        <v>798560</v>
      </c>
    </row>
    <row r="212" spans="1:108" ht="12.95" customHeight="1">
      <c r="C212" s="18"/>
      <c r="D212" s="3" t="s">
        <v>1037</v>
      </c>
      <c r="Q212" s="1310">
        <v>0</v>
      </c>
      <c r="R212" s="1310"/>
      <c r="T212" s="1706">
        <f>IFERROR(Q212/AG449,0)</f>
        <v>0</v>
      </c>
      <c r="U212" s="1707"/>
      <c r="BC212" t="s">
        <v>348</v>
      </c>
      <c r="BI212" t="s">
        <v>1038</v>
      </c>
      <c r="BN212" s="133" t="s">
        <v>1039</v>
      </c>
      <c r="BS212">
        <v>4</v>
      </c>
      <c r="BT212" s="27" t="s">
        <v>1040</v>
      </c>
      <c r="CB212" s="253" t="s">
        <v>1029</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1028</v>
      </c>
      <c r="CS212" s="228">
        <v>402640</v>
      </c>
      <c r="CT212" s="228">
        <v>464240</v>
      </c>
      <c r="CU212" s="228">
        <v>560000</v>
      </c>
      <c r="CV212" s="228">
        <v>716800</v>
      </c>
      <c r="CW212" s="228">
        <v>798560</v>
      </c>
      <c r="CX212" s="13"/>
      <c r="CY212" s="133" t="s">
        <v>1028</v>
      </c>
      <c r="CZ212" s="228">
        <v>402640</v>
      </c>
      <c r="DA212" s="228">
        <v>464240</v>
      </c>
      <c r="DB212" s="228">
        <v>560000</v>
      </c>
      <c r="DC212" s="228">
        <v>716800</v>
      </c>
      <c r="DD212" s="228">
        <v>798560</v>
      </c>
    </row>
    <row r="213" spans="1:108" ht="12.95" customHeight="1">
      <c r="D213" s="1028" t="s">
        <v>1041</v>
      </c>
      <c r="BC213" t="s">
        <v>1042</v>
      </c>
      <c r="BI213" s="3" t="s">
        <v>1043</v>
      </c>
      <c r="BN213" s="133" t="s">
        <v>1044</v>
      </c>
      <c r="BS213">
        <v>6</v>
      </c>
      <c r="BT213" s="27" t="s">
        <v>1045</v>
      </c>
      <c r="CB213" s="253" t="s">
        <v>1034</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1033</v>
      </c>
      <c r="CS213" s="226">
        <v>323262</v>
      </c>
      <c r="CT213" s="226">
        <v>372718</v>
      </c>
      <c r="CU213" s="226">
        <v>449600</v>
      </c>
      <c r="CV213" s="226">
        <v>575488</v>
      </c>
      <c r="CW213" s="226">
        <v>641130</v>
      </c>
      <c r="CX213" s="13"/>
      <c r="CY213" s="133" t="s">
        <v>1033</v>
      </c>
      <c r="CZ213" s="226">
        <v>323262</v>
      </c>
      <c r="DA213" s="226">
        <v>372718</v>
      </c>
      <c r="DB213" s="226">
        <v>449600</v>
      </c>
      <c r="DC213" s="226">
        <v>575488</v>
      </c>
      <c r="DD213" s="226">
        <v>641130</v>
      </c>
    </row>
    <row r="214" spans="1:108" ht="12.95" customHeight="1">
      <c r="D214" s="1720" t="s">
        <v>822</v>
      </c>
      <c r="E214" s="1720"/>
      <c r="F214" s="1720"/>
      <c r="G214" s="1720"/>
      <c r="H214" s="1720"/>
      <c r="I214" s="1720"/>
      <c r="J214" s="1720"/>
      <c r="K214" s="1720"/>
      <c r="L214" s="1720"/>
      <c r="M214" s="1720"/>
      <c r="N214" s="1720"/>
      <c r="O214" s="1720"/>
      <c r="P214" s="1720"/>
      <c r="Q214" s="1720"/>
      <c r="R214" s="1720"/>
      <c r="S214" s="1720"/>
      <c r="T214" s="1720"/>
      <c r="U214" s="1720"/>
      <c r="V214" s="1720"/>
      <c r="W214" s="1720"/>
      <c r="X214" s="1720"/>
      <c r="Y214" s="1720"/>
      <c r="Z214" s="1720"/>
      <c r="AU214" s="18"/>
      <c r="AV214" s="18"/>
      <c r="AW214" s="18"/>
      <c r="AX214" s="18"/>
      <c r="AY214" s="18"/>
      <c r="BC214" t="s">
        <v>1046</v>
      </c>
      <c r="BI214" s="3" t="s">
        <v>1047</v>
      </c>
      <c r="BN214" s="133" t="s">
        <v>1048</v>
      </c>
      <c r="BS214">
        <v>6</v>
      </c>
      <c r="BT214" s="27" t="s">
        <v>1049</v>
      </c>
      <c r="CB214" s="253" t="s">
        <v>1036</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1035</v>
      </c>
      <c r="CS214" s="228">
        <v>402640</v>
      </c>
      <c r="CT214" s="228">
        <v>464240</v>
      </c>
      <c r="CU214" s="228">
        <v>560000</v>
      </c>
      <c r="CV214" s="228">
        <v>716800</v>
      </c>
      <c r="CW214" s="228">
        <v>798560</v>
      </c>
      <c r="CX214" s="13"/>
      <c r="CY214" s="133" t="s">
        <v>1035</v>
      </c>
      <c r="CZ214" s="228">
        <v>402640</v>
      </c>
      <c r="DA214" s="228">
        <v>464240</v>
      </c>
      <c r="DB214" s="228">
        <v>560000</v>
      </c>
      <c r="DC214" s="228">
        <v>716800</v>
      </c>
      <c r="DD214" s="228">
        <v>798560</v>
      </c>
    </row>
    <row r="215" spans="1:108" ht="12.95" customHeight="1">
      <c r="D215" s="3" t="s">
        <v>1050</v>
      </c>
      <c r="Z215" s="32"/>
      <c r="AB215" s="1666"/>
      <c r="AC215" s="1666"/>
      <c r="AD215" s="1666"/>
      <c r="AE215" s="1666"/>
      <c r="AF215" s="1666"/>
      <c r="AG215" s="1666"/>
      <c r="AH215" s="1666"/>
      <c r="AI215" s="1666"/>
      <c r="AJ215" s="1666"/>
      <c r="AK215" s="1666"/>
      <c r="AL215" s="1666"/>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2.95" customHeight="1">
      <c r="D216" s="3" t="s">
        <v>1053</v>
      </c>
      <c r="Z216" s="32"/>
      <c r="AB216" s="1666"/>
      <c r="AC216" s="1666"/>
      <c r="AD216" s="1666"/>
      <c r="AE216" s="1666"/>
      <c r="AF216" s="1666"/>
      <c r="AG216" s="1666"/>
      <c r="AH216" s="1666"/>
      <c r="AI216" s="1666"/>
      <c r="AJ216" s="1666"/>
      <c r="AK216" s="1666"/>
      <c r="AL216" s="1666"/>
      <c r="AM216" s="18"/>
      <c r="AN216" s="18"/>
      <c r="AO216" s="18"/>
      <c r="AP216" s="18"/>
      <c r="AQ216" s="18"/>
      <c r="AR216" s="18"/>
      <c r="AS216" s="18"/>
      <c r="AT216" s="18"/>
      <c r="AU216" s="18"/>
      <c r="AV216" s="18"/>
      <c r="AW216" s="18"/>
      <c r="AX216" s="18"/>
      <c r="AY216" s="18"/>
      <c r="BC216" t="s">
        <v>1054</v>
      </c>
      <c r="BI216" t="s">
        <v>1011</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1055</v>
      </c>
      <c r="BI217" t="s">
        <v>1056</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1057</v>
      </c>
      <c r="C218" s="2" t="s">
        <v>1058</v>
      </c>
      <c r="D218" s="19"/>
      <c r="AC218" s="2" t="s">
        <v>1059</v>
      </c>
      <c r="BC218" t="s">
        <v>1060</v>
      </c>
    </row>
    <row r="219" spans="1:108" ht="12.95" customHeight="1">
      <c r="A219" s="2"/>
      <c r="C219" s="2"/>
      <c r="D219" s="3" t="s">
        <v>1061</v>
      </c>
      <c r="AZ219" s="3"/>
      <c r="BA219" s="3"/>
      <c r="BC219" t="s">
        <v>1062</v>
      </c>
    </row>
    <row r="220" spans="1:108" ht="12.95" customHeight="1">
      <c r="A220" s="2"/>
      <c r="C220" s="2"/>
      <c r="D220" s="1444" t="s">
        <v>1020</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AC220" s="1719" t="s">
        <v>819</v>
      </c>
      <c r="AD220" s="1719"/>
      <c r="AE220" s="1719"/>
      <c r="AF220" s="1719"/>
      <c r="AG220" s="1719"/>
      <c r="AH220" s="1719"/>
      <c r="AI220" s="1719"/>
      <c r="AJ220" s="1719"/>
      <c r="AK220" s="1719"/>
      <c r="AL220" s="1719"/>
      <c r="AM220" s="1719"/>
      <c r="AN220" s="1719"/>
      <c r="AO220" s="1719"/>
      <c r="AP220" s="1719"/>
      <c r="AQ220" s="1719"/>
      <c r="BA220" s="3"/>
      <c r="BC220" t="s">
        <v>1063</v>
      </c>
    </row>
    <row r="221" spans="1:108" ht="12.95" customHeight="1">
      <c r="A221" s="2"/>
      <c r="B221" s="13"/>
      <c r="C221" s="2"/>
      <c r="BA221" s="3"/>
    </row>
    <row r="222" spans="1:108" ht="12.95" customHeight="1">
      <c r="A222" s="2" t="s">
        <v>1064</v>
      </c>
      <c r="B222" s="13"/>
      <c r="C222" s="2" t="s">
        <v>1065</v>
      </c>
      <c r="BA222" s="3"/>
    </row>
    <row r="223" spans="1:108" ht="12.95" customHeight="1">
      <c r="A223" s="2"/>
      <c r="B223" s="13"/>
      <c r="C223" s="2"/>
      <c r="D223" s="3" t="s">
        <v>1066</v>
      </c>
      <c r="BA223" s="3"/>
    </row>
    <row r="224" spans="1:108" ht="12.95" customHeight="1">
      <c r="A224" s="2"/>
      <c r="B224" s="13"/>
      <c r="C224" s="2"/>
      <c r="E224" s="3" t="s">
        <v>790</v>
      </c>
      <c r="V224" s="1310" t="s">
        <v>700</v>
      </c>
      <c r="W224" s="1310"/>
      <c r="Y224" s="1082"/>
      <c r="BA224" s="3"/>
    </row>
    <row r="225" spans="1:69" ht="12.95" customHeight="1">
      <c r="A225" s="2"/>
      <c r="B225" s="13"/>
      <c r="C225" s="2"/>
      <c r="E225" s="3" t="s">
        <v>791</v>
      </c>
      <c r="V225" s="1310" t="s">
        <v>700</v>
      </c>
      <c r="W225" s="1310"/>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48" t="s">
        <v>700</v>
      </c>
      <c r="W226" s="134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48" t="s">
        <v>700</v>
      </c>
      <c r="W227" s="134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48" t="s">
        <v>857</v>
      </c>
      <c r="W228" s="1348"/>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48" t="s">
        <v>700</v>
      </c>
      <c r="W229" s="1348"/>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48" t="s">
        <v>1067</v>
      </c>
      <c r="B231" s="1448"/>
      <c r="C231" s="1448"/>
      <c r="D231" s="1448"/>
      <c r="E231" s="1448"/>
      <c r="F231" s="1448"/>
      <c r="G231" s="1448"/>
      <c r="H231" s="1448"/>
      <c r="I231" s="1448"/>
      <c r="J231" s="1448"/>
      <c r="K231" s="1448"/>
      <c r="L231" s="1448"/>
      <c r="M231" s="1448"/>
      <c r="N231" s="1448"/>
      <c r="O231" s="1448"/>
      <c r="P231" s="1448"/>
      <c r="Q231" s="1448"/>
      <c r="R231" s="1448"/>
      <c r="S231" s="1448"/>
      <c r="T231" s="1448"/>
      <c r="U231" s="1448"/>
      <c r="V231" s="1448"/>
      <c r="W231" s="1448"/>
      <c r="X231" s="1448"/>
      <c r="Y231" s="1448"/>
      <c r="Z231" s="1448"/>
      <c r="AA231" s="1448"/>
      <c r="AB231" s="1448"/>
      <c r="AC231" s="1448"/>
      <c r="AD231" s="1448"/>
      <c r="AE231" s="1448"/>
      <c r="AF231" s="1448"/>
      <c r="AG231" s="1448"/>
      <c r="AH231" s="1448"/>
      <c r="AI231" s="1448"/>
      <c r="AJ231" s="1448"/>
      <c r="AK231" s="1448"/>
      <c r="AL231" s="1448"/>
      <c r="AM231" s="1448"/>
      <c r="AN231" s="1448"/>
      <c r="AO231" s="1448"/>
      <c r="AP231" s="1448"/>
      <c r="AQ231" s="1448"/>
      <c r="AR231" s="1448"/>
      <c r="AS231" s="1448"/>
      <c r="AT231" s="1448"/>
      <c r="AU231" s="70"/>
      <c r="AV231" s="70"/>
      <c r="AW231" s="70"/>
      <c r="AX231" s="70"/>
      <c r="AY231" s="70"/>
      <c r="AZ231" s="3"/>
      <c r="BA231" s="3"/>
      <c r="BP231" s="3"/>
    </row>
    <row r="232" spans="1:69" ht="12.95" customHeight="1">
      <c r="A232" s="1448"/>
      <c r="B232" s="1448"/>
      <c r="C232" s="1448"/>
      <c r="D232" s="1448"/>
      <c r="E232" s="1448"/>
      <c r="F232" s="1448"/>
      <c r="G232" s="1448"/>
      <c r="H232" s="1448"/>
      <c r="I232" s="1448"/>
      <c r="J232" s="1448"/>
      <c r="K232" s="1448"/>
      <c r="L232" s="1448"/>
      <c r="M232" s="1448"/>
      <c r="N232" s="1448"/>
      <c r="O232" s="1448"/>
      <c r="P232" s="1448"/>
      <c r="Q232" s="1448"/>
      <c r="R232" s="1448"/>
      <c r="S232" s="1448"/>
      <c r="T232" s="1448"/>
      <c r="U232" s="1448"/>
      <c r="V232" s="1448"/>
      <c r="W232" s="1448"/>
      <c r="X232" s="1448"/>
      <c r="Y232" s="1448"/>
      <c r="Z232" s="1448"/>
      <c r="AA232" s="1448"/>
      <c r="AB232" s="1448"/>
      <c r="AC232" s="1448"/>
      <c r="AD232" s="1448"/>
      <c r="AE232" s="1448"/>
      <c r="AF232" s="1448"/>
      <c r="AG232" s="1448"/>
      <c r="AH232" s="1448"/>
      <c r="AI232" s="1448"/>
      <c r="AJ232" s="1448"/>
      <c r="AK232" s="1448"/>
      <c r="AL232" s="1448"/>
      <c r="AM232" s="1448"/>
      <c r="AN232" s="1448"/>
      <c r="AO232" s="1448"/>
      <c r="AP232" s="1448"/>
      <c r="AQ232" s="1448"/>
      <c r="AR232" s="1448"/>
      <c r="AS232" s="1448"/>
      <c r="AT232" s="1448"/>
      <c r="BA232" s="3"/>
      <c r="BB232" s="3"/>
      <c r="BQ232" s="3"/>
    </row>
    <row r="233" spans="1:69" ht="12.95" customHeight="1">
      <c r="AZ233" s="3"/>
      <c r="BA233" s="3"/>
      <c r="BB233" s="3"/>
      <c r="BQ233" s="3"/>
    </row>
    <row r="234" spans="1:69" ht="12.95" customHeight="1">
      <c r="A234" s="2" t="s">
        <v>882</v>
      </c>
      <c r="B234" s="2"/>
      <c r="C234" s="2" t="s">
        <v>1068</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1069</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10" t="s">
        <v>822</v>
      </c>
      <c r="AJ235" s="1310"/>
      <c r="AL235" s="3"/>
      <c r="AM235" s="3"/>
      <c r="AN235" s="3"/>
      <c r="AO235" s="3"/>
      <c r="AP235" s="3"/>
      <c r="AQ235" s="3"/>
      <c r="AR235" s="3"/>
      <c r="AS235" s="3"/>
      <c r="AT235" s="3"/>
      <c r="AU235" s="3"/>
      <c r="AV235" s="3"/>
      <c r="AW235" s="3"/>
      <c r="AX235" s="3"/>
      <c r="AY235" s="3"/>
      <c r="AZ235" s="3"/>
      <c r="BB235" s="136" t="s">
        <v>1070</v>
      </c>
      <c r="BG235" s="166">
        <f>IF(AND(AND($M$258="for profit",$M$266="for profit",$M$274="nonprofit")),2,0)</f>
        <v>0</v>
      </c>
    </row>
    <row r="236" spans="1:69" ht="12.95" customHeight="1">
      <c r="B236" s="3"/>
      <c r="D236" s="3" t="s">
        <v>1071</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10" t="s">
        <v>857</v>
      </c>
      <c r="AJ236" s="1310"/>
      <c r="AL236" s="3"/>
      <c r="AM236" s="3"/>
      <c r="AN236" s="3"/>
      <c r="AO236" s="3"/>
      <c r="AP236" s="3"/>
      <c r="AQ236" s="3"/>
      <c r="AR236" s="3"/>
      <c r="AS236" s="3"/>
      <c r="AT236" s="3"/>
      <c r="AU236" s="3"/>
      <c r="AV236" s="3"/>
      <c r="AW236" s="3"/>
      <c r="AX236" s="3"/>
      <c r="AY236" s="3"/>
      <c r="BA236" s="3"/>
      <c r="BB236" s="136" t="s">
        <v>1070</v>
      </c>
      <c r="BG236" s="166">
        <f>IF(AND(AND($M$258="for profit",$M$266="nonprofit",$M$274="for profit")),2,0)</f>
        <v>0</v>
      </c>
    </row>
    <row r="237" spans="1:69" ht="12.95" customHeight="1">
      <c r="B237" s="3"/>
      <c r="D237" s="3" t="s">
        <v>1072</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10" t="s">
        <v>822</v>
      </c>
      <c r="AJ237" s="1310"/>
      <c r="AL237" s="3"/>
      <c r="AM237" s="3"/>
      <c r="AN237" s="3"/>
      <c r="AO237" s="3"/>
      <c r="AP237" s="3"/>
      <c r="AQ237" s="3"/>
      <c r="AR237" s="3"/>
      <c r="AS237" s="3"/>
      <c r="AT237" s="3"/>
      <c r="AU237" s="3"/>
      <c r="AV237" s="3"/>
      <c r="AW237" s="3"/>
      <c r="AX237" s="3"/>
      <c r="AY237" s="3"/>
      <c r="AZ237" s="3"/>
      <c r="BA237" s="3"/>
      <c r="BB237" s="136" t="s">
        <v>1070</v>
      </c>
      <c r="BG237" s="166">
        <f>IF(AND(AND($M$258="nonprofit",$M$266="for profit",$M$274="for profit")),2,0)</f>
        <v>0</v>
      </c>
    </row>
    <row r="238" spans="1:69" ht="12.95" customHeight="1">
      <c r="B238" s="3"/>
      <c r="D238" s="3" t="s">
        <v>1073</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10" t="s">
        <v>822</v>
      </c>
      <c r="AJ238" s="1310"/>
      <c r="AL238" s="3"/>
      <c r="AM238" s="3"/>
      <c r="AN238" s="3"/>
      <c r="AO238" s="3"/>
      <c r="AP238" s="3"/>
      <c r="AQ238" s="3"/>
      <c r="AR238" s="3"/>
      <c r="AS238" s="3"/>
      <c r="AT238" s="3"/>
      <c r="AU238" s="3"/>
      <c r="AV238" s="3"/>
      <c r="AW238" s="3"/>
      <c r="AX238" s="3"/>
      <c r="AY238" s="3"/>
      <c r="BA238" s="3"/>
      <c r="BB238" s="136" t="s">
        <v>1070</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1070</v>
      </c>
      <c r="BG239" s="165">
        <f>IF(AND(AND($M$258="nonprofit",$M$266="for profit",$M$274="(select one)")),2,0)</f>
        <v>0</v>
      </c>
    </row>
    <row r="240" spans="1:69" ht="12.95" customHeight="1">
      <c r="A240" s="2" t="s">
        <v>923</v>
      </c>
      <c r="B240" s="3"/>
      <c r="C240" s="2" t="s">
        <v>1074</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1075</v>
      </c>
      <c r="E241" s="3"/>
      <c r="F241" s="3"/>
      <c r="G241" s="3"/>
      <c r="H241" s="3"/>
      <c r="I241" s="3"/>
      <c r="J241" s="3"/>
      <c r="K241" s="3"/>
      <c r="M241" s="1548" t="str">
        <f>H16</f>
        <v>I Street Housing Associates, L.P.</v>
      </c>
      <c r="N241" s="1548"/>
      <c r="O241" s="1548"/>
      <c r="P241" s="1548"/>
      <c r="Q241" s="1548"/>
      <c r="R241" s="1548"/>
      <c r="S241" s="1548"/>
      <c r="T241" s="1548"/>
      <c r="U241" s="1548"/>
      <c r="V241" s="1548"/>
      <c r="W241" s="1548"/>
      <c r="X241" s="1548"/>
      <c r="Y241" s="1548"/>
      <c r="Z241" s="1548"/>
      <c r="AA241" s="1548"/>
      <c r="AB241" s="1548"/>
      <c r="AC241" s="1548"/>
      <c r="AD241" s="1548"/>
      <c r="AE241" s="1548"/>
      <c r="AF241" s="1548"/>
      <c r="AG241" s="1548"/>
      <c r="AH241" s="1548"/>
      <c r="AI241" s="1548"/>
      <c r="AJ241" s="1548"/>
      <c r="AK241" s="1548"/>
      <c r="AZ241" s="3"/>
      <c r="BA241" s="3"/>
      <c r="BB241" s="137" t="s">
        <v>1070</v>
      </c>
      <c r="BG241" s="166">
        <f>IF(AND(AND($M$258="nonprofit",$M$266="nonprofit",$M$274="for profit")),2,0)</f>
        <v>0</v>
      </c>
    </row>
    <row r="242" spans="1:67" ht="12.95" customHeight="1">
      <c r="D242" s="3" t="s">
        <v>1076</v>
      </c>
      <c r="E242" s="3"/>
      <c r="F242" s="3"/>
      <c r="G242" s="3"/>
      <c r="H242" s="3"/>
      <c r="I242" s="3"/>
      <c r="J242" s="3"/>
      <c r="K242" s="3"/>
      <c r="M242" s="1444" t="s">
        <v>1077</v>
      </c>
      <c r="N242" s="1444"/>
      <c r="O242" s="1444"/>
      <c r="P242" s="1444"/>
      <c r="Q242" s="1444"/>
      <c r="R242" s="1444"/>
      <c r="S242" s="1444"/>
      <c r="T242" s="1444"/>
      <c r="U242" s="1444"/>
      <c r="V242" s="1444"/>
      <c r="W242" s="1444"/>
      <c r="X242" s="1444"/>
      <c r="Y242" s="1444"/>
      <c r="Z242" s="1444"/>
      <c r="AA242" s="1444"/>
      <c r="AB242" s="1444"/>
      <c r="AC242" s="1444"/>
      <c r="AD242" s="1444"/>
      <c r="AE242" s="1444"/>
      <c r="BB242" s="137" t="s">
        <v>1070</v>
      </c>
      <c r="BG242" s="166">
        <f>IF(AND(AND($M$258="nonprofit",$M$266="for profit",$M$274="nonprofit")),2,0)</f>
        <v>0</v>
      </c>
    </row>
    <row r="243" spans="1:67" ht="12.95" customHeight="1">
      <c r="D243" s="3" t="s">
        <v>942</v>
      </c>
      <c r="E243" s="3"/>
      <c r="M243" s="1444" t="s">
        <v>963</v>
      </c>
      <c r="N243" s="1444"/>
      <c r="O243" s="1444"/>
      <c r="P243" s="1444"/>
      <c r="Q243" s="1444"/>
      <c r="R243" s="1444"/>
      <c r="S243" s="1444"/>
      <c r="T243" s="1444"/>
      <c r="V243" s="918" t="s">
        <v>1078</v>
      </c>
      <c r="W243" s="1354" t="s">
        <v>1079</v>
      </c>
      <c r="X243" s="1354"/>
      <c r="Y243" s="3" t="s">
        <v>946</v>
      </c>
      <c r="AC243" s="1444">
        <v>92108</v>
      </c>
      <c r="AD243" s="1444"/>
      <c r="AE243" s="1444"/>
      <c r="AU243" s="3"/>
      <c r="AV243" s="3"/>
      <c r="AW243" s="3"/>
      <c r="AX243" s="3"/>
      <c r="AY243" s="3"/>
      <c r="AZ243" s="3"/>
      <c r="BB243" s="137" t="s">
        <v>1070</v>
      </c>
      <c r="BG243" s="165">
        <f>IF(AND(AND($M$258="for profit",$M$266="nonprofit",$M$274="nonprofit")),2,0)</f>
        <v>0</v>
      </c>
    </row>
    <row r="244" spans="1:67" ht="12.95" customHeight="1">
      <c r="D244" s="3" t="s">
        <v>1080</v>
      </c>
      <c r="E244" s="3"/>
      <c r="F244" s="3"/>
      <c r="G244" s="3"/>
      <c r="H244" s="3"/>
      <c r="I244" s="3"/>
      <c r="J244" s="3"/>
      <c r="K244" s="1163"/>
      <c r="M244" s="1444" t="s">
        <v>1081</v>
      </c>
      <c r="N244" s="1444"/>
      <c r="O244" s="1444"/>
      <c r="P244" s="1444"/>
      <c r="Q244" s="1444"/>
      <c r="R244" s="1444"/>
      <c r="S244" s="1444"/>
      <c r="T244" s="1444"/>
      <c r="U244" s="1444"/>
      <c r="V244" s="1444"/>
      <c r="W244" s="1444"/>
      <c r="X244" s="1444"/>
      <c r="Y244" s="1444"/>
      <c r="Z244" s="1444"/>
      <c r="AA244" s="1444"/>
      <c r="AB244" s="1444"/>
      <c r="AC244" s="1444"/>
      <c r="AD244" s="1444"/>
      <c r="AE244" s="1444"/>
      <c r="AI244" s="3"/>
      <c r="AJ244" s="3"/>
      <c r="AK244" s="3"/>
      <c r="AL244" s="3"/>
      <c r="AM244" s="3"/>
      <c r="AN244" s="3"/>
      <c r="AO244" s="3"/>
      <c r="AP244" s="3"/>
      <c r="AQ244" s="3"/>
      <c r="AR244" s="3"/>
      <c r="AS244" s="3"/>
      <c r="AT244" s="3"/>
      <c r="BB244" s="137"/>
      <c r="BG244" s="136"/>
    </row>
    <row r="245" spans="1:67" ht="12.95" customHeight="1">
      <c r="D245" s="3" t="s">
        <v>1082</v>
      </c>
      <c r="E245" s="3"/>
      <c r="F245" s="3"/>
      <c r="M245" s="1564" t="s">
        <v>1083</v>
      </c>
      <c r="N245" s="1564"/>
      <c r="O245" s="1564"/>
      <c r="P245" s="1564"/>
      <c r="Q245" s="1564"/>
      <c r="R245" s="1564"/>
      <c r="S245" s="3" t="s">
        <v>1084</v>
      </c>
      <c r="T245" s="3"/>
      <c r="U245" s="1354"/>
      <c r="V245" s="1354"/>
      <c r="W245" s="1354"/>
      <c r="X245" s="3" t="s">
        <v>1085</v>
      </c>
      <c r="Z245" s="1564"/>
      <c r="AA245" s="1564"/>
      <c r="AB245" s="1564"/>
      <c r="AC245" s="1564"/>
      <c r="AD245" s="1564"/>
      <c r="AE245" s="1564"/>
      <c r="AU245" s="3"/>
      <c r="AV245" s="3"/>
      <c r="AW245" s="3"/>
      <c r="AX245" s="3"/>
      <c r="AY245" s="3"/>
      <c r="AZ245" s="3"/>
      <c r="BB245" s="136" t="s">
        <v>1086</v>
      </c>
      <c r="BG245" s="166">
        <f>IF(AND(AND($M$258="nonprofit",$M$266="nonprofit",$M$274="(select one)")),1,0)</f>
        <v>0</v>
      </c>
    </row>
    <row r="246" spans="1:67" ht="12.95" customHeight="1">
      <c r="D246" s="3" t="s">
        <v>1087</v>
      </c>
      <c r="E246" s="3"/>
      <c r="F246" s="3"/>
      <c r="M246" s="1696" t="s">
        <v>1088</v>
      </c>
      <c r="N246" s="1696"/>
      <c r="O246" s="1696"/>
      <c r="P246" s="1696"/>
      <c r="Q246" s="1696"/>
      <c r="R246" s="1696"/>
      <c r="S246" s="1696"/>
      <c r="T246" s="1696"/>
      <c r="U246" s="1696"/>
      <c r="V246" s="1696"/>
      <c r="W246" s="1696"/>
      <c r="X246" s="1696"/>
      <c r="Y246" s="1696"/>
      <c r="Z246" s="1696"/>
      <c r="AA246" s="1696"/>
      <c r="AB246" s="1696"/>
      <c r="AC246" s="1696"/>
      <c r="AD246" s="1696"/>
      <c r="AE246" s="1696"/>
      <c r="AF246" s="3"/>
      <c r="AG246" s="3"/>
      <c r="AH246" s="3"/>
      <c r="AI246" s="3"/>
      <c r="AJ246" s="3"/>
      <c r="AK246" s="3"/>
      <c r="AL246" s="3"/>
      <c r="AM246" s="3"/>
      <c r="AN246" s="3"/>
      <c r="AO246" s="3"/>
      <c r="AP246" s="3"/>
      <c r="AQ246" s="3"/>
      <c r="AR246" s="3"/>
      <c r="AS246" s="3"/>
      <c r="AT246" s="3"/>
      <c r="AU246" s="3"/>
      <c r="AV246" s="3"/>
      <c r="AW246" s="3"/>
      <c r="AX246" s="3"/>
      <c r="AY246" s="3"/>
      <c r="BB246" s="136" t="s">
        <v>1086</v>
      </c>
      <c r="BG246" s="166">
        <f>IF(AND(AND($M$258="nonprofit",$M$266="nonprofit",$M$274="nonprofit")),1,0)</f>
        <v>0</v>
      </c>
    </row>
    <row r="247" spans="1:67" ht="12.95" customHeight="1">
      <c r="A247" s="2" t="s">
        <v>1000</v>
      </c>
      <c r="C247" s="2" t="s">
        <v>1089</v>
      </c>
      <c r="M247" s="1431" t="s">
        <v>1055</v>
      </c>
      <c r="N247" s="1431"/>
      <c r="O247" s="1431"/>
      <c r="P247" s="1431"/>
      <c r="Q247" s="1431"/>
      <c r="R247" s="1431"/>
      <c r="S247" s="1431"/>
      <c r="T247" s="1431"/>
      <c r="U247" s="136" t="s">
        <v>1090</v>
      </c>
      <c r="V247" s="136"/>
      <c r="W247" s="136"/>
      <c r="X247" s="136"/>
      <c r="Y247" s="136"/>
      <c r="Z247" s="136"/>
      <c r="AA247" s="1704" t="s">
        <v>1091</v>
      </c>
      <c r="AB247" s="1692"/>
      <c r="AC247" s="1692"/>
      <c r="AD247" s="1692"/>
      <c r="AE247" s="1692"/>
      <c r="AF247" s="1692"/>
      <c r="AG247" s="1692"/>
      <c r="AH247" s="1692"/>
      <c r="AI247" s="1692"/>
      <c r="AJ247" s="1692"/>
      <c r="AK247" s="1692"/>
      <c r="AL247" s="3"/>
      <c r="AM247" s="3"/>
      <c r="AN247" s="3"/>
      <c r="AO247" s="3"/>
      <c r="AP247" s="3"/>
      <c r="AQ247" s="3"/>
      <c r="AR247" s="3"/>
      <c r="AS247" s="3"/>
      <c r="AT247" s="3"/>
      <c r="AU247" s="3"/>
      <c r="AV247" s="3"/>
      <c r="AW247" s="3"/>
      <c r="AX247" s="3"/>
      <c r="AY247" s="3"/>
      <c r="BB247" s="136" t="s">
        <v>1086</v>
      </c>
      <c r="BG247" s="166">
        <f>IF(AND(AND($M$258="nonprofit",$M$266="(select one)",$M$274="(select one)")),1,0)</f>
        <v>1</v>
      </c>
    </row>
    <row r="248" spans="1:67" ht="12.95" customHeight="1">
      <c r="D248" t="s">
        <v>1092</v>
      </c>
      <c r="M248" s="1450"/>
      <c r="N248" s="1450"/>
      <c r="O248" s="1450"/>
      <c r="P248" s="1450"/>
      <c r="Q248" s="1450"/>
      <c r="R248" s="1450"/>
      <c r="S248" s="1450"/>
      <c r="T248" s="1450"/>
      <c r="U248" s="1450"/>
      <c r="V248" s="1450"/>
      <c r="W248" s="1450"/>
      <c r="X248" s="1450"/>
      <c r="Y248" s="1450"/>
      <c r="Z248" s="1450"/>
      <c r="AA248" s="1450"/>
      <c r="AB248" s="1450"/>
      <c r="AC248" s="1450"/>
      <c r="AD248" s="1450"/>
      <c r="AE248" s="1450"/>
      <c r="AF248" s="3"/>
      <c r="AG248" s="3"/>
      <c r="AH248" s="3"/>
      <c r="AI248" s="3"/>
      <c r="AJ248" s="3"/>
      <c r="AK248" s="3"/>
      <c r="AL248" s="3"/>
      <c r="AM248" s="3"/>
      <c r="AN248" s="3"/>
      <c r="AO248" s="3"/>
      <c r="AP248" s="3"/>
      <c r="AQ248" s="3"/>
      <c r="AR248" s="3"/>
      <c r="AS248" s="3"/>
      <c r="AT248" s="3"/>
      <c r="BB248" s="136" t="s">
        <v>1093</v>
      </c>
      <c r="BG248" s="166">
        <f>IF(AND(AND($M$258="for profit",$M$266="for profit",$M$274="(select one)")),3,0)</f>
        <v>0</v>
      </c>
    </row>
    <row r="249" spans="1:67" ht="12.95" customHeight="1">
      <c r="D249" s="3"/>
      <c r="BB249" s="136" t="s">
        <v>1093</v>
      </c>
      <c r="BG249" s="166">
        <f>IF(AND(AND($M$258="for profit",$M$266="for profit",$M$274="for profit")),3,0)</f>
        <v>0</v>
      </c>
    </row>
    <row r="250" spans="1:67" ht="12.95" customHeight="1">
      <c r="A250" s="2" t="s">
        <v>1018</v>
      </c>
      <c r="C250" s="2" t="s">
        <v>1094</v>
      </c>
      <c r="D250" s="3"/>
      <c r="L250" s="7"/>
      <c r="M250" s="7"/>
      <c r="N250" s="7"/>
      <c r="AU250" s="3"/>
      <c r="AV250" s="3"/>
      <c r="AW250" s="3"/>
      <c r="AX250" s="3"/>
      <c r="AY250" s="3"/>
      <c r="BB250" s="136" t="s">
        <v>1093</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1095</v>
      </c>
      <c r="D252" s="3" t="s">
        <v>1096</v>
      </c>
      <c r="E252" s="3"/>
      <c r="F252" s="3"/>
      <c r="G252" s="3"/>
      <c r="H252" s="3"/>
      <c r="I252" s="3"/>
      <c r="J252" s="3"/>
      <c r="K252" s="3"/>
      <c r="L252" s="3"/>
      <c r="M252" s="1446" t="s">
        <v>1097</v>
      </c>
      <c r="N252" s="1446"/>
      <c r="O252" s="1446"/>
      <c r="P252" s="1446"/>
      <c r="Q252" s="1446"/>
      <c r="R252" s="1446"/>
      <c r="S252" s="1446"/>
      <c r="T252" s="1446"/>
      <c r="U252" s="1446"/>
      <c r="V252" s="1446"/>
      <c r="W252" s="1446"/>
      <c r="X252" s="1446"/>
      <c r="Y252" s="1446"/>
      <c r="Z252" s="1446"/>
      <c r="AA252" s="1446"/>
      <c r="AB252" s="1446"/>
      <c r="AC252" s="1446"/>
      <c r="AD252" s="1446"/>
      <c r="AE252" s="1446"/>
      <c r="AF252" s="1446" t="s">
        <v>1098</v>
      </c>
      <c r="AG252" s="1446"/>
      <c r="AH252" s="1446"/>
      <c r="AI252" s="1446"/>
      <c r="AJ252" s="1446"/>
      <c r="AK252" s="1446"/>
      <c r="AU252" s="3"/>
      <c r="AV252" s="3"/>
      <c r="AW252" s="3"/>
      <c r="AX252" s="3"/>
      <c r="AY252" s="3"/>
      <c r="BG252">
        <f>SUM(BG235:BG250)</f>
        <v>1</v>
      </c>
    </row>
    <row r="253" spans="1:67" ht="12.95" customHeight="1">
      <c r="A253" s="1163"/>
      <c r="B253" s="3"/>
      <c r="C253" s="3"/>
      <c r="D253" s="3" t="s">
        <v>1076</v>
      </c>
      <c r="E253" s="3"/>
      <c r="F253" s="3"/>
      <c r="G253" s="3"/>
      <c r="H253" s="3"/>
      <c r="I253" s="3"/>
      <c r="J253" s="3"/>
      <c r="K253" s="3"/>
      <c r="L253" s="3"/>
      <c r="M253" s="1354" t="s">
        <v>1077</v>
      </c>
      <c r="N253" s="1354"/>
      <c r="O253" s="1354"/>
      <c r="P253" s="1354"/>
      <c r="Q253" s="1354"/>
      <c r="R253" s="1354"/>
      <c r="S253" s="1354"/>
      <c r="T253" s="1354"/>
      <c r="U253" s="1354"/>
      <c r="V253" s="1354"/>
      <c r="W253" s="1354"/>
      <c r="X253" s="1354"/>
      <c r="Y253" s="1354"/>
      <c r="Z253" s="1354"/>
      <c r="AA253" s="1354"/>
      <c r="AB253" s="1354"/>
      <c r="AC253" s="1354"/>
      <c r="AD253" s="1354"/>
      <c r="AE253" s="1354"/>
      <c r="AF253" s="3" t="s">
        <v>1099</v>
      </c>
      <c r="AL253" s="3"/>
      <c r="AM253" s="3"/>
      <c r="AN253" s="3"/>
      <c r="AO253" s="3"/>
      <c r="AP253" s="3"/>
      <c r="AQ253" s="3"/>
      <c r="AR253" s="3"/>
      <c r="AS253" s="3"/>
      <c r="AT253" s="3"/>
      <c r="BB253" t="s">
        <v>348</v>
      </c>
      <c r="BG253">
        <v>1</v>
      </c>
      <c r="BH253" t="s">
        <v>1100</v>
      </c>
    </row>
    <row r="254" spans="1:67" ht="12.95" customHeight="1">
      <c r="A254" s="1163"/>
      <c r="B254" s="3"/>
      <c r="C254" s="3"/>
      <c r="D254" s="3" t="s">
        <v>942</v>
      </c>
      <c r="E254" s="3"/>
      <c r="M254" s="1444" t="s">
        <v>963</v>
      </c>
      <c r="N254" s="1444"/>
      <c r="O254" s="1444"/>
      <c r="P254" s="1444"/>
      <c r="Q254" s="1444"/>
      <c r="R254" s="1444"/>
      <c r="S254" s="1444"/>
      <c r="T254" s="1444"/>
      <c r="V254" s="918" t="s">
        <v>1078</v>
      </c>
      <c r="W254" s="1354" t="s">
        <v>1079</v>
      </c>
      <c r="X254" s="1354"/>
      <c r="Y254" s="3" t="s">
        <v>946</v>
      </c>
      <c r="AC254" s="1444">
        <v>92108</v>
      </c>
      <c r="AD254" s="1444"/>
      <c r="AE254" s="1444"/>
      <c r="AF254" s="3" t="s">
        <v>1101</v>
      </c>
      <c r="AU254" s="3"/>
      <c r="AV254" s="3"/>
      <c r="AW254" s="3"/>
      <c r="AX254" s="3"/>
      <c r="AY254" s="3"/>
      <c r="BB254" s="3" t="s">
        <v>1102</v>
      </c>
      <c r="BG254">
        <v>2</v>
      </c>
      <c r="BH254" t="s">
        <v>1054</v>
      </c>
      <c r="BO254" s="1164" t="str">
        <f>VLOOKUP(BG252,BG253:BH256,2,FALSE)</f>
        <v>Nonprofit</v>
      </c>
    </row>
    <row r="255" spans="1:67" ht="12.95" customHeight="1">
      <c r="A255" s="1163"/>
      <c r="B255" s="3"/>
      <c r="C255" s="3"/>
      <c r="D255" s="3" t="s">
        <v>1080</v>
      </c>
      <c r="E255" s="3"/>
      <c r="F255" s="3"/>
      <c r="G255" s="3"/>
      <c r="H255" s="3"/>
      <c r="I255" s="3"/>
      <c r="J255" s="3"/>
      <c r="K255" s="3"/>
      <c r="L255" s="1163"/>
      <c r="M255" s="1444" t="s">
        <v>1081</v>
      </c>
      <c r="N255" s="1444"/>
      <c r="O255" s="1444"/>
      <c r="P255" s="1444"/>
      <c r="Q255" s="1444"/>
      <c r="R255" s="1444"/>
      <c r="S255" s="1444"/>
      <c r="T255" s="1444"/>
      <c r="U255" s="1444"/>
      <c r="V255" s="1444"/>
      <c r="W255" s="1444"/>
      <c r="X255" s="1444"/>
      <c r="Y255" s="1444"/>
      <c r="Z255" s="1444"/>
      <c r="AA255" s="1444"/>
      <c r="AB255" s="1444"/>
      <c r="AC255" s="1444"/>
      <c r="AD255" s="1444"/>
      <c r="AE255" s="1444"/>
      <c r="AH255" s="1694">
        <v>0.1</v>
      </c>
      <c r="AI255" s="1694"/>
      <c r="AJ255" s="1694"/>
      <c r="AK255" s="1694"/>
      <c r="AL255" s="3"/>
      <c r="AM255" s="3"/>
      <c r="AN255" s="3"/>
      <c r="AO255" s="3"/>
      <c r="AP255" s="3"/>
      <c r="AQ255" s="3"/>
      <c r="AR255" s="3"/>
      <c r="AS255" s="3"/>
      <c r="AT255" s="3"/>
      <c r="BB255" s="3" t="s">
        <v>1103</v>
      </c>
      <c r="BG255">
        <v>3</v>
      </c>
      <c r="BH255" t="s">
        <v>1104</v>
      </c>
      <c r="BN255" s="3"/>
    </row>
    <row r="256" spans="1:67" ht="12.95" customHeight="1">
      <c r="A256" s="1163"/>
      <c r="B256" s="3"/>
      <c r="C256" s="3"/>
      <c r="D256" s="3" t="s">
        <v>1082</v>
      </c>
      <c r="E256" s="3"/>
      <c r="F256" s="3"/>
      <c r="M256" s="1564" t="s">
        <v>1083</v>
      </c>
      <c r="N256" s="1564"/>
      <c r="O256" s="1564"/>
      <c r="P256" s="1564"/>
      <c r="Q256" s="1564"/>
      <c r="R256" s="1564"/>
      <c r="S256" s="3" t="s">
        <v>1084</v>
      </c>
      <c r="T256" s="3"/>
      <c r="U256" s="1354"/>
      <c r="V256" s="1354"/>
      <c r="W256" s="1354"/>
      <c r="X256" s="3" t="s">
        <v>1085</v>
      </c>
      <c r="Z256" s="1564"/>
      <c r="AA256" s="1564"/>
      <c r="AB256" s="1564"/>
      <c r="AC256" s="1564"/>
      <c r="AD256" s="1564"/>
      <c r="AE256" s="1564"/>
      <c r="AU256" s="3"/>
      <c r="AV256" s="3"/>
      <c r="AW256" s="3"/>
      <c r="AX256" s="3"/>
      <c r="AY256" s="3"/>
      <c r="BG256">
        <v>0</v>
      </c>
      <c r="BH256" s="3" t="str">
        <f>""</f>
        <v/>
      </c>
      <c r="BN256" s="3"/>
    </row>
    <row r="257" spans="1:66" ht="12.95" customHeight="1">
      <c r="A257" s="1163"/>
      <c r="B257" s="3"/>
      <c r="C257" s="3"/>
      <c r="D257" s="3" t="s">
        <v>1087</v>
      </c>
      <c r="E257" s="3"/>
      <c r="F257" s="3"/>
      <c r="M257" s="1696" t="s">
        <v>1088</v>
      </c>
      <c r="N257" s="1696"/>
      <c r="O257" s="1696"/>
      <c r="P257" s="1696"/>
      <c r="Q257" s="1696"/>
      <c r="R257" s="1696"/>
      <c r="S257" s="1696"/>
      <c r="T257" s="1696"/>
      <c r="U257" s="1696"/>
      <c r="V257" s="1696"/>
      <c r="W257" s="1696"/>
      <c r="X257" s="1696"/>
      <c r="Y257" s="1696"/>
      <c r="Z257" s="1696"/>
      <c r="AA257" s="1696"/>
      <c r="AB257" s="1696"/>
      <c r="AC257" s="1696"/>
      <c r="AD257" s="1696"/>
      <c r="AE257" s="1696"/>
      <c r="AG257" s="3"/>
      <c r="AH257" s="3"/>
      <c r="AI257" s="3"/>
      <c r="AJ257" s="3"/>
      <c r="AK257" s="3"/>
      <c r="AL257" s="3"/>
      <c r="AM257" s="3"/>
      <c r="AN257" s="3"/>
      <c r="AO257" s="3"/>
      <c r="AP257" s="3"/>
      <c r="AQ257" s="3"/>
      <c r="AR257" s="3"/>
      <c r="AS257" s="3"/>
      <c r="AT257" s="3"/>
      <c r="BN257" s="3"/>
    </row>
    <row r="258" spans="1:66" ht="12.95" customHeight="1">
      <c r="A258" s="12"/>
      <c r="B258" s="3"/>
      <c r="C258" s="48"/>
      <c r="D258" s="3" t="s">
        <v>1105</v>
      </c>
      <c r="E258" s="3"/>
      <c r="F258" s="3"/>
      <c r="G258" s="3"/>
      <c r="H258" s="3"/>
      <c r="I258" s="3"/>
      <c r="J258" s="3"/>
      <c r="K258" s="3"/>
      <c r="L258" s="3"/>
      <c r="M258" s="1431" t="s">
        <v>1100</v>
      </c>
      <c r="N258" s="1431"/>
      <c r="O258" s="1431"/>
      <c r="P258" s="1431"/>
      <c r="Q258" s="1431"/>
      <c r="R258" s="1431"/>
      <c r="S258" s="1431"/>
      <c r="T258" s="1431"/>
      <c r="U258" s="136" t="s">
        <v>1090</v>
      </c>
      <c r="V258" s="136"/>
      <c r="W258" s="136"/>
      <c r="X258" s="136"/>
      <c r="Y258" s="136"/>
      <c r="Z258" s="136"/>
      <c r="AA258" s="1704" t="s">
        <v>1091</v>
      </c>
      <c r="AB258" s="1692"/>
      <c r="AC258" s="1692"/>
      <c r="AD258" s="1692"/>
      <c r="AE258" s="1692"/>
      <c r="AF258" s="1692"/>
      <c r="AG258" s="1692"/>
      <c r="AH258" s="1692"/>
      <c r="AI258" s="1692"/>
      <c r="AJ258" s="1692"/>
      <c r="AK258" s="1692"/>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1106</v>
      </c>
      <c r="D260" s="3" t="s">
        <v>1107</v>
      </c>
      <c r="E260" s="3"/>
      <c r="F260" s="3"/>
      <c r="G260" s="3"/>
      <c r="H260" s="3"/>
      <c r="I260" s="3"/>
      <c r="J260" s="3"/>
      <c r="K260" s="3"/>
      <c r="L260" s="3"/>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1446" t="s">
        <v>348</v>
      </c>
      <c r="AG260" s="1446"/>
      <c r="AH260" s="1446"/>
      <c r="AI260" s="1446"/>
      <c r="AJ260" s="1446"/>
      <c r="AK260" s="1446"/>
      <c r="AU260" s="3"/>
      <c r="AV260" s="3"/>
      <c r="AW260" s="3"/>
      <c r="AX260" s="3"/>
      <c r="AY260" s="3"/>
      <c r="BN260" s="3"/>
    </row>
    <row r="261" spans="1:66" ht="12.95" customHeight="1">
      <c r="A261" s="1163"/>
      <c r="B261" s="3"/>
      <c r="C261" s="3"/>
      <c r="D261" s="3" t="s">
        <v>1076</v>
      </c>
      <c r="E261" s="3"/>
      <c r="F261" s="3"/>
      <c r="G261" s="3"/>
      <c r="H261" s="3"/>
      <c r="I261" s="3"/>
      <c r="J261" s="3"/>
      <c r="K261" s="3"/>
      <c r="L261" s="3"/>
      <c r="M261" s="1444"/>
      <c r="N261" s="1444"/>
      <c r="O261" s="1444"/>
      <c r="P261" s="1444"/>
      <c r="Q261" s="1444"/>
      <c r="R261" s="1444"/>
      <c r="S261" s="1444"/>
      <c r="T261" s="1444"/>
      <c r="U261" s="1444"/>
      <c r="V261" s="1444"/>
      <c r="W261" s="1444"/>
      <c r="X261" s="1444"/>
      <c r="Y261" s="1444"/>
      <c r="Z261" s="1444"/>
      <c r="AA261" s="1444"/>
      <c r="AB261" s="1444"/>
      <c r="AC261" s="1444"/>
      <c r="AD261" s="1444"/>
      <c r="AE261" s="1444"/>
      <c r="AF261" s="3" t="s">
        <v>1099</v>
      </c>
      <c r="AL261" s="3"/>
      <c r="AM261" s="3"/>
      <c r="AN261" s="3"/>
      <c r="AO261" s="3"/>
      <c r="AP261" s="3"/>
      <c r="AQ261" s="3"/>
      <c r="AR261" s="3"/>
      <c r="AS261" s="3"/>
      <c r="AT261" s="3"/>
      <c r="BN261" s="3"/>
    </row>
    <row r="262" spans="1:66" ht="12.95" customHeight="1">
      <c r="A262" s="1163"/>
      <c r="B262" s="3"/>
      <c r="C262" s="3"/>
      <c r="D262" s="3" t="s">
        <v>942</v>
      </c>
      <c r="E262" s="3"/>
      <c r="M262" s="1444"/>
      <c r="N262" s="1444"/>
      <c r="O262" s="1444"/>
      <c r="P262" s="1444"/>
      <c r="Q262" s="1444"/>
      <c r="R262" s="1444"/>
      <c r="S262" s="1444"/>
      <c r="T262" s="1444"/>
      <c r="V262" s="918" t="s">
        <v>1078</v>
      </c>
      <c r="W262" s="1354"/>
      <c r="X262" s="1354"/>
      <c r="Y262" s="3" t="s">
        <v>946</v>
      </c>
      <c r="AC262" s="1444"/>
      <c r="AD262" s="1444"/>
      <c r="AE262" s="1444"/>
      <c r="AF262" s="3" t="s">
        <v>1101</v>
      </c>
      <c r="AU262" s="3"/>
      <c r="AV262" s="3"/>
      <c r="AW262" s="3"/>
      <c r="AX262" s="3"/>
      <c r="AY262" s="3"/>
      <c r="BN262" s="3"/>
    </row>
    <row r="263" spans="1:66" ht="12.95" customHeight="1">
      <c r="A263" s="1163"/>
      <c r="B263" s="3"/>
      <c r="C263" s="3"/>
      <c r="D263" s="3" t="s">
        <v>1080</v>
      </c>
      <c r="E263" s="3"/>
      <c r="F263" s="3"/>
      <c r="G263" s="3"/>
      <c r="H263" s="3"/>
      <c r="I263" s="3"/>
      <c r="J263" s="3"/>
      <c r="K263" s="3"/>
      <c r="L263" s="1163"/>
      <c r="M263" s="1444"/>
      <c r="N263" s="1444"/>
      <c r="O263" s="1444"/>
      <c r="P263" s="1444"/>
      <c r="Q263" s="1444"/>
      <c r="R263" s="1444"/>
      <c r="S263" s="1444"/>
      <c r="T263" s="1444"/>
      <c r="U263" s="1444"/>
      <c r="V263" s="1444"/>
      <c r="W263" s="1444"/>
      <c r="X263" s="1444"/>
      <c r="Y263" s="1444"/>
      <c r="Z263" s="1444"/>
      <c r="AA263" s="1444"/>
      <c r="AB263" s="1444"/>
      <c r="AC263" s="1444"/>
      <c r="AD263" s="1444"/>
      <c r="AE263" s="1444"/>
      <c r="AH263" s="1694"/>
      <c r="AI263" s="1694"/>
      <c r="AJ263" s="1694"/>
      <c r="AK263" s="1694"/>
      <c r="AL263" s="3"/>
      <c r="AM263" s="3"/>
      <c r="AN263" s="3"/>
      <c r="AO263" s="3"/>
      <c r="AP263" s="3"/>
      <c r="AQ263" s="3"/>
      <c r="AR263" s="3"/>
      <c r="AS263" s="3"/>
      <c r="AT263" s="3"/>
    </row>
    <row r="264" spans="1:66" ht="12.95" customHeight="1">
      <c r="A264" s="1163"/>
      <c r="B264" s="3"/>
      <c r="C264" s="3"/>
      <c r="D264" s="3" t="s">
        <v>1082</v>
      </c>
      <c r="E264" s="3"/>
      <c r="F264" s="3"/>
      <c r="M264" s="1564"/>
      <c r="N264" s="1564"/>
      <c r="O264" s="1564"/>
      <c r="P264" s="1564"/>
      <c r="Q264" s="1564"/>
      <c r="R264" s="1564"/>
      <c r="S264" s="3" t="s">
        <v>1084</v>
      </c>
      <c r="T264" s="3"/>
      <c r="U264" s="1354"/>
      <c r="V264" s="1354"/>
      <c r="W264" s="1354"/>
      <c r="X264" s="3" t="s">
        <v>1085</v>
      </c>
      <c r="Z264" s="1564"/>
      <c r="AA264" s="1564"/>
      <c r="AB264" s="1564"/>
      <c r="AC264" s="1564"/>
      <c r="AD264" s="1564"/>
      <c r="AE264" s="1564"/>
      <c r="AU264" s="3"/>
      <c r="AV264" s="3"/>
      <c r="AW264" s="3"/>
      <c r="AX264" s="3"/>
      <c r="AY264" s="3"/>
      <c r="BN264" s="3"/>
    </row>
    <row r="265" spans="1:66" ht="12.95" customHeight="1">
      <c r="A265" s="1163"/>
      <c r="B265" s="3"/>
      <c r="C265" s="3"/>
      <c r="D265" s="3" t="s">
        <v>1087</v>
      </c>
      <c r="E265" s="3"/>
      <c r="F265" s="3"/>
      <c r="M265" s="1696"/>
      <c r="N265" s="1696"/>
      <c r="O265" s="1696"/>
      <c r="P265" s="1696"/>
      <c r="Q265" s="1696"/>
      <c r="R265" s="1696"/>
      <c r="S265" s="1696"/>
      <c r="T265" s="1696"/>
      <c r="U265" s="1696"/>
      <c r="V265" s="1696"/>
      <c r="W265" s="1696"/>
      <c r="X265" s="1696"/>
      <c r="Y265" s="1696"/>
      <c r="Z265" s="1696"/>
      <c r="AA265" s="1696"/>
      <c r="AB265" s="1696"/>
      <c r="AC265" s="1696"/>
      <c r="AD265" s="1696"/>
      <c r="AE265" s="1696"/>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1105</v>
      </c>
      <c r="E266" s="3"/>
      <c r="F266" s="3"/>
      <c r="G266" s="3"/>
      <c r="H266" s="3"/>
      <c r="I266" s="3"/>
      <c r="J266" s="3"/>
      <c r="K266" s="3"/>
      <c r="L266" s="3"/>
      <c r="M266" s="1431" t="s">
        <v>348</v>
      </c>
      <c r="N266" s="1431"/>
      <c r="O266" s="1431"/>
      <c r="P266" s="1431"/>
      <c r="Q266" s="1431"/>
      <c r="R266" s="1431"/>
      <c r="S266" s="1431"/>
      <c r="T266" s="1431"/>
      <c r="U266" s="136" t="s">
        <v>1090</v>
      </c>
      <c r="V266" s="136"/>
      <c r="W266" s="136"/>
      <c r="X266" s="136"/>
      <c r="Y266" s="136"/>
      <c r="Z266" s="136"/>
      <c r="AA266" s="1692"/>
      <c r="AB266" s="1692"/>
      <c r="AC266" s="1692"/>
      <c r="AD266" s="1692"/>
      <c r="AE266" s="1692"/>
      <c r="AF266" s="1692"/>
      <c r="AG266" s="1692"/>
      <c r="AH266" s="1692"/>
      <c r="AI266" s="1692"/>
      <c r="AJ266" s="1692"/>
      <c r="AK266" s="1692"/>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1108</v>
      </c>
      <c r="D268" s="3" t="s">
        <v>1096</v>
      </c>
      <c r="E268" s="3"/>
      <c r="F268" s="3"/>
      <c r="G268" s="3"/>
      <c r="H268" s="3"/>
      <c r="I268" s="3"/>
      <c r="J268" s="3"/>
      <c r="K268" s="3"/>
      <c r="L268" s="3"/>
      <c r="M268" s="1446"/>
      <c r="N268" s="1446"/>
      <c r="O268" s="1446"/>
      <c r="P268" s="1446"/>
      <c r="Q268" s="1446"/>
      <c r="R268" s="1446"/>
      <c r="S268" s="1446"/>
      <c r="T268" s="1446"/>
      <c r="U268" s="1446"/>
      <c r="V268" s="1446"/>
      <c r="W268" s="1446"/>
      <c r="X268" s="1446"/>
      <c r="Y268" s="1446"/>
      <c r="Z268" s="1446"/>
      <c r="AA268" s="1446"/>
      <c r="AB268" s="1446"/>
      <c r="AC268" s="1446"/>
      <c r="AD268" s="1446"/>
      <c r="AE268" s="1446"/>
      <c r="AF268" s="1446" t="s">
        <v>348</v>
      </c>
      <c r="AG268" s="1446"/>
      <c r="AH268" s="1446"/>
      <c r="AI268" s="1446"/>
      <c r="AJ268" s="1446"/>
      <c r="AK268" s="1446"/>
      <c r="AL268" s="3"/>
      <c r="AM268" s="3"/>
      <c r="AN268" s="3"/>
      <c r="AO268" s="3"/>
      <c r="AP268" s="3"/>
      <c r="AQ268" s="3"/>
      <c r="AR268" s="3"/>
      <c r="AS268" s="3"/>
      <c r="AT268" s="3"/>
      <c r="AU268" s="3"/>
      <c r="AV268" s="3"/>
      <c r="AW268" s="3"/>
      <c r="AX268" s="3"/>
      <c r="AY268" s="3"/>
    </row>
    <row r="269" spans="1:66" ht="12.95" customHeight="1">
      <c r="A269" s="12"/>
      <c r="B269" s="3"/>
      <c r="C269" s="3"/>
      <c r="D269" s="3" t="s">
        <v>1076</v>
      </c>
      <c r="E269" s="3"/>
      <c r="F269" s="3"/>
      <c r="G269" s="3"/>
      <c r="H269" s="3"/>
      <c r="I269" s="3"/>
      <c r="J269" s="3"/>
      <c r="K269" s="3"/>
      <c r="L269" s="3"/>
      <c r="M269" s="1444"/>
      <c r="N269" s="1444"/>
      <c r="O269" s="1444"/>
      <c r="P269" s="1444"/>
      <c r="Q269" s="1444"/>
      <c r="R269" s="1444"/>
      <c r="S269" s="1444"/>
      <c r="T269" s="1444"/>
      <c r="U269" s="1444"/>
      <c r="V269" s="1444"/>
      <c r="W269" s="1444"/>
      <c r="X269" s="1444"/>
      <c r="Y269" s="1444"/>
      <c r="Z269" s="1444"/>
      <c r="AA269" s="1444"/>
      <c r="AB269" s="1444"/>
      <c r="AC269" s="1444"/>
      <c r="AD269" s="1444"/>
      <c r="AE269" s="1444"/>
      <c r="AF269" s="3" t="s">
        <v>1099</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444"/>
      <c r="N270" s="1444"/>
      <c r="O270" s="1444"/>
      <c r="P270" s="1444"/>
      <c r="Q270" s="1444"/>
      <c r="R270" s="1444"/>
      <c r="S270" s="1444"/>
      <c r="T270" s="1444"/>
      <c r="V270" s="918" t="s">
        <v>1078</v>
      </c>
      <c r="W270" s="1354"/>
      <c r="X270" s="1354"/>
      <c r="Y270" s="3" t="s">
        <v>946</v>
      </c>
      <c r="AC270" s="1444"/>
      <c r="AD270" s="1444"/>
      <c r="AE270" s="1444"/>
      <c r="AF270" s="3" t="s">
        <v>1101</v>
      </c>
      <c r="AL270" s="3"/>
      <c r="AM270" s="3"/>
      <c r="AN270" s="3"/>
      <c r="AO270" s="3"/>
      <c r="AP270" s="3"/>
      <c r="AQ270" s="3"/>
      <c r="AR270" s="3"/>
      <c r="AS270" s="3"/>
      <c r="AT270" s="3"/>
      <c r="AU270" s="3"/>
      <c r="AV270" s="3"/>
      <c r="AW270" s="3"/>
      <c r="AX270" s="3"/>
      <c r="AY270" s="3"/>
    </row>
    <row r="271" spans="1:66" ht="12.95" customHeight="1">
      <c r="A271" s="12"/>
      <c r="B271" s="3"/>
      <c r="C271" s="3"/>
      <c r="D271" s="3" t="s">
        <v>1080</v>
      </c>
      <c r="E271" s="3"/>
      <c r="F271" s="3"/>
      <c r="G271" s="3"/>
      <c r="H271" s="3"/>
      <c r="I271" s="3"/>
      <c r="J271" s="3"/>
      <c r="K271" s="3"/>
      <c r="L271" s="1163"/>
      <c r="M271" s="1444"/>
      <c r="N271" s="1444"/>
      <c r="O271" s="1444"/>
      <c r="P271" s="1444"/>
      <c r="Q271" s="1444"/>
      <c r="R271" s="1444"/>
      <c r="S271" s="1444"/>
      <c r="T271" s="1444"/>
      <c r="U271" s="1444"/>
      <c r="V271" s="1444"/>
      <c r="W271" s="1444"/>
      <c r="X271" s="1444"/>
      <c r="Y271" s="1444"/>
      <c r="Z271" s="1444"/>
      <c r="AA271" s="1444"/>
      <c r="AB271" s="1444"/>
      <c r="AC271" s="1444"/>
      <c r="AD271" s="1444"/>
      <c r="AE271" s="1444"/>
      <c r="AH271" s="1694"/>
      <c r="AI271" s="1694"/>
      <c r="AJ271" s="1694"/>
      <c r="AK271" s="1694"/>
      <c r="AL271" s="3"/>
      <c r="AM271" s="3"/>
      <c r="AN271" s="3"/>
      <c r="AO271" s="3"/>
      <c r="AP271" s="3"/>
      <c r="AQ271" s="3"/>
      <c r="AR271" s="3"/>
      <c r="AS271" s="3"/>
      <c r="AT271" s="3"/>
      <c r="AU271" s="3"/>
      <c r="AV271" s="3"/>
      <c r="AW271" s="3"/>
      <c r="AX271" s="3"/>
      <c r="AY271" s="3"/>
    </row>
    <row r="272" spans="1:66" ht="12.95" customHeight="1">
      <c r="A272" s="12"/>
      <c r="B272" s="3"/>
      <c r="C272" s="3"/>
      <c r="D272" s="3" t="s">
        <v>1082</v>
      </c>
      <c r="E272" s="3"/>
      <c r="F272" s="3"/>
      <c r="M272" s="1564"/>
      <c r="N272" s="1564"/>
      <c r="O272" s="1564"/>
      <c r="P272" s="1564"/>
      <c r="Q272" s="1564"/>
      <c r="R272" s="1564"/>
      <c r="S272" s="3" t="s">
        <v>1084</v>
      </c>
      <c r="T272" s="3"/>
      <c r="U272" s="1354"/>
      <c r="V272" s="1354"/>
      <c r="W272" s="1354"/>
      <c r="X272" s="3" t="s">
        <v>1085</v>
      </c>
      <c r="Z272" s="1564"/>
      <c r="AA272" s="1564"/>
      <c r="AB272" s="1564"/>
      <c r="AC272" s="1564"/>
      <c r="AD272" s="1564"/>
      <c r="AE272" s="1564"/>
      <c r="AL272" s="3"/>
      <c r="AM272" s="3"/>
      <c r="AN272" s="3"/>
      <c r="AO272" s="3"/>
      <c r="AP272" s="3"/>
      <c r="AQ272" s="3"/>
      <c r="AR272" s="3"/>
      <c r="AS272" s="3"/>
      <c r="AT272" s="3"/>
      <c r="AU272" s="3"/>
      <c r="AV272" s="3"/>
      <c r="AW272" s="3"/>
      <c r="AX272" s="3"/>
      <c r="AY272" s="3"/>
    </row>
    <row r="273" spans="1:51" ht="12.95" customHeight="1">
      <c r="A273" s="12"/>
      <c r="B273" s="3"/>
      <c r="C273" s="3"/>
      <c r="D273" s="3" t="s">
        <v>1087</v>
      </c>
      <c r="E273" s="3"/>
      <c r="F273" s="3"/>
      <c r="M273" s="1696"/>
      <c r="N273" s="1696"/>
      <c r="O273" s="1696"/>
      <c r="P273" s="1696"/>
      <c r="Q273" s="1696"/>
      <c r="R273" s="1696"/>
      <c r="S273" s="1696"/>
      <c r="T273" s="1696"/>
      <c r="U273" s="1696"/>
      <c r="V273" s="1696"/>
      <c r="W273" s="1696"/>
      <c r="X273" s="1696"/>
      <c r="Y273" s="1696"/>
      <c r="Z273" s="1696"/>
      <c r="AA273" s="1697"/>
      <c r="AB273" s="1697"/>
      <c r="AC273" s="1697"/>
      <c r="AD273" s="1697"/>
      <c r="AE273" s="1697"/>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1105</v>
      </c>
      <c r="E274" s="3"/>
      <c r="F274" s="3"/>
      <c r="G274" s="3"/>
      <c r="H274" s="3"/>
      <c r="I274" s="3"/>
      <c r="J274" s="3"/>
      <c r="K274" s="3"/>
      <c r="L274" s="3"/>
      <c r="M274" s="1431" t="s">
        <v>348</v>
      </c>
      <c r="N274" s="1431"/>
      <c r="O274" s="1431"/>
      <c r="P274" s="1431"/>
      <c r="Q274" s="1431"/>
      <c r="R274" s="1431"/>
      <c r="S274" s="1431"/>
      <c r="T274" s="1431"/>
      <c r="U274" s="136" t="s">
        <v>1090</v>
      </c>
      <c r="V274" s="136"/>
      <c r="W274" s="136"/>
      <c r="X274" s="136"/>
      <c r="Y274" s="136"/>
      <c r="Z274" s="136"/>
      <c r="AA274" s="1693"/>
      <c r="AB274" s="1693"/>
      <c r="AC274" s="1693"/>
      <c r="AD274" s="1693"/>
      <c r="AE274" s="1693"/>
      <c r="AF274" s="1693"/>
      <c r="AG274" s="1693"/>
      <c r="AH274" s="1693"/>
      <c r="AI274" s="1693"/>
      <c r="AJ274" s="1693"/>
      <c r="AK274" s="1693"/>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1030</v>
      </c>
      <c r="B276" s="3"/>
      <c r="C276" s="2" t="s">
        <v>1109</v>
      </c>
      <c r="D276" s="3"/>
      <c r="E276" s="3"/>
      <c r="F276" s="3"/>
      <c r="G276" s="3"/>
      <c r="H276" s="3"/>
      <c r="I276" s="3"/>
      <c r="J276" s="3"/>
      <c r="K276" s="3"/>
      <c r="L276" s="3"/>
      <c r="M276" s="84"/>
      <c r="N276" s="84"/>
      <c r="O276" s="84"/>
      <c r="P276" s="84"/>
      <c r="Q276" s="84"/>
      <c r="T276" s="1695" t="str">
        <f>IFERROR(BO254,"")</f>
        <v>Nonprofit</v>
      </c>
      <c r="U276" s="1695"/>
      <c r="V276" s="1695"/>
      <c r="W276" s="1695"/>
      <c r="X276" s="1695"/>
      <c r="Z276" s="214" t="s">
        <v>1110</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1111</v>
      </c>
      <c r="AF277" s="3"/>
      <c r="AG277" s="3"/>
      <c r="AH277" s="3"/>
      <c r="AI277" s="3"/>
      <c r="AJ277" s="3"/>
      <c r="AL277" s="56"/>
    </row>
    <row r="278" spans="1:51" ht="12.95" customHeight="1">
      <c r="A278" s="2" t="s">
        <v>1057</v>
      </c>
      <c r="B278" s="3"/>
      <c r="C278" s="2" t="s">
        <v>124</v>
      </c>
      <c r="D278" s="3"/>
      <c r="E278" s="3"/>
      <c r="F278" s="3"/>
      <c r="G278" s="3"/>
      <c r="H278" s="3"/>
      <c r="I278" s="3"/>
      <c r="J278" s="3"/>
      <c r="K278" s="3"/>
      <c r="L278" s="3"/>
      <c r="M278" s="3"/>
      <c r="N278" s="3"/>
      <c r="O278" s="3"/>
      <c r="P278" s="3"/>
      <c r="Q278" s="3"/>
      <c r="R278" s="3"/>
      <c r="S278" s="3"/>
      <c r="T278" s="3"/>
      <c r="U278" s="3"/>
      <c r="V278" s="3"/>
      <c r="W278" s="3"/>
      <c r="Z278" s="218" t="s">
        <v>1112</v>
      </c>
      <c r="AA278" s="40"/>
      <c r="AB278" s="40"/>
      <c r="AC278" s="40"/>
      <c r="AD278" s="40"/>
      <c r="AE278" s="40"/>
      <c r="AF278" s="788"/>
      <c r="AG278" s="788"/>
      <c r="AH278" s="788"/>
      <c r="AI278" s="788"/>
      <c r="AJ278" s="788"/>
      <c r="AK278" s="40"/>
      <c r="AL278" s="41"/>
    </row>
    <row r="279" spans="1:51" ht="12.95" customHeight="1">
      <c r="A279" s="3"/>
      <c r="B279" s="28">
        <v>0</v>
      </c>
      <c r="D279" s="1444" t="s">
        <v>1102</v>
      </c>
      <c r="E279" s="1444"/>
      <c r="F279" s="1444"/>
      <c r="G279" s="1444"/>
      <c r="H279" s="1444"/>
      <c r="J279" t="s">
        <v>1113</v>
      </c>
      <c r="X279" s="1645"/>
      <c r="Y279" s="1645"/>
      <c r="Z279" s="1645"/>
      <c r="AA279" s="1645"/>
      <c r="AB279" s="1645"/>
      <c r="AC279" s="1645"/>
      <c r="AU279" s="3"/>
      <c r="AV279" s="3"/>
      <c r="AW279" s="3"/>
      <c r="AX279" s="3"/>
      <c r="AY279" s="3"/>
    </row>
    <row r="280" spans="1:51" ht="12.95" customHeight="1">
      <c r="A280" s="3"/>
      <c r="B280" s="1163"/>
      <c r="D280" s="29" t="s">
        <v>1114</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1115</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1116</v>
      </c>
      <c r="E283" s="3"/>
      <c r="F283" s="3"/>
      <c r="G283" s="3"/>
      <c r="H283" s="3"/>
      <c r="I283" s="3"/>
      <c r="J283" s="3"/>
      <c r="K283" s="3"/>
      <c r="L283" s="1446" t="s">
        <v>1091</v>
      </c>
      <c r="M283" s="1446"/>
      <c r="N283" s="1446"/>
      <c r="O283" s="1446"/>
      <c r="P283" s="1446"/>
      <c r="Q283" s="1446"/>
      <c r="R283" s="1446"/>
      <c r="S283" s="1446"/>
      <c r="T283" s="1446"/>
      <c r="U283" s="1446"/>
      <c r="V283" s="1446"/>
      <c r="W283" s="1446"/>
      <c r="X283" s="1446"/>
      <c r="Y283" s="1446"/>
      <c r="Z283" s="1446"/>
      <c r="AA283" s="1446"/>
      <c r="AB283" s="1446"/>
      <c r="AC283" s="1446"/>
      <c r="AD283" s="1446"/>
      <c r="AE283" s="1446"/>
      <c r="AF283" s="1446"/>
      <c r="AG283" s="1446"/>
      <c r="AH283" s="1446"/>
      <c r="AI283" s="1446"/>
      <c r="AJ283" s="1446"/>
      <c r="AK283" s="3"/>
      <c r="AL283" s="3"/>
      <c r="AM283" s="3"/>
      <c r="AN283" s="3"/>
      <c r="AO283" s="3"/>
      <c r="AP283" s="3"/>
      <c r="AQ283" s="3"/>
      <c r="AR283" s="3"/>
      <c r="AS283" s="3"/>
      <c r="AT283" s="3"/>
      <c r="AU283" s="3"/>
      <c r="AV283" s="3"/>
      <c r="AW283" s="3"/>
      <c r="AX283" s="3"/>
      <c r="AY283" s="3"/>
    </row>
    <row r="284" spans="1:51" ht="12.95" customHeight="1">
      <c r="D284" s="3" t="s">
        <v>1076</v>
      </c>
      <c r="E284" s="3"/>
      <c r="F284" s="3"/>
      <c r="G284" s="3"/>
      <c r="H284" s="3"/>
      <c r="I284" s="3"/>
      <c r="J284" s="3"/>
      <c r="K284" s="3"/>
      <c r="L284" s="1444" t="s">
        <v>1077</v>
      </c>
      <c r="M284" s="1444"/>
      <c r="N284" s="1444"/>
      <c r="O284" s="1444"/>
      <c r="P284" s="1444"/>
      <c r="Q284" s="1444"/>
      <c r="R284" s="1444"/>
      <c r="S284" s="1444"/>
      <c r="T284" s="1444"/>
      <c r="U284" s="1444"/>
      <c r="V284" s="1444"/>
      <c r="W284" s="1444"/>
      <c r="X284" s="1444"/>
      <c r="Y284" s="1444"/>
      <c r="Z284" s="1444"/>
      <c r="AA284" s="1444"/>
      <c r="AB284" s="1444"/>
      <c r="AC284" s="1444"/>
      <c r="AD284" s="1444"/>
      <c r="AK284" s="3"/>
      <c r="AL284" s="3"/>
      <c r="AM284" s="3"/>
      <c r="AN284" s="3"/>
      <c r="AO284" s="3"/>
      <c r="AP284" s="3"/>
      <c r="AQ284" s="3"/>
      <c r="AR284" s="3"/>
      <c r="AS284" s="3"/>
      <c r="AT284" s="3"/>
      <c r="AU284" s="3"/>
      <c r="AV284" s="3"/>
      <c r="AW284" s="3"/>
      <c r="AX284" s="3"/>
      <c r="AY284" s="3"/>
    </row>
    <row r="285" spans="1:51" ht="12.95" customHeight="1">
      <c r="D285" s="3" t="s">
        <v>942</v>
      </c>
      <c r="E285" s="3"/>
      <c r="L285" s="1444" t="s">
        <v>963</v>
      </c>
      <c r="M285" s="1444"/>
      <c r="N285" s="1444"/>
      <c r="O285" s="1444"/>
      <c r="P285" s="1444"/>
      <c r="Q285" s="1444"/>
      <c r="R285" s="1444"/>
      <c r="S285" s="1444"/>
      <c r="U285" s="918" t="s">
        <v>1078</v>
      </c>
      <c r="V285" s="1354" t="s">
        <v>1079</v>
      </c>
      <c r="W285" s="1354"/>
      <c r="X285" s="3" t="s">
        <v>946</v>
      </c>
      <c r="AB285" s="1444">
        <v>92108</v>
      </c>
      <c r="AC285" s="1444"/>
      <c r="AD285" s="1444"/>
      <c r="AK285" s="3"/>
      <c r="AL285" s="3"/>
      <c r="AM285" s="3"/>
      <c r="AN285" s="3"/>
      <c r="AO285" s="3"/>
      <c r="AP285" s="3"/>
      <c r="AQ285" s="3"/>
      <c r="AR285" s="3"/>
      <c r="AS285" s="3"/>
      <c r="AT285" s="3"/>
      <c r="AU285" s="3"/>
      <c r="AV285" s="3"/>
      <c r="AW285" s="3"/>
      <c r="AX285" s="3"/>
      <c r="AY285" s="3"/>
    </row>
    <row r="286" spans="1:51" ht="12.95" customHeight="1">
      <c r="D286" s="3" t="s">
        <v>1080</v>
      </c>
      <c r="E286" s="3"/>
      <c r="F286" s="3"/>
      <c r="G286" s="3"/>
      <c r="H286" s="3"/>
      <c r="I286" s="3"/>
      <c r="J286" s="3"/>
      <c r="K286" s="1163"/>
      <c r="L286" s="1444" t="s">
        <v>1081</v>
      </c>
      <c r="M286" s="1444"/>
      <c r="N286" s="1444"/>
      <c r="O286" s="1444"/>
      <c r="P286" s="1444"/>
      <c r="Q286" s="1444"/>
      <c r="R286" s="1444"/>
      <c r="S286" s="1444"/>
      <c r="T286" s="1444"/>
      <c r="U286" s="1444"/>
      <c r="V286" s="1444"/>
      <c r="W286" s="1444"/>
      <c r="X286" s="1444"/>
      <c r="Y286" s="1444"/>
      <c r="Z286" s="1444"/>
      <c r="AA286" s="1444"/>
      <c r="AB286" s="1444"/>
      <c r="AC286" s="1444"/>
      <c r="AD286" s="1444"/>
      <c r="AI286" s="3"/>
      <c r="AJ286" s="3"/>
      <c r="AK286" s="3"/>
      <c r="AL286" s="3"/>
      <c r="AM286" s="3"/>
      <c r="AN286" s="3"/>
      <c r="AO286" s="3"/>
      <c r="AP286" s="3"/>
      <c r="AQ286" s="3"/>
      <c r="AR286" s="3"/>
      <c r="AS286" s="3"/>
      <c r="AT286" s="3"/>
    </row>
    <row r="287" spans="1:51" ht="12.95" customHeight="1">
      <c r="D287" s="3" t="s">
        <v>1082</v>
      </c>
      <c r="E287" s="3"/>
      <c r="F287" s="3"/>
      <c r="L287" s="1564" t="s">
        <v>1083</v>
      </c>
      <c r="M287" s="1564"/>
      <c r="N287" s="1564"/>
      <c r="O287" s="1564"/>
      <c r="P287" s="1564"/>
      <c r="Q287" s="1564"/>
      <c r="R287" s="3" t="s">
        <v>1084</v>
      </c>
      <c r="S287" s="3"/>
      <c r="T287" s="1354"/>
      <c r="U287" s="1354"/>
      <c r="V287" s="1354"/>
      <c r="W287" s="3" t="s">
        <v>1085</v>
      </c>
      <c r="Y287" s="1564"/>
      <c r="Z287" s="1564"/>
      <c r="AA287" s="1564"/>
      <c r="AB287" s="1564"/>
      <c r="AC287" s="1564"/>
      <c r="AD287" s="1564"/>
    </row>
    <row r="288" spans="1:51" ht="12.95" customHeight="1">
      <c r="D288" s="3" t="s">
        <v>1087</v>
      </c>
      <c r="E288" s="3"/>
      <c r="F288" s="3"/>
      <c r="L288" s="1696" t="s">
        <v>1088</v>
      </c>
      <c r="M288" s="1696"/>
      <c r="N288" s="1696"/>
      <c r="O288" s="1696"/>
      <c r="P288" s="1696"/>
      <c r="Q288" s="1696"/>
      <c r="R288" s="1696"/>
      <c r="S288" s="1696"/>
      <c r="T288" s="1696"/>
      <c r="U288" s="1696"/>
      <c r="V288" s="1696"/>
      <c r="W288" s="1696"/>
      <c r="X288" s="1696"/>
      <c r="Y288" s="1696"/>
      <c r="Z288" s="1696"/>
      <c r="AA288" s="1696"/>
      <c r="AB288" s="1696"/>
      <c r="AC288" s="1696"/>
      <c r="AD288" s="1696"/>
      <c r="AF288" s="3"/>
      <c r="AG288" s="3"/>
      <c r="AH288" s="3"/>
      <c r="AI288" s="3"/>
      <c r="AJ288" s="3"/>
      <c r="AU288" s="3"/>
      <c r="AV288" s="3"/>
      <c r="AW288" s="3"/>
      <c r="AX288" s="3"/>
      <c r="AY288" s="3"/>
    </row>
    <row r="289" spans="1:51" ht="12.95" customHeight="1">
      <c r="D289" s="3" t="s">
        <v>1117</v>
      </c>
      <c r="E289" s="3"/>
      <c r="F289" s="3"/>
      <c r="G289" s="3"/>
      <c r="H289" s="3"/>
      <c r="I289" s="3"/>
      <c r="L289" s="1354" t="s">
        <v>1118</v>
      </c>
      <c r="M289" s="1354"/>
      <c r="N289" s="1354"/>
      <c r="O289" s="1354"/>
      <c r="P289" s="1354"/>
      <c r="Q289" s="1354"/>
      <c r="R289" s="1354"/>
      <c r="S289" s="1354"/>
      <c r="T289" s="1354"/>
      <c r="U289" s="1354"/>
      <c r="V289" s="1354"/>
      <c r="W289" s="1354"/>
      <c r="X289" s="1354"/>
      <c r="Y289" s="1354"/>
      <c r="Z289" s="1354"/>
      <c r="AA289" s="1354"/>
      <c r="AB289" s="1354"/>
      <c r="AC289" s="1354"/>
      <c r="AD289" s="1354"/>
      <c r="AK289" s="3"/>
      <c r="AL289" s="3"/>
      <c r="AM289" s="3"/>
      <c r="AN289" s="3"/>
      <c r="AO289" s="3"/>
      <c r="AP289" s="3"/>
      <c r="AQ289" s="3"/>
      <c r="AR289" s="3"/>
      <c r="AS289" s="3"/>
      <c r="AT289" s="3"/>
    </row>
    <row r="290" spans="1:51" ht="12.95" customHeight="1">
      <c r="L290" s="19" t="s">
        <v>1119</v>
      </c>
      <c r="AU290" s="70"/>
      <c r="AV290" s="70"/>
      <c r="AW290" s="70"/>
      <c r="AX290" s="70"/>
      <c r="AY290" s="70"/>
    </row>
    <row r="291" spans="1:51" ht="12.95" customHeight="1">
      <c r="A291" s="1448" t="s">
        <v>1120</v>
      </c>
      <c r="B291" s="1448"/>
      <c r="C291" s="1448"/>
      <c r="D291" s="1448"/>
      <c r="E291" s="1448"/>
      <c r="F291" s="1448"/>
      <c r="G291" s="1448"/>
      <c r="H291" s="1448"/>
      <c r="I291" s="1448"/>
      <c r="J291" s="1448"/>
      <c r="K291" s="1448"/>
      <c r="L291" s="1448"/>
      <c r="M291" s="1448"/>
      <c r="N291" s="1448"/>
      <c r="O291" s="1448"/>
      <c r="P291" s="1448"/>
      <c r="Q291" s="1448"/>
      <c r="R291" s="1448"/>
      <c r="S291" s="1448"/>
      <c r="T291" s="1448"/>
      <c r="U291" s="1448"/>
      <c r="V291" s="1448"/>
      <c r="W291" s="1448"/>
      <c r="X291" s="1448"/>
      <c r="Y291" s="1448"/>
      <c r="Z291" s="1448"/>
      <c r="AA291" s="1448"/>
      <c r="AB291" s="1448"/>
      <c r="AC291" s="1448"/>
      <c r="AD291" s="1448"/>
      <c r="AE291" s="1448"/>
      <c r="AF291" s="1448"/>
      <c r="AG291" s="1448"/>
      <c r="AH291" s="1448"/>
      <c r="AI291" s="1448"/>
      <c r="AJ291" s="1448"/>
      <c r="AK291" s="1448"/>
      <c r="AL291" s="1448"/>
      <c r="AM291" s="1448"/>
      <c r="AN291" s="1448"/>
      <c r="AO291" s="1448"/>
      <c r="AP291" s="1448"/>
      <c r="AQ291" s="1448"/>
      <c r="AR291" s="1448"/>
      <c r="AS291" s="1448"/>
      <c r="AT291" s="1448"/>
      <c r="AU291" s="70"/>
      <c r="AV291" s="70"/>
      <c r="AW291" s="70"/>
      <c r="AX291" s="70"/>
      <c r="AY291" s="70"/>
    </row>
    <row r="292" spans="1:51" ht="12.95" customHeight="1">
      <c r="A292" s="1448"/>
      <c r="B292" s="1448"/>
      <c r="C292" s="1448"/>
      <c r="D292" s="1448"/>
      <c r="E292" s="1448"/>
      <c r="F292" s="1448"/>
      <c r="G292" s="1448"/>
      <c r="H292" s="1448"/>
      <c r="I292" s="1448"/>
      <c r="J292" s="1448"/>
      <c r="K292" s="1448"/>
      <c r="L292" s="1448"/>
      <c r="M292" s="1448"/>
      <c r="N292" s="1448"/>
      <c r="O292" s="1448"/>
      <c r="P292" s="1448"/>
      <c r="Q292" s="1448"/>
      <c r="R292" s="1448"/>
      <c r="S292" s="1448"/>
      <c r="T292" s="1448"/>
      <c r="U292" s="1448"/>
      <c r="V292" s="1448"/>
      <c r="W292" s="1448"/>
      <c r="X292" s="1448"/>
      <c r="Y292" s="1448"/>
      <c r="Z292" s="1448"/>
      <c r="AA292" s="1448"/>
      <c r="AB292" s="1448"/>
      <c r="AC292" s="1448"/>
      <c r="AD292" s="1448"/>
      <c r="AE292" s="1448"/>
      <c r="AF292" s="1448"/>
      <c r="AG292" s="1448"/>
      <c r="AH292" s="1448"/>
      <c r="AI292" s="1448"/>
      <c r="AJ292" s="1448"/>
      <c r="AK292" s="1448"/>
      <c r="AL292" s="1448"/>
      <c r="AM292" s="1448"/>
      <c r="AN292" s="1448"/>
      <c r="AO292" s="1448"/>
      <c r="AP292" s="1448"/>
      <c r="AQ292" s="1448"/>
      <c r="AR292" s="1448"/>
      <c r="AS292" s="1448"/>
      <c r="AT292" s="1448"/>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1121</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1122</v>
      </c>
      <c r="C296" s="3"/>
      <c r="D296" s="3"/>
      <c r="E296" s="3"/>
      <c r="F296" s="3"/>
      <c r="H296" s="1450" t="s">
        <v>1091</v>
      </c>
      <c r="I296" s="1450"/>
      <c r="J296" s="1450"/>
      <c r="K296" s="1450"/>
      <c r="L296" s="1450"/>
      <c r="M296" s="1450"/>
      <c r="N296" s="1450"/>
      <c r="O296" s="1450"/>
      <c r="P296" s="1450"/>
      <c r="Q296" s="1450"/>
      <c r="R296" s="1450"/>
      <c r="T296" s="3" t="s">
        <v>1123</v>
      </c>
      <c r="V296" s="3"/>
      <c r="W296" s="3"/>
      <c r="X296" s="3"/>
      <c r="Y296" s="3"/>
      <c r="AA296" s="1444" t="s">
        <v>1124</v>
      </c>
      <c r="AB296" s="1450"/>
      <c r="AC296" s="1450"/>
      <c r="AD296" s="1450"/>
      <c r="AE296" s="1450"/>
      <c r="AF296" s="1450"/>
      <c r="AG296" s="1450"/>
      <c r="AH296" s="1450"/>
      <c r="AI296" s="1450"/>
      <c r="AJ296" s="1450"/>
      <c r="AK296" s="1450"/>
    </row>
    <row r="297" spans="1:51" ht="12.95" customHeight="1">
      <c r="B297" s="3" t="s">
        <v>1125</v>
      </c>
      <c r="C297" s="3"/>
      <c r="D297" s="3"/>
      <c r="E297" s="3"/>
      <c r="F297" s="3"/>
      <c r="H297" s="1431" t="s">
        <v>1077</v>
      </c>
      <c r="I297" s="1431"/>
      <c r="J297" s="1431"/>
      <c r="K297" s="1431"/>
      <c r="L297" s="1431"/>
      <c r="M297" s="1431"/>
      <c r="N297" s="1431"/>
      <c r="O297" s="1431"/>
      <c r="P297" s="1431"/>
      <c r="Q297" s="1431"/>
      <c r="R297" s="1431"/>
      <c r="T297" s="3" t="s">
        <v>1125</v>
      </c>
      <c r="V297" s="3"/>
      <c r="W297" s="3"/>
      <c r="X297" s="3"/>
      <c r="Y297" s="3"/>
      <c r="AA297" s="1354" t="s">
        <v>1126</v>
      </c>
      <c r="AB297" s="1431"/>
      <c r="AC297" s="1431"/>
      <c r="AD297" s="1431"/>
      <c r="AE297" s="1431"/>
      <c r="AF297" s="1431"/>
      <c r="AG297" s="1431"/>
      <c r="AH297" s="1431"/>
      <c r="AI297" s="1431"/>
      <c r="AJ297" s="1431"/>
      <c r="AK297" s="1431"/>
    </row>
    <row r="298" spans="1:51" ht="12.95" customHeight="1">
      <c r="B298" s="3" t="s">
        <v>1127</v>
      </c>
      <c r="C298" s="3"/>
      <c r="D298" s="3"/>
      <c r="E298" s="3"/>
      <c r="F298" s="3"/>
      <c r="H298" s="1354" t="s">
        <v>1128</v>
      </c>
      <c r="I298" s="1431"/>
      <c r="J298" s="1431"/>
      <c r="K298" s="1431"/>
      <c r="L298" s="1431"/>
      <c r="M298" s="1431"/>
      <c r="N298" s="1431"/>
      <c r="O298" s="1431"/>
      <c r="P298" s="1431"/>
      <c r="Q298" s="1431"/>
      <c r="R298" s="1431"/>
      <c r="T298" s="3" t="s">
        <v>1129</v>
      </c>
      <c r="V298" s="3"/>
      <c r="W298" s="3"/>
      <c r="X298" s="3"/>
      <c r="Y298" s="3"/>
      <c r="AA298" s="1354" t="s">
        <v>1130</v>
      </c>
      <c r="AB298" s="1431"/>
      <c r="AC298" s="1431"/>
      <c r="AD298" s="1431"/>
      <c r="AE298" s="1431"/>
      <c r="AF298" s="1431"/>
      <c r="AG298" s="1431"/>
      <c r="AH298" s="1431"/>
      <c r="AI298" s="1431"/>
      <c r="AJ298" s="1431"/>
      <c r="AK298" s="1431"/>
    </row>
    <row r="299" spans="1:51" ht="12.95" customHeight="1">
      <c r="B299" s="3" t="s">
        <v>1080</v>
      </c>
      <c r="C299" s="3"/>
      <c r="D299" s="3"/>
      <c r="E299" s="3"/>
      <c r="F299" s="3"/>
      <c r="H299" s="1354" t="s">
        <v>1081</v>
      </c>
      <c r="I299" s="1431"/>
      <c r="J299" s="1431"/>
      <c r="K299" s="1431"/>
      <c r="L299" s="1431"/>
      <c r="M299" s="1431"/>
      <c r="N299" s="1431"/>
      <c r="O299" s="1431"/>
      <c r="P299" s="1431"/>
      <c r="Q299" s="1431"/>
      <c r="R299" s="1431"/>
      <c r="T299" s="3" t="s">
        <v>1080</v>
      </c>
      <c r="V299" s="3"/>
      <c r="W299" s="3"/>
      <c r="X299" s="3"/>
      <c r="Y299" s="3"/>
      <c r="AA299" s="1354" t="s">
        <v>1131</v>
      </c>
      <c r="AB299" s="1431"/>
      <c r="AC299" s="1431"/>
      <c r="AD299" s="1431"/>
      <c r="AE299" s="1431"/>
      <c r="AF299" s="1431"/>
      <c r="AG299" s="1431"/>
      <c r="AH299" s="1431"/>
      <c r="AI299" s="1431"/>
      <c r="AJ299" s="1431"/>
      <c r="AK299" s="1431"/>
    </row>
    <row r="300" spans="1:51" ht="12.95" customHeight="1">
      <c r="B300" s="3" t="s">
        <v>1082</v>
      </c>
      <c r="C300" s="3"/>
      <c r="D300" s="3"/>
      <c r="E300" s="3"/>
      <c r="F300" s="3"/>
      <c r="G300" s="3"/>
      <c r="H300" s="1449" t="s">
        <v>1083</v>
      </c>
      <c r="I300" s="1449"/>
      <c r="J300" s="1449"/>
      <c r="K300" s="1449"/>
      <c r="L300" s="1449"/>
      <c r="M300" s="1449"/>
      <c r="N300" s="3" t="s">
        <v>1084</v>
      </c>
      <c r="O300" s="3"/>
      <c r="P300" s="1444"/>
      <c r="Q300" s="1444"/>
      <c r="R300" s="1444"/>
      <c r="S300" s="3"/>
      <c r="T300" s="3" t="s">
        <v>1082</v>
      </c>
      <c r="V300" s="3"/>
      <c r="W300" s="3"/>
      <c r="X300" s="3"/>
      <c r="Y300" s="3"/>
      <c r="AA300" s="1449" t="s">
        <v>1132</v>
      </c>
      <c r="AB300" s="1449"/>
      <c r="AC300" s="1449"/>
      <c r="AD300" s="1449"/>
      <c r="AE300" s="1449"/>
      <c r="AF300" s="1449"/>
      <c r="AG300" s="3" t="s">
        <v>1084</v>
      </c>
      <c r="AH300" s="3"/>
      <c r="AI300" s="1444"/>
      <c r="AJ300" s="1444"/>
      <c r="AK300" s="1444"/>
    </row>
    <row r="301" spans="1:51" ht="12.95" customHeight="1">
      <c r="B301" s="3" t="s">
        <v>1085</v>
      </c>
      <c r="C301" s="3"/>
      <c r="D301" s="3"/>
      <c r="E301" s="3"/>
      <c r="F301" s="3"/>
      <c r="G301" s="3"/>
      <c r="H301" s="1564"/>
      <c r="I301" s="1564"/>
      <c r="J301" s="1564"/>
      <c r="K301" s="1564"/>
      <c r="L301" s="1564"/>
      <c r="M301" s="1564"/>
      <c r="N301" s="3"/>
      <c r="O301" s="3"/>
      <c r="P301" s="84"/>
      <c r="Q301" s="84"/>
      <c r="R301" s="84"/>
      <c r="S301" s="3"/>
      <c r="T301" s="3" t="s">
        <v>1085</v>
      </c>
      <c r="V301" s="3"/>
      <c r="W301" s="3"/>
      <c r="X301" s="3"/>
      <c r="Y301" s="3"/>
      <c r="AA301" s="1564"/>
      <c r="AB301" s="1564"/>
      <c r="AC301" s="1564"/>
      <c r="AD301" s="1564"/>
      <c r="AE301" s="1564"/>
      <c r="AF301" s="1564"/>
      <c r="AG301" s="3"/>
      <c r="AH301" s="3"/>
      <c r="AI301" s="84"/>
      <c r="AJ301" s="84"/>
      <c r="AK301" s="84"/>
    </row>
    <row r="302" spans="1:51" ht="12.95" customHeight="1">
      <c r="B302" s="3" t="s">
        <v>1133</v>
      </c>
      <c r="C302" s="3"/>
      <c r="D302" s="3"/>
      <c r="E302" s="3"/>
      <c r="F302" s="3"/>
      <c r="G302" s="3"/>
      <c r="H302" s="1354" t="s">
        <v>1088</v>
      </c>
      <c r="I302" s="1431"/>
      <c r="J302" s="1431"/>
      <c r="K302" s="1431"/>
      <c r="L302" s="1431"/>
      <c r="M302" s="1431"/>
      <c r="N302" s="1450"/>
      <c r="O302" s="1450"/>
      <c r="P302" s="1450"/>
      <c r="Q302" s="1450"/>
      <c r="R302" s="1450"/>
      <c r="S302" s="3"/>
      <c r="T302" s="3" t="s">
        <v>1133</v>
      </c>
      <c r="V302" s="3"/>
      <c r="W302" s="3"/>
      <c r="X302" s="3"/>
      <c r="Y302" s="3"/>
      <c r="AA302" s="1354" t="s">
        <v>1134</v>
      </c>
      <c r="AB302" s="1431"/>
      <c r="AC302" s="1431"/>
      <c r="AD302" s="1431"/>
      <c r="AE302" s="1431"/>
      <c r="AF302" s="1431"/>
      <c r="AG302" s="1450"/>
      <c r="AH302" s="1450"/>
      <c r="AI302" s="1450"/>
      <c r="AJ302" s="1450"/>
      <c r="AK302" s="1450"/>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1135</v>
      </c>
      <c r="C304" s="3"/>
      <c r="D304" s="3"/>
      <c r="E304" s="3"/>
      <c r="F304" s="3"/>
      <c r="H304" s="1444" t="s">
        <v>1136</v>
      </c>
      <c r="I304" s="1450"/>
      <c r="J304" s="1450"/>
      <c r="K304" s="1450"/>
      <c r="L304" s="1450"/>
      <c r="M304" s="1450"/>
      <c r="N304" s="1450"/>
      <c r="O304" s="1450"/>
      <c r="P304" s="1450"/>
      <c r="Q304" s="1450"/>
      <c r="R304" s="1450"/>
      <c r="T304" s="3" t="s">
        <v>1137</v>
      </c>
      <c r="V304" s="3"/>
      <c r="W304" s="3"/>
      <c r="X304" s="3"/>
      <c r="Y304" s="3"/>
      <c r="AA304" s="1444" t="s">
        <v>1138</v>
      </c>
      <c r="AB304" s="1450"/>
      <c r="AC304" s="1450"/>
      <c r="AD304" s="1450"/>
      <c r="AE304" s="1450"/>
      <c r="AF304" s="1450"/>
      <c r="AG304" s="1450"/>
      <c r="AH304" s="1450"/>
      <c r="AI304" s="1450"/>
      <c r="AJ304" s="1450"/>
      <c r="AK304" s="1450"/>
    </row>
    <row r="305" spans="2:72" ht="12.95" customHeight="1">
      <c r="B305" s="3" t="s">
        <v>1125</v>
      </c>
      <c r="C305" s="3"/>
      <c r="D305" s="3"/>
      <c r="E305" s="3"/>
      <c r="F305" s="3"/>
      <c r="H305" s="1354" t="s">
        <v>1139</v>
      </c>
      <c r="I305" s="1431"/>
      <c r="J305" s="1431"/>
      <c r="K305" s="1431"/>
      <c r="L305" s="1431"/>
      <c r="M305" s="1431"/>
      <c r="N305" s="1431"/>
      <c r="O305" s="1431"/>
      <c r="P305" s="1431"/>
      <c r="Q305" s="1431"/>
      <c r="R305" s="1431"/>
      <c r="T305" s="3" t="s">
        <v>1125</v>
      </c>
      <c r="V305" s="3"/>
      <c r="W305" s="3"/>
      <c r="X305" s="3"/>
      <c r="Y305" s="3"/>
      <c r="AA305" s="1354" t="s">
        <v>1140</v>
      </c>
      <c r="AB305" s="1431"/>
      <c r="AC305" s="1431"/>
      <c r="AD305" s="1431"/>
      <c r="AE305" s="1431"/>
      <c r="AF305" s="1431"/>
      <c r="AG305" s="1431"/>
      <c r="AH305" s="1431"/>
      <c r="AI305" s="1431"/>
      <c r="AJ305" s="1431"/>
      <c r="AK305" s="1431"/>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1127</v>
      </c>
      <c r="C306" s="3"/>
      <c r="D306" s="3"/>
      <c r="E306" s="3"/>
      <c r="F306" s="3"/>
      <c r="H306" s="1354" t="s">
        <v>1141</v>
      </c>
      <c r="I306" s="1431"/>
      <c r="J306" s="1431"/>
      <c r="K306" s="1431"/>
      <c r="L306" s="1431"/>
      <c r="M306" s="1431"/>
      <c r="N306" s="1431"/>
      <c r="O306" s="1431"/>
      <c r="P306" s="1431"/>
      <c r="Q306" s="1431"/>
      <c r="R306" s="1431"/>
      <c r="T306" s="3" t="s">
        <v>1129</v>
      </c>
      <c r="V306" s="3"/>
      <c r="W306" s="3"/>
      <c r="X306" s="3"/>
      <c r="Y306" s="3"/>
      <c r="AA306" s="1354" t="s">
        <v>1142</v>
      </c>
      <c r="AB306" s="1431"/>
      <c r="AC306" s="1431"/>
      <c r="AD306" s="1431"/>
      <c r="AE306" s="1431"/>
      <c r="AF306" s="1431"/>
      <c r="AG306" s="1431"/>
      <c r="AH306" s="1431"/>
      <c r="AI306" s="1431"/>
      <c r="AJ306" s="1431"/>
      <c r="AK306" s="1431"/>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1080</v>
      </c>
      <c r="C307" s="3"/>
      <c r="D307" s="3"/>
      <c r="E307" s="3"/>
      <c r="F307" s="3"/>
      <c r="H307" s="1354" t="s">
        <v>1143</v>
      </c>
      <c r="I307" s="1431"/>
      <c r="J307" s="1431"/>
      <c r="K307" s="1431"/>
      <c r="L307" s="1431"/>
      <c r="M307" s="1431"/>
      <c r="N307" s="1431"/>
      <c r="O307" s="1431"/>
      <c r="P307" s="1431"/>
      <c r="Q307" s="1431"/>
      <c r="R307" s="1431"/>
      <c r="T307" s="3" t="s">
        <v>1080</v>
      </c>
      <c r="V307" s="3"/>
      <c r="W307" s="3"/>
      <c r="X307" s="3"/>
      <c r="Y307" s="3"/>
      <c r="AA307" s="1354" t="s">
        <v>1144</v>
      </c>
      <c r="AB307" s="1431"/>
      <c r="AC307" s="1431"/>
      <c r="AD307" s="1431"/>
      <c r="AE307" s="1431"/>
      <c r="AF307" s="1431"/>
      <c r="AG307" s="1431"/>
      <c r="AH307" s="1431"/>
      <c r="AI307" s="1431"/>
      <c r="AJ307" s="1431"/>
      <c r="AK307" s="1431"/>
    </row>
    <row r="308" spans="2:72" ht="12.95" customHeight="1">
      <c r="B308" s="3" t="s">
        <v>1082</v>
      </c>
      <c r="C308" s="3"/>
      <c r="D308" s="3"/>
      <c r="E308" s="3"/>
      <c r="F308" s="3"/>
      <c r="G308" s="3"/>
      <c r="H308" s="1449" t="s">
        <v>1145</v>
      </c>
      <c r="I308" s="1449"/>
      <c r="J308" s="1449"/>
      <c r="K308" s="1449"/>
      <c r="L308" s="1449"/>
      <c r="M308" s="1449"/>
      <c r="N308" s="3" t="s">
        <v>1084</v>
      </c>
      <c r="O308" s="3"/>
      <c r="P308" s="1444"/>
      <c r="Q308" s="1444"/>
      <c r="R308" s="1444"/>
      <c r="S308" s="3"/>
      <c r="T308" s="3" t="s">
        <v>1082</v>
      </c>
      <c r="V308" s="3"/>
      <c r="W308" s="3"/>
      <c r="X308" s="3"/>
      <c r="Y308" s="3"/>
      <c r="AA308" s="1449" t="s">
        <v>1146</v>
      </c>
      <c r="AB308" s="1449"/>
      <c r="AC308" s="1449"/>
      <c r="AD308" s="1449"/>
      <c r="AE308" s="1449"/>
      <c r="AF308" s="1449"/>
      <c r="AG308" s="3" t="s">
        <v>1084</v>
      </c>
      <c r="AH308" s="3"/>
      <c r="AI308" s="1444"/>
      <c r="AJ308" s="1444"/>
      <c r="AK308" s="1444"/>
    </row>
    <row r="309" spans="2:72" ht="12.95" customHeight="1">
      <c r="B309" s="3" t="s">
        <v>1085</v>
      </c>
      <c r="C309" s="3"/>
      <c r="D309" s="3"/>
      <c r="E309" s="3"/>
      <c r="F309" s="3"/>
      <c r="G309" s="3"/>
      <c r="H309" s="1564"/>
      <c r="I309" s="1564"/>
      <c r="J309" s="1564"/>
      <c r="K309" s="1564"/>
      <c r="L309" s="1564"/>
      <c r="M309" s="1564"/>
      <c r="N309" s="3"/>
      <c r="O309" s="3"/>
      <c r="P309" s="84"/>
      <c r="Q309" s="84"/>
      <c r="R309" s="84"/>
      <c r="S309" s="3"/>
      <c r="T309" s="3" t="s">
        <v>1085</v>
      </c>
      <c r="V309" s="3"/>
      <c r="W309" s="3"/>
      <c r="X309" s="3"/>
      <c r="Y309" s="3"/>
      <c r="AA309" s="1564"/>
      <c r="AB309" s="1564"/>
      <c r="AC309" s="1564"/>
      <c r="AD309" s="1564"/>
      <c r="AE309" s="1564"/>
      <c r="AF309" s="1564"/>
      <c r="AG309" s="3"/>
      <c r="AH309" s="3"/>
      <c r="AI309" s="84"/>
      <c r="AJ309" s="84"/>
      <c r="AK309" s="84"/>
    </row>
    <row r="310" spans="2:72" ht="12.95" customHeight="1">
      <c r="B310" s="3" t="s">
        <v>1133</v>
      </c>
      <c r="C310" s="3"/>
      <c r="D310" s="3"/>
      <c r="E310" s="3"/>
      <c r="F310" s="3"/>
      <c r="G310" s="3"/>
      <c r="H310" s="1354" t="s">
        <v>1147</v>
      </c>
      <c r="I310" s="1431"/>
      <c r="J310" s="1431"/>
      <c r="K310" s="1431"/>
      <c r="L310" s="1431"/>
      <c r="M310" s="1431"/>
      <c r="N310" s="1450"/>
      <c r="O310" s="1450"/>
      <c r="P310" s="1450"/>
      <c r="Q310" s="1450"/>
      <c r="R310" s="1450"/>
      <c r="S310" s="3"/>
      <c r="T310" s="3" t="s">
        <v>1133</v>
      </c>
      <c r="V310" s="3"/>
      <c r="W310" s="3"/>
      <c r="X310" s="3"/>
      <c r="Y310" s="3"/>
      <c r="AA310" s="1354" t="s">
        <v>1148</v>
      </c>
      <c r="AB310" s="1431"/>
      <c r="AC310" s="1431"/>
      <c r="AD310" s="1431"/>
      <c r="AE310" s="1431"/>
      <c r="AF310" s="1431"/>
      <c r="AG310" s="1450"/>
      <c r="AH310" s="1450"/>
      <c r="AI310" s="1450"/>
      <c r="AJ310" s="1450"/>
      <c r="AK310" s="1450"/>
    </row>
    <row r="311" spans="2:72" ht="12.95" customHeight="1"/>
    <row r="312" spans="2:72" ht="12.95" customHeight="1">
      <c r="B312" s="3" t="s">
        <v>1149</v>
      </c>
      <c r="C312" s="3"/>
      <c r="D312" s="3"/>
      <c r="E312" s="3"/>
      <c r="F312" s="3"/>
      <c r="H312" s="1444" t="s">
        <v>1136</v>
      </c>
      <c r="I312" s="1450"/>
      <c r="J312" s="1450"/>
      <c r="K312" s="1450"/>
      <c r="L312" s="1450"/>
      <c r="M312" s="1450"/>
      <c r="N312" s="1450"/>
      <c r="O312" s="1450"/>
      <c r="P312" s="1450"/>
      <c r="Q312" s="1450"/>
      <c r="R312" s="1450"/>
      <c r="T312" s="3" t="s">
        <v>1150</v>
      </c>
      <c r="V312" s="3"/>
      <c r="W312" s="3"/>
      <c r="X312" s="3"/>
      <c r="Y312" s="3"/>
      <c r="AA312" s="1450" t="s">
        <v>822</v>
      </c>
      <c r="AB312" s="1450"/>
      <c r="AC312" s="1450"/>
      <c r="AD312" s="1450"/>
      <c r="AE312" s="1450"/>
      <c r="AF312" s="1450"/>
      <c r="AG312" s="1450"/>
      <c r="AH312" s="1450"/>
      <c r="AI312" s="1450"/>
      <c r="AJ312" s="1450"/>
      <c r="AK312" s="1450"/>
    </row>
    <row r="313" spans="2:72" ht="12.95" customHeight="1">
      <c r="B313" s="3" t="s">
        <v>1125</v>
      </c>
      <c r="C313" s="3"/>
      <c r="D313" s="3"/>
      <c r="E313" s="3"/>
      <c r="F313" s="3"/>
      <c r="H313" s="1431" t="s">
        <v>1139</v>
      </c>
      <c r="I313" s="1431"/>
      <c r="J313" s="1431"/>
      <c r="K313" s="1431"/>
      <c r="L313" s="1431"/>
      <c r="M313" s="1431"/>
      <c r="N313" s="1431"/>
      <c r="O313" s="1431"/>
      <c r="P313" s="1431"/>
      <c r="Q313" s="1431"/>
      <c r="R313" s="1431"/>
      <c r="T313" s="3" t="s">
        <v>1125</v>
      </c>
      <c r="V313" s="3"/>
      <c r="W313" s="3"/>
      <c r="X313" s="3"/>
      <c r="Y313" s="3"/>
      <c r="AA313" s="1431"/>
      <c r="AB313" s="1431"/>
      <c r="AC313" s="1431"/>
      <c r="AD313" s="1431"/>
      <c r="AE313" s="1431"/>
      <c r="AF313" s="1431"/>
      <c r="AG313" s="1431"/>
      <c r="AH313" s="1431"/>
      <c r="AI313" s="1431"/>
      <c r="AJ313" s="1431"/>
      <c r="AK313" s="1431"/>
    </row>
    <row r="314" spans="2:72" ht="12.95" customHeight="1">
      <c r="B314" s="3" t="s">
        <v>1127</v>
      </c>
      <c r="C314" s="3"/>
      <c r="D314" s="3"/>
      <c r="E314" s="3"/>
      <c r="F314" s="3"/>
      <c r="H314" s="1431" t="s">
        <v>1141</v>
      </c>
      <c r="I314" s="1431"/>
      <c r="J314" s="1431"/>
      <c r="K314" s="1431"/>
      <c r="L314" s="1431"/>
      <c r="M314" s="1431"/>
      <c r="N314" s="1431"/>
      <c r="O314" s="1431"/>
      <c r="P314" s="1431"/>
      <c r="Q314" s="1431"/>
      <c r="R314" s="1431"/>
      <c r="T314" s="3" t="s">
        <v>1129</v>
      </c>
      <c r="V314" s="3"/>
      <c r="W314" s="3"/>
      <c r="X314" s="3"/>
      <c r="Y314" s="3"/>
      <c r="AA314" s="1431"/>
      <c r="AB314" s="1431"/>
      <c r="AC314" s="1431"/>
      <c r="AD314" s="1431"/>
      <c r="AE314" s="1431"/>
      <c r="AF314" s="1431"/>
      <c r="AG314" s="1431"/>
      <c r="AH314" s="1431"/>
      <c r="AI314" s="1431"/>
      <c r="AJ314" s="1431"/>
      <c r="AK314" s="1431"/>
    </row>
    <row r="315" spans="2:72" ht="12.95" customHeight="1">
      <c r="B315" s="3" t="s">
        <v>1080</v>
      </c>
      <c r="C315" s="3"/>
      <c r="D315" s="3"/>
      <c r="E315" s="3"/>
      <c r="F315" s="3"/>
      <c r="H315" s="1431" t="s">
        <v>1143</v>
      </c>
      <c r="I315" s="1431"/>
      <c r="J315" s="1431"/>
      <c r="K315" s="1431"/>
      <c r="L315" s="1431"/>
      <c r="M315" s="1431"/>
      <c r="N315" s="1431"/>
      <c r="O315" s="1431"/>
      <c r="P315" s="1431"/>
      <c r="Q315" s="1431"/>
      <c r="R315" s="1431"/>
      <c r="T315" s="3" t="s">
        <v>1080</v>
      </c>
      <c r="V315" s="3"/>
      <c r="W315" s="3"/>
      <c r="X315" s="3"/>
      <c r="Y315" s="3"/>
      <c r="AA315" s="1431"/>
      <c r="AB315" s="1431"/>
      <c r="AC315" s="1431"/>
      <c r="AD315" s="1431"/>
      <c r="AE315" s="1431"/>
      <c r="AF315" s="1431"/>
      <c r="AG315" s="1431"/>
      <c r="AH315" s="1431"/>
      <c r="AI315" s="1431"/>
      <c r="AJ315" s="1431"/>
      <c r="AK315" s="1431"/>
    </row>
    <row r="316" spans="2:72" ht="12.95" customHeight="1">
      <c r="B316" s="3" t="s">
        <v>1082</v>
      </c>
      <c r="C316" s="3"/>
      <c r="D316" s="3"/>
      <c r="E316" s="3"/>
      <c r="F316" s="3"/>
      <c r="G316" s="3"/>
      <c r="H316" s="1449" t="s">
        <v>1145</v>
      </c>
      <c r="I316" s="1449"/>
      <c r="J316" s="1449"/>
      <c r="K316" s="1449"/>
      <c r="L316" s="1449"/>
      <c r="M316" s="1449"/>
      <c r="N316" s="3" t="s">
        <v>1084</v>
      </c>
      <c r="O316" s="3"/>
      <c r="P316" s="1444"/>
      <c r="Q316" s="1444"/>
      <c r="R316" s="1444"/>
      <c r="S316" s="3"/>
      <c r="T316" s="3" t="s">
        <v>1082</v>
      </c>
      <c r="V316" s="3"/>
      <c r="W316" s="3"/>
      <c r="X316" s="3"/>
      <c r="Y316" s="3"/>
      <c r="AA316" s="1449"/>
      <c r="AB316" s="1449"/>
      <c r="AC316" s="1449"/>
      <c r="AD316" s="1449"/>
      <c r="AE316" s="1449"/>
      <c r="AF316" s="1449"/>
      <c r="AG316" s="3" t="s">
        <v>1084</v>
      </c>
      <c r="AH316" s="3"/>
      <c r="AI316" s="1444"/>
      <c r="AJ316" s="1444"/>
      <c r="AK316" s="1444"/>
    </row>
    <row r="317" spans="2:72" ht="12.95" customHeight="1">
      <c r="B317" s="3" t="s">
        <v>1085</v>
      </c>
      <c r="C317" s="3"/>
      <c r="D317" s="3"/>
      <c r="E317" s="3"/>
      <c r="F317" s="3"/>
      <c r="G317" s="3"/>
      <c r="H317" s="1564"/>
      <c r="I317" s="1564"/>
      <c r="J317" s="1564"/>
      <c r="K317" s="1564"/>
      <c r="L317" s="1564"/>
      <c r="M317" s="1564"/>
      <c r="N317" s="3"/>
      <c r="O317" s="3"/>
      <c r="P317" s="84"/>
      <c r="Q317" s="84"/>
      <c r="R317" s="84"/>
      <c r="S317" s="3"/>
      <c r="T317" s="3" t="s">
        <v>1085</v>
      </c>
      <c r="V317" s="3"/>
      <c r="W317" s="3"/>
      <c r="X317" s="3"/>
      <c r="Y317" s="3"/>
      <c r="AA317" s="1564"/>
      <c r="AB317" s="1564"/>
      <c r="AC317" s="1564"/>
      <c r="AD317" s="1564"/>
      <c r="AE317" s="1564"/>
      <c r="AF317" s="1564"/>
      <c r="AG317" s="3"/>
      <c r="AH317" s="3"/>
      <c r="AI317" s="84"/>
      <c r="AJ317" s="84"/>
      <c r="AK317" s="84"/>
    </row>
    <row r="318" spans="2:72" ht="12.95" customHeight="1">
      <c r="B318" s="3" t="s">
        <v>1133</v>
      </c>
      <c r="C318" s="3"/>
      <c r="D318" s="3"/>
      <c r="E318" s="3"/>
      <c r="F318" s="3"/>
      <c r="G318" s="3"/>
      <c r="H318" s="1431" t="s">
        <v>1147</v>
      </c>
      <c r="I318" s="1431"/>
      <c r="J318" s="1431"/>
      <c r="K318" s="1431"/>
      <c r="L318" s="1431"/>
      <c r="M318" s="1431"/>
      <c r="N318" s="1450"/>
      <c r="O318" s="1450"/>
      <c r="P318" s="1450"/>
      <c r="Q318" s="1450"/>
      <c r="R318" s="1450"/>
      <c r="S318" s="3"/>
      <c r="T318" s="3" t="s">
        <v>1133</v>
      </c>
      <c r="V318" s="3"/>
      <c r="W318" s="3"/>
      <c r="X318" s="3"/>
      <c r="Y318" s="3"/>
      <c r="AA318" s="1431"/>
      <c r="AB318" s="1431"/>
      <c r="AC318" s="1431"/>
      <c r="AD318" s="1431"/>
      <c r="AE318" s="1431"/>
      <c r="AF318" s="1431"/>
      <c r="AG318" s="1450"/>
      <c r="AH318" s="1450"/>
      <c r="AI318" s="1450"/>
      <c r="AJ318" s="1450"/>
      <c r="AK318" s="1450"/>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1151</v>
      </c>
      <c r="C320" s="3"/>
      <c r="D320" s="3"/>
      <c r="E320" s="3"/>
      <c r="F320" s="3"/>
      <c r="H320" s="1450" t="s">
        <v>1152</v>
      </c>
      <c r="I320" s="1450"/>
      <c r="J320" s="1450"/>
      <c r="K320" s="1450"/>
      <c r="L320" s="1450"/>
      <c r="M320" s="1450"/>
      <c r="N320" s="1450"/>
      <c r="O320" s="1450"/>
      <c r="P320" s="1450"/>
      <c r="Q320" s="1450"/>
      <c r="R320" s="1450"/>
      <c r="S320" s="3"/>
      <c r="T320" s="3" t="s">
        <v>1153</v>
      </c>
      <c r="V320" s="3"/>
      <c r="W320" s="3"/>
      <c r="X320" s="3"/>
      <c r="Y320" s="3"/>
      <c r="AA320" s="1450" t="s">
        <v>1154</v>
      </c>
      <c r="AB320" s="1450"/>
      <c r="AC320" s="1450"/>
      <c r="AD320" s="1450"/>
      <c r="AE320" s="1450"/>
      <c r="AF320" s="1450"/>
      <c r="AG320" s="1450"/>
      <c r="AH320" s="1450"/>
      <c r="AI320" s="1450"/>
      <c r="AJ320" s="1450"/>
      <c r="AK320" s="1450"/>
    </row>
    <row r="321" spans="2:37" ht="12.95" customHeight="1">
      <c r="B321" s="3" t="s">
        <v>1125</v>
      </c>
      <c r="C321" s="3"/>
      <c r="D321" s="3"/>
      <c r="E321" s="3"/>
      <c r="F321" s="3"/>
      <c r="H321" s="1431" t="s">
        <v>1155</v>
      </c>
      <c r="I321" s="1431"/>
      <c r="J321" s="1431"/>
      <c r="K321" s="1431"/>
      <c r="L321" s="1431"/>
      <c r="M321" s="1431"/>
      <c r="N321" s="1431"/>
      <c r="O321" s="1431"/>
      <c r="P321" s="1431"/>
      <c r="Q321" s="1431"/>
      <c r="R321" s="1431"/>
      <c r="S321" s="3"/>
      <c r="T321" s="3" t="s">
        <v>1125</v>
      </c>
      <c r="V321" s="3"/>
      <c r="W321" s="3"/>
      <c r="X321" s="3"/>
      <c r="Y321" s="3"/>
      <c r="AA321" s="1431"/>
      <c r="AB321" s="1431"/>
      <c r="AC321" s="1431"/>
      <c r="AD321" s="1431"/>
      <c r="AE321" s="1431"/>
      <c r="AF321" s="1431"/>
      <c r="AG321" s="1431"/>
      <c r="AH321" s="1431"/>
      <c r="AI321" s="1431"/>
      <c r="AJ321" s="1431"/>
      <c r="AK321" s="1431"/>
    </row>
    <row r="322" spans="2:37" ht="12.95" customHeight="1">
      <c r="B322" s="3" t="s">
        <v>1127</v>
      </c>
      <c r="C322" s="3"/>
      <c r="D322" s="3"/>
      <c r="E322" s="3"/>
      <c r="F322" s="3"/>
      <c r="H322" s="1431" t="s">
        <v>1156</v>
      </c>
      <c r="I322" s="1431"/>
      <c r="J322" s="1431"/>
      <c r="K322" s="1431"/>
      <c r="L322" s="1431"/>
      <c r="M322" s="1431"/>
      <c r="N322" s="1431"/>
      <c r="O322" s="1431"/>
      <c r="P322" s="1431"/>
      <c r="Q322" s="1431"/>
      <c r="R322" s="1431"/>
      <c r="S322" s="3"/>
      <c r="T322" s="3" t="s">
        <v>1129</v>
      </c>
      <c r="V322" s="3"/>
      <c r="W322" s="3"/>
      <c r="X322" s="3"/>
      <c r="Y322" s="3"/>
      <c r="AA322" s="1431"/>
      <c r="AB322" s="1431"/>
      <c r="AC322" s="1431"/>
      <c r="AD322" s="1431"/>
      <c r="AE322" s="1431"/>
      <c r="AF322" s="1431"/>
      <c r="AG322" s="1431"/>
      <c r="AH322" s="1431"/>
      <c r="AI322" s="1431"/>
      <c r="AJ322" s="1431"/>
      <c r="AK322" s="1431"/>
    </row>
    <row r="323" spans="2:37" ht="12.95" customHeight="1">
      <c r="B323" s="3" t="s">
        <v>1080</v>
      </c>
      <c r="C323" s="3"/>
      <c r="D323" s="3"/>
      <c r="E323" s="3"/>
      <c r="F323" s="3"/>
      <c r="H323" s="1431" t="s">
        <v>1157</v>
      </c>
      <c r="I323" s="1431"/>
      <c r="J323" s="1431"/>
      <c r="K323" s="1431"/>
      <c r="L323" s="1431"/>
      <c r="M323" s="1431"/>
      <c r="N323" s="1431"/>
      <c r="O323" s="1431"/>
      <c r="P323" s="1431"/>
      <c r="Q323" s="1431"/>
      <c r="R323" s="1431"/>
      <c r="S323" s="3"/>
      <c r="T323" s="3" t="s">
        <v>1080</v>
      </c>
      <c r="V323" s="3"/>
      <c r="W323" s="3"/>
      <c r="X323" s="3"/>
      <c r="Y323" s="3"/>
      <c r="AA323" s="1431"/>
      <c r="AB323" s="1431"/>
      <c r="AC323" s="1431"/>
      <c r="AD323" s="1431"/>
      <c r="AE323" s="1431"/>
      <c r="AF323" s="1431"/>
      <c r="AG323" s="1431"/>
      <c r="AH323" s="1431"/>
      <c r="AI323" s="1431"/>
      <c r="AJ323" s="1431"/>
      <c r="AK323" s="1431"/>
    </row>
    <row r="324" spans="2:37" ht="12.95" customHeight="1">
      <c r="B324" s="3" t="s">
        <v>1082</v>
      </c>
      <c r="C324" s="3"/>
      <c r="D324" s="3"/>
      <c r="E324" s="3"/>
      <c r="F324" s="3"/>
      <c r="G324" s="3"/>
      <c r="H324" s="1449" t="s">
        <v>1158</v>
      </c>
      <c r="I324" s="1449"/>
      <c r="J324" s="1449"/>
      <c r="K324" s="1449"/>
      <c r="L324" s="1449"/>
      <c r="M324" s="1449"/>
      <c r="N324" s="3" t="s">
        <v>1084</v>
      </c>
      <c r="O324" s="3"/>
      <c r="P324" s="1444"/>
      <c r="Q324" s="1444"/>
      <c r="R324" s="1444"/>
      <c r="S324" s="3"/>
      <c r="T324" s="3" t="s">
        <v>1082</v>
      </c>
      <c r="V324" s="3"/>
      <c r="W324" s="3"/>
      <c r="X324" s="3"/>
      <c r="Y324" s="3"/>
      <c r="AA324" s="1449"/>
      <c r="AB324" s="1449"/>
      <c r="AC324" s="1449"/>
      <c r="AD324" s="1449"/>
      <c r="AE324" s="1449"/>
      <c r="AF324" s="1449"/>
      <c r="AG324" s="3" t="s">
        <v>1084</v>
      </c>
      <c r="AH324" s="3"/>
      <c r="AI324" s="1444"/>
      <c r="AJ324" s="1444"/>
      <c r="AK324" s="1444"/>
    </row>
    <row r="325" spans="2:37" ht="12.95" customHeight="1">
      <c r="B325" s="3" t="s">
        <v>1085</v>
      </c>
      <c r="C325" s="3"/>
      <c r="D325" s="3"/>
      <c r="E325" s="3"/>
      <c r="F325" s="3"/>
      <c r="G325" s="3"/>
      <c r="H325" s="1564"/>
      <c r="I325" s="1564"/>
      <c r="J325" s="1564"/>
      <c r="K325" s="1564"/>
      <c r="L325" s="1564"/>
      <c r="M325" s="1564"/>
      <c r="N325" s="3"/>
      <c r="O325" s="3"/>
      <c r="P325" s="84"/>
      <c r="Q325" s="84"/>
      <c r="R325" s="84"/>
      <c r="S325" s="3"/>
      <c r="T325" s="3" t="s">
        <v>1085</v>
      </c>
      <c r="V325" s="3"/>
      <c r="W325" s="3"/>
      <c r="X325" s="3"/>
      <c r="Y325" s="3"/>
      <c r="AA325" s="1564"/>
      <c r="AB325" s="1564"/>
      <c r="AC325" s="1564"/>
      <c r="AD325" s="1564"/>
      <c r="AE325" s="1564"/>
      <c r="AF325" s="1564"/>
      <c r="AG325" s="3"/>
      <c r="AH325" s="3"/>
      <c r="AI325" s="84"/>
      <c r="AJ325" s="84"/>
      <c r="AK325" s="84"/>
    </row>
    <row r="326" spans="2:37" ht="12.95" customHeight="1">
      <c r="B326" s="3" t="s">
        <v>1133</v>
      </c>
      <c r="C326" s="3"/>
      <c r="D326" s="3"/>
      <c r="E326" s="3"/>
      <c r="F326" s="3"/>
      <c r="G326" s="3"/>
      <c r="H326" s="1431" t="s">
        <v>1159</v>
      </c>
      <c r="I326" s="1431"/>
      <c r="J326" s="1431"/>
      <c r="K326" s="1431"/>
      <c r="L326" s="1431"/>
      <c r="M326" s="1431"/>
      <c r="N326" s="1450"/>
      <c r="O326" s="1450"/>
      <c r="P326" s="1450"/>
      <c r="Q326" s="1450"/>
      <c r="R326" s="1450"/>
      <c r="S326" s="3"/>
      <c r="T326" s="3" t="s">
        <v>1133</v>
      </c>
      <c r="V326" s="3"/>
      <c r="W326" s="3"/>
      <c r="X326" s="3"/>
      <c r="Y326" s="3"/>
      <c r="AA326" s="1431"/>
      <c r="AB326" s="1431"/>
      <c r="AC326" s="1431"/>
      <c r="AD326" s="1431"/>
      <c r="AE326" s="1431"/>
      <c r="AF326" s="1431"/>
      <c r="AG326" s="1450"/>
      <c r="AH326" s="1450"/>
      <c r="AI326" s="1450"/>
      <c r="AJ326" s="1450"/>
      <c r="AK326" s="1450"/>
    </row>
    <row r="327" spans="2:37" ht="12.95" customHeight="1"/>
    <row r="328" spans="2:37" ht="12.95" customHeight="1">
      <c r="B328" s="3" t="s">
        <v>1160</v>
      </c>
      <c r="C328" s="3"/>
      <c r="D328" s="3"/>
      <c r="E328" s="3"/>
      <c r="F328" s="3"/>
      <c r="H328" s="1444" t="s">
        <v>1161</v>
      </c>
      <c r="I328" s="1450"/>
      <c r="J328" s="1450"/>
      <c r="K328" s="1450"/>
      <c r="L328" s="1450"/>
      <c r="M328" s="1450"/>
      <c r="N328" s="1450"/>
      <c r="O328" s="1450"/>
      <c r="P328" s="1450"/>
      <c r="Q328" s="1450"/>
      <c r="R328" s="1450"/>
      <c r="T328" s="3" t="s">
        <v>1162</v>
      </c>
      <c r="V328" s="3"/>
      <c r="W328" s="3"/>
      <c r="X328" s="3"/>
      <c r="Y328" s="3"/>
      <c r="AA328" s="1450" t="s">
        <v>1163</v>
      </c>
      <c r="AB328" s="1450"/>
      <c r="AC328" s="1450"/>
      <c r="AD328" s="1450"/>
      <c r="AE328" s="1450"/>
      <c r="AF328" s="1450"/>
      <c r="AG328" s="1450"/>
      <c r="AH328" s="1450"/>
      <c r="AI328" s="1450"/>
      <c r="AJ328" s="1450"/>
      <c r="AK328" s="1450"/>
    </row>
    <row r="329" spans="2:37" ht="12.95" customHeight="1">
      <c r="B329" s="3" t="s">
        <v>1125</v>
      </c>
      <c r="C329" s="3"/>
      <c r="D329" s="3"/>
      <c r="E329" s="3"/>
      <c r="F329" s="3"/>
      <c r="H329" s="1354" t="s">
        <v>1164</v>
      </c>
      <c r="I329" s="1431"/>
      <c r="J329" s="1431"/>
      <c r="K329" s="1431"/>
      <c r="L329" s="1431"/>
      <c r="M329" s="1431"/>
      <c r="N329" s="1431"/>
      <c r="O329" s="1431"/>
      <c r="P329" s="1431"/>
      <c r="Q329" s="1431"/>
      <c r="R329" s="1431"/>
      <c r="T329" s="3" t="s">
        <v>1125</v>
      </c>
      <c r="V329" s="3"/>
      <c r="W329" s="3"/>
      <c r="X329" s="3"/>
      <c r="Y329" s="3"/>
      <c r="AA329" s="1431" t="s">
        <v>1165</v>
      </c>
      <c r="AB329" s="1431"/>
      <c r="AC329" s="1431"/>
      <c r="AD329" s="1431"/>
      <c r="AE329" s="1431"/>
      <c r="AF329" s="1431"/>
      <c r="AG329" s="1431"/>
      <c r="AH329" s="1431"/>
      <c r="AI329" s="1431"/>
      <c r="AJ329" s="1431"/>
      <c r="AK329" s="1431"/>
    </row>
    <row r="330" spans="2:37" ht="12.95" customHeight="1">
      <c r="B330" s="3" t="s">
        <v>1127</v>
      </c>
      <c r="C330" s="3"/>
      <c r="D330" s="3"/>
      <c r="E330" s="3"/>
      <c r="F330" s="3"/>
      <c r="H330" s="1354" t="s">
        <v>1166</v>
      </c>
      <c r="I330" s="1431"/>
      <c r="J330" s="1431"/>
      <c r="K330" s="1431"/>
      <c r="L330" s="1431"/>
      <c r="M330" s="1431"/>
      <c r="N330" s="1431"/>
      <c r="O330" s="1431"/>
      <c r="P330" s="1431"/>
      <c r="Q330" s="1431"/>
      <c r="R330" s="1431"/>
      <c r="T330" s="3" t="s">
        <v>1129</v>
      </c>
      <c r="V330" s="3"/>
      <c r="W330" s="3"/>
      <c r="X330" s="3"/>
      <c r="Y330" s="3"/>
      <c r="AA330" s="1431" t="s">
        <v>1167</v>
      </c>
      <c r="AB330" s="1431"/>
      <c r="AC330" s="1431"/>
      <c r="AD330" s="1431"/>
      <c r="AE330" s="1431"/>
      <c r="AF330" s="1431"/>
      <c r="AG330" s="1431"/>
      <c r="AH330" s="1431"/>
      <c r="AI330" s="1431"/>
      <c r="AJ330" s="1431"/>
      <c r="AK330" s="1431"/>
    </row>
    <row r="331" spans="2:37" ht="12.95" customHeight="1">
      <c r="B331" s="3" t="s">
        <v>1080</v>
      </c>
      <c r="C331" s="3"/>
      <c r="D331" s="3"/>
      <c r="E331" s="3"/>
      <c r="F331" s="3"/>
      <c r="H331" s="1354" t="s">
        <v>1168</v>
      </c>
      <c r="I331" s="1431"/>
      <c r="J331" s="1431"/>
      <c r="K331" s="1431"/>
      <c r="L331" s="1431"/>
      <c r="M331" s="1431"/>
      <c r="N331" s="1431"/>
      <c r="O331" s="1431"/>
      <c r="P331" s="1431"/>
      <c r="Q331" s="1431"/>
      <c r="R331" s="1431"/>
      <c r="T331" s="3" t="s">
        <v>1080</v>
      </c>
      <c r="V331" s="3"/>
      <c r="W331" s="3"/>
      <c r="X331" s="3"/>
      <c r="Y331" s="3"/>
      <c r="AA331" s="1431" t="s">
        <v>1169</v>
      </c>
      <c r="AB331" s="1431"/>
      <c r="AC331" s="1431"/>
      <c r="AD331" s="1431"/>
      <c r="AE331" s="1431"/>
      <c r="AF331" s="1431"/>
      <c r="AG331" s="1431"/>
      <c r="AH331" s="1431"/>
      <c r="AI331" s="1431"/>
      <c r="AJ331" s="1431"/>
      <c r="AK331" s="1431"/>
    </row>
    <row r="332" spans="2:37" ht="12.95" customHeight="1">
      <c r="B332" s="3" t="s">
        <v>1082</v>
      </c>
      <c r="C332" s="3"/>
      <c r="D332" s="3"/>
      <c r="E332" s="3"/>
      <c r="F332" s="3"/>
      <c r="G332" s="3"/>
      <c r="H332" s="1449" t="s">
        <v>1170</v>
      </c>
      <c r="I332" s="1449"/>
      <c r="J332" s="1449"/>
      <c r="K332" s="1449"/>
      <c r="L332" s="1449"/>
      <c r="M332" s="1449"/>
      <c r="N332" s="3" t="s">
        <v>1084</v>
      </c>
      <c r="O332" s="3"/>
      <c r="P332" s="1444">
        <v>421</v>
      </c>
      <c r="Q332" s="1444"/>
      <c r="R332" s="1444"/>
      <c r="S332" s="3"/>
      <c r="T332" s="3" t="s">
        <v>1082</v>
      </c>
      <c r="V332" s="3"/>
      <c r="W332" s="3"/>
      <c r="X332" s="3"/>
      <c r="Y332" s="3"/>
      <c r="AA332" s="1449" t="s">
        <v>1171</v>
      </c>
      <c r="AB332" s="1449"/>
      <c r="AC332" s="1449"/>
      <c r="AD332" s="1449"/>
      <c r="AE332" s="1449"/>
      <c r="AF332" s="1449"/>
      <c r="AG332" s="3" t="s">
        <v>1084</v>
      </c>
      <c r="AH332" s="3"/>
      <c r="AI332" s="1444"/>
      <c r="AJ332" s="1444"/>
      <c r="AK332" s="1444"/>
    </row>
    <row r="333" spans="2:37" ht="12.95" customHeight="1">
      <c r="B333" s="3" t="s">
        <v>1085</v>
      </c>
      <c r="C333" s="3"/>
      <c r="D333" s="3"/>
      <c r="E333" s="3"/>
      <c r="F333" s="3"/>
      <c r="G333" s="3"/>
      <c r="H333" s="1564"/>
      <c r="I333" s="1564"/>
      <c r="J333" s="1564"/>
      <c r="K333" s="1564"/>
      <c r="L333" s="1564"/>
      <c r="M333" s="1564"/>
      <c r="N333" s="3"/>
      <c r="O333" s="3"/>
      <c r="P333" s="84"/>
      <c r="Q333" s="84"/>
      <c r="R333" s="84"/>
      <c r="S333" s="3"/>
      <c r="T333" s="3" t="s">
        <v>1085</v>
      </c>
      <c r="V333" s="3"/>
      <c r="W333" s="3"/>
      <c r="X333" s="3"/>
      <c r="Y333" s="3"/>
      <c r="AA333" s="1564"/>
      <c r="AB333" s="1564"/>
      <c r="AC333" s="1564"/>
      <c r="AD333" s="1564"/>
      <c r="AE333" s="1564"/>
      <c r="AF333" s="1564"/>
      <c r="AG333" s="3"/>
      <c r="AH333" s="3"/>
      <c r="AI333" s="84"/>
      <c r="AJ333" s="84"/>
      <c r="AK333" s="84"/>
    </row>
    <row r="334" spans="2:37" ht="12.95" customHeight="1">
      <c r="B334" s="3" t="s">
        <v>1133</v>
      </c>
      <c r="C334" s="3"/>
      <c r="D334" s="3"/>
      <c r="E334" s="3"/>
      <c r="F334" s="3"/>
      <c r="G334" s="3"/>
      <c r="H334" s="1354" t="s">
        <v>1172</v>
      </c>
      <c r="I334" s="1431"/>
      <c r="J334" s="1431"/>
      <c r="K334" s="1431"/>
      <c r="L334" s="1431"/>
      <c r="M334" s="1431"/>
      <c r="N334" s="1450"/>
      <c r="O334" s="1450"/>
      <c r="P334" s="1450"/>
      <c r="Q334" s="1450"/>
      <c r="R334" s="1450"/>
      <c r="S334" s="3"/>
      <c r="T334" s="3" t="s">
        <v>1133</v>
      </c>
      <c r="V334" s="3"/>
      <c r="W334" s="3"/>
      <c r="X334" s="3"/>
      <c r="Y334" s="3"/>
      <c r="AA334" s="1431" t="s">
        <v>1173</v>
      </c>
      <c r="AB334" s="1431"/>
      <c r="AC334" s="1431"/>
      <c r="AD334" s="1431"/>
      <c r="AE334" s="1431"/>
      <c r="AF334" s="1431"/>
      <c r="AG334" s="1450"/>
      <c r="AH334" s="1450"/>
      <c r="AI334" s="1450"/>
      <c r="AJ334" s="1450"/>
      <c r="AK334" s="1450"/>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1174</v>
      </c>
      <c r="C336" s="3"/>
      <c r="D336" s="3"/>
      <c r="E336" s="3"/>
      <c r="F336" s="3"/>
      <c r="H336" s="1450" t="s">
        <v>1175</v>
      </c>
      <c r="I336" s="1450"/>
      <c r="J336" s="1450"/>
      <c r="K336" s="1450"/>
      <c r="L336" s="1450"/>
      <c r="M336" s="1450"/>
      <c r="N336" s="1450"/>
      <c r="O336" s="1450"/>
      <c r="P336" s="1450"/>
      <c r="Q336" s="1450"/>
      <c r="R336" s="1450"/>
      <c r="T336" s="3" t="s">
        <v>1176</v>
      </c>
      <c r="V336" s="3"/>
      <c r="W336" s="3"/>
      <c r="X336" s="3"/>
      <c r="Y336" s="3"/>
      <c r="AA336" s="1450" t="s">
        <v>822</v>
      </c>
      <c r="AB336" s="1450"/>
      <c r="AC336" s="1450"/>
      <c r="AD336" s="1450"/>
      <c r="AE336" s="1450"/>
      <c r="AF336" s="1450"/>
      <c r="AG336" s="1450"/>
      <c r="AH336" s="1450"/>
      <c r="AI336" s="1450"/>
      <c r="AJ336" s="1450"/>
      <c r="AK336" s="1450"/>
    </row>
    <row r="337" spans="2:66" ht="12.95" customHeight="1">
      <c r="B337" s="3" t="s">
        <v>1125</v>
      </c>
      <c r="C337" s="3"/>
      <c r="D337" s="3"/>
      <c r="E337" s="3"/>
      <c r="F337" s="3"/>
      <c r="H337" s="1431" t="s">
        <v>1177</v>
      </c>
      <c r="I337" s="1431"/>
      <c r="J337" s="1431"/>
      <c r="K337" s="1431"/>
      <c r="L337" s="1431"/>
      <c r="M337" s="1431"/>
      <c r="N337" s="1431"/>
      <c r="O337" s="1431"/>
      <c r="P337" s="1431"/>
      <c r="Q337" s="1431"/>
      <c r="R337" s="1431"/>
      <c r="T337" s="3" t="s">
        <v>1125</v>
      </c>
      <c r="V337" s="3"/>
      <c r="W337" s="3"/>
      <c r="X337" s="3"/>
      <c r="Y337" s="3"/>
      <c r="AA337" s="1431"/>
      <c r="AB337" s="1431"/>
      <c r="AC337" s="1431"/>
      <c r="AD337" s="1431"/>
      <c r="AE337" s="1431"/>
      <c r="AF337" s="1431"/>
      <c r="AG337" s="1431"/>
      <c r="AH337" s="1431"/>
      <c r="AI337" s="1431"/>
      <c r="AJ337" s="1431"/>
      <c r="AK337" s="1431"/>
    </row>
    <row r="338" spans="2:66" ht="12.95" customHeight="1">
      <c r="B338" s="3" t="s">
        <v>1127</v>
      </c>
      <c r="C338" s="3"/>
      <c r="D338" s="3"/>
      <c r="E338" s="3"/>
      <c r="F338" s="3"/>
      <c r="H338" s="1431" t="s">
        <v>1178</v>
      </c>
      <c r="I338" s="1431"/>
      <c r="J338" s="1431"/>
      <c r="K338" s="1431"/>
      <c r="L338" s="1431"/>
      <c r="M338" s="1431"/>
      <c r="N338" s="1431"/>
      <c r="O338" s="1431"/>
      <c r="P338" s="1431"/>
      <c r="Q338" s="1431"/>
      <c r="R338" s="1431"/>
      <c r="T338" s="3" t="s">
        <v>1129</v>
      </c>
      <c r="V338" s="3"/>
      <c r="W338" s="3"/>
      <c r="X338" s="3"/>
      <c r="Y338" s="3"/>
      <c r="AA338" s="1431"/>
      <c r="AB338" s="1431"/>
      <c r="AC338" s="1431"/>
      <c r="AD338" s="1431"/>
      <c r="AE338" s="1431"/>
      <c r="AF338" s="1431"/>
      <c r="AG338" s="1431"/>
      <c r="AH338" s="1431"/>
      <c r="AI338" s="1431"/>
      <c r="AJ338" s="1431"/>
      <c r="AK338" s="1431"/>
    </row>
    <row r="339" spans="2:66" ht="12.95" customHeight="1">
      <c r="B339" s="3" t="s">
        <v>1080</v>
      </c>
      <c r="C339" s="3"/>
      <c r="D339" s="3"/>
      <c r="E339" s="3"/>
      <c r="F339" s="3"/>
      <c r="H339" s="1431" t="s">
        <v>1179</v>
      </c>
      <c r="I339" s="1431"/>
      <c r="J339" s="1431"/>
      <c r="K339" s="1431"/>
      <c r="L339" s="1431"/>
      <c r="M339" s="1431"/>
      <c r="N339" s="1431"/>
      <c r="O339" s="1431"/>
      <c r="P339" s="1431"/>
      <c r="Q339" s="1431"/>
      <c r="R339" s="1431"/>
      <c r="T339" s="3" t="s">
        <v>1080</v>
      </c>
      <c r="V339" s="3"/>
      <c r="W339" s="3"/>
      <c r="X339" s="3"/>
      <c r="Y339" s="3"/>
      <c r="AA339" s="1431"/>
      <c r="AB339" s="1431"/>
      <c r="AC339" s="1431"/>
      <c r="AD339" s="1431"/>
      <c r="AE339" s="1431"/>
      <c r="AF339" s="1431"/>
      <c r="AG339" s="1431"/>
      <c r="AH339" s="1431"/>
      <c r="AI339" s="1431"/>
      <c r="AJ339" s="1431"/>
      <c r="AK339" s="1431"/>
    </row>
    <row r="340" spans="2:66" ht="12.95" customHeight="1">
      <c r="B340" s="3" t="s">
        <v>1082</v>
      </c>
      <c r="C340" s="3"/>
      <c r="D340" s="3"/>
      <c r="E340" s="3"/>
      <c r="F340" s="3"/>
      <c r="G340" s="3"/>
      <c r="H340" s="1449" t="s">
        <v>1180</v>
      </c>
      <c r="I340" s="1449"/>
      <c r="J340" s="1449"/>
      <c r="K340" s="1449"/>
      <c r="L340" s="1449"/>
      <c r="M340" s="1449"/>
      <c r="N340" s="3" t="s">
        <v>1084</v>
      </c>
      <c r="O340" s="3"/>
      <c r="P340" s="1444"/>
      <c r="Q340" s="1444"/>
      <c r="R340" s="1444"/>
      <c r="S340" s="3"/>
      <c r="T340" s="3" t="s">
        <v>1082</v>
      </c>
      <c r="V340" s="3"/>
      <c r="W340" s="3"/>
      <c r="X340" s="3"/>
      <c r="Y340" s="3"/>
      <c r="AA340" s="1449"/>
      <c r="AB340" s="1449"/>
      <c r="AC340" s="1449"/>
      <c r="AD340" s="1449"/>
      <c r="AE340" s="1449"/>
      <c r="AF340" s="1449"/>
      <c r="AG340" s="3" t="s">
        <v>1084</v>
      </c>
      <c r="AH340" s="3"/>
      <c r="AI340" s="1444"/>
      <c r="AJ340" s="1444"/>
      <c r="AK340" s="1444"/>
    </row>
    <row r="341" spans="2:66" ht="12.95" customHeight="1">
      <c r="B341" s="3" t="s">
        <v>1085</v>
      </c>
      <c r="C341" s="3"/>
      <c r="D341" s="3"/>
      <c r="E341" s="3"/>
      <c r="F341" s="3"/>
      <c r="G341" s="3"/>
      <c r="H341" s="1564"/>
      <c r="I341" s="1564"/>
      <c r="J341" s="1564"/>
      <c r="K341" s="1564"/>
      <c r="L341" s="1564"/>
      <c r="M341" s="1564"/>
      <c r="N341" s="3"/>
      <c r="O341" s="3"/>
      <c r="P341" s="84"/>
      <c r="Q341" s="84"/>
      <c r="R341" s="84"/>
      <c r="S341" s="3"/>
      <c r="T341" s="3" t="s">
        <v>1085</v>
      </c>
      <c r="V341" s="3"/>
      <c r="W341" s="3"/>
      <c r="X341" s="3"/>
      <c r="Y341" s="3"/>
      <c r="AA341" s="1564"/>
      <c r="AB341" s="1564"/>
      <c r="AC341" s="1564"/>
      <c r="AD341" s="1564"/>
      <c r="AE341" s="1564"/>
      <c r="AF341" s="1564"/>
      <c r="AG341" s="3"/>
      <c r="AH341" s="3"/>
      <c r="AI341" s="84"/>
      <c r="AJ341" s="84"/>
      <c r="AK341" s="84"/>
    </row>
    <row r="342" spans="2:66" ht="12.95" customHeight="1">
      <c r="B342" s="3" t="s">
        <v>1133</v>
      </c>
      <c r="C342" s="3"/>
      <c r="D342" s="3"/>
      <c r="E342" s="3"/>
      <c r="F342" s="3"/>
      <c r="G342" s="3"/>
      <c r="H342" s="1431" t="s">
        <v>1181</v>
      </c>
      <c r="I342" s="1431"/>
      <c r="J342" s="1431"/>
      <c r="K342" s="1431"/>
      <c r="L342" s="1431"/>
      <c r="M342" s="1431"/>
      <c r="N342" s="1450"/>
      <c r="O342" s="1450"/>
      <c r="P342" s="1450"/>
      <c r="Q342" s="1450"/>
      <c r="R342" s="1450"/>
      <c r="S342" s="3"/>
      <c r="T342" s="3" t="s">
        <v>1133</v>
      </c>
      <c r="V342" s="3"/>
      <c r="W342" s="3"/>
      <c r="X342" s="3"/>
      <c r="Y342" s="3"/>
      <c r="AA342" s="1431"/>
      <c r="AB342" s="1431"/>
      <c r="AC342" s="1431"/>
      <c r="AD342" s="1431"/>
      <c r="AE342" s="1431"/>
      <c r="AF342" s="1431"/>
      <c r="AG342" s="1450"/>
      <c r="AH342" s="1450"/>
      <c r="AI342" s="1450"/>
      <c r="AJ342" s="1450"/>
      <c r="AK342" s="1450"/>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1182</v>
      </c>
      <c r="C344" s="3"/>
      <c r="D344" s="3"/>
      <c r="E344" s="3"/>
      <c r="F344" s="3"/>
      <c r="H344" s="1444" t="s">
        <v>1183</v>
      </c>
      <c r="I344" s="1450"/>
      <c r="J344" s="1450"/>
      <c r="K344" s="1450"/>
      <c r="L344" s="1450"/>
      <c r="M344" s="1450"/>
      <c r="N344" s="1450"/>
      <c r="O344" s="1450"/>
      <c r="P344" s="1450"/>
      <c r="Q344" s="1450"/>
      <c r="R344" s="1450"/>
      <c r="T344" s="136" t="s">
        <v>1184</v>
      </c>
      <c r="V344" s="3"/>
      <c r="W344" s="3"/>
      <c r="X344" s="3"/>
      <c r="Y344" s="3"/>
      <c r="AA344" s="1444" t="s">
        <v>1185</v>
      </c>
      <c r="AB344" s="1450"/>
      <c r="AC344" s="1450"/>
      <c r="AD344" s="1450"/>
      <c r="AE344" s="1450"/>
      <c r="AF344" s="1450"/>
      <c r="AG344" s="1450"/>
      <c r="AH344" s="1450"/>
      <c r="AI344" s="1450"/>
      <c r="AJ344" s="1450"/>
      <c r="AK344" s="1450"/>
    </row>
    <row r="345" spans="2:66" ht="12.95" customHeight="1">
      <c r="B345" s="3" t="s">
        <v>1125</v>
      </c>
      <c r="C345" s="3"/>
      <c r="D345" s="3"/>
      <c r="E345" s="3"/>
      <c r="F345" s="3"/>
      <c r="H345" s="1354" t="s">
        <v>1186</v>
      </c>
      <c r="I345" s="1431"/>
      <c r="J345" s="1431"/>
      <c r="K345" s="1431"/>
      <c r="L345" s="1431"/>
      <c r="M345" s="1431"/>
      <c r="N345" s="1431"/>
      <c r="O345" s="1431"/>
      <c r="P345" s="1431"/>
      <c r="Q345" s="1431"/>
      <c r="R345" s="1431"/>
      <c r="T345" s="3" t="s">
        <v>1125</v>
      </c>
      <c r="V345" s="3"/>
      <c r="W345" s="3"/>
      <c r="X345" s="3"/>
      <c r="Y345" s="3"/>
      <c r="AA345" s="1431" t="s">
        <v>1187</v>
      </c>
      <c r="AB345" s="1431"/>
      <c r="AC345" s="1431"/>
      <c r="AD345" s="1431"/>
      <c r="AE345" s="1431"/>
      <c r="AF345" s="1431"/>
      <c r="AG345" s="1431"/>
      <c r="AH345" s="1431"/>
      <c r="AI345" s="1431"/>
      <c r="AJ345" s="1431"/>
      <c r="AK345" s="1431"/>
    </row>
    <row r="346" spans="2:66" ht="12.95" customHeight="1">
      <c r="B346" s="3" t="s">
        <v>1129</v>
      </c>
      <c r="C346" s="3"/>
      <c r="D346" s="3"/>
      <c r="E346" s="3"/>
      <c r="F346" s="3"/>
      <c r="H346" s="1354" t="s">
        <v>1188</v>
      </c>
      <c r="I346" s="1431"/>
      <c r="J346" s="1431"/>
      <c r="K346" s="1431"/>
      <c r="L346" s="1431"/>
      <c r="M346" s="1431"/>
      <c r="N346" s="1431"/>
      <c r="O346" s="1431"/>
      <c r="P346" s="1431"/>
      <c r="Q346" s="1431"/>
      <c r="R346" s="1431"/>
      <c r="T346" s="3" t="s">
        <v>1129</v>
      </c>
      <c r="V346" s="3"/>
      <c r="W346" s="3"/>
      <c r="X346" s="3"/>
      <c r="Y346" s="3"/>
      <c r="AA346" s="1431" t="s">
        <v>1189</v>
      </c>
      <c r="AB346" s="1431"/>
      <c r="AC346" s="1431"/>
      <c r="AD346" s="1431"/>
      <c r="AE346" s="1431"/>
      <c r="AF346" s="1431"/>
      <c r="AG346" s="1431"/>
      <c r="AH346" s="1431"/>
      <c r="AI346" s="1431"/>
      <c r="AJ346" s="1431"/>
      <c r="AK346" s="1431"/>
    </row>
    <row r="347" spans="2:66" ht="12.95" customHeight="1">
      <c r="B347" s="3" t="s">
        <v>1080</v>
      </c>
      <c r="C347" s="3"/>
      <c r="D347" s="3"/>
      <c r="E347" s="3"/>
      <c r="F347" s="3"/>
      <c r="G347" s="3"/>
      <c r="H347" s="1354" t="s">
        <v>1190</v>
      </c>
      <c r="I347" s="1431"/>
      <c r="J347" s="1431"/>
      <c r="K347" s="1431"/>
      <c r="L347" s="1431"/>
      <c r="M347" s="1431"/>
      <c r="N347" s="1431"/>
      <c r="O347" s="1431"/>
      <c r="P347" s="1431"/>
      <c r="Q347" s="1431"/>
      <c r="R347" s="1431"/>
      <c r="T347" s="3" t="s">
        <v>1080</v>
      </c>
      <c r="V347" s="3"/>
      <c r="W347" s="3"/>
      <c r="X347" s="3"/>
      <c r="Y347" s="3"/>
      <c r="AA347" s="1431" t="s">
        <v>1191</v>
      </c>
      <c r="AB347" s="1431"/>
      <c r="AC347" s="1431"/>
      <c r="AD347" s="1431"/>
      <c r="AE347" s="1431"/>
      <c r="AF347" s="1431"/>
      <c r="AG347" s="1431"/>
      <c r="AH347" s="1431"/>
      <c r="AI347" s="1431"/>
      <c r="AJ347" s="1431"/>
      <c r="AK347" s="1431"/>
    </row>
    <row r="348" spans="2:66" ht="12.95" customHeight="1">
      <c r="B348" s="3" t="s">
        <v>1082</v>
      </c>
      <c r="C348" s="3"/>
      <c r="D348" s="3"/>
      <c r="E348" s="3"/>
      <c r="F348" s="3"/>
      <c r="G348" s="3"/>
      <c r="H348" s="1449" t="s">
        <v>1192</v>
      </c>
      <c r="I348" s="1449"/>
      <c r="J348" s="1449"/>
      <c r="K348" s="1449"/>
      <c r="L348" s="1449"/>
      <c r="M348" s="1449"/>
      <c r="N348" s="3" t="s">
        <v>1084</v>
      </c>
      <c r="O348" s="3"/>
      <c r="P348" s="1444"/>
      <c r="Q348" s="1444"/>
      <c r="R348" s="1444"/>
      <c r="S348" s="3"/>
      <c r="T348" s="3" t="s">
        <v>1082</v>
      </c>
      <c r="V348" s="3"/>
      <c r="W348" s="3"/>
      <c r="X348" s="3"/>
      <c r="Y348" s="3"/>
      <c r="AA348" s="1449" t="s">
        <v>1193</v>
      </c>
      <c r="AB348" s="1449"/>
      <c r="AC348" s="1449"/>
      <c r="AD348" s="1449"/>
      <c r="AE348" s="1449"/>
      <c r="AF348" s="1449"/>
      <c r="AG348" s="3" t="s">
        <v>1084</v>
      </c>
      <c r="AH348" s="3"/>
      <c r="AI348" s="1444"/>
      <c r="AJ348" s="1444"/>
      <c r="AK348" s="1444"/>
    </row>
    <row r="349" spans="2:66" ht="12.95" customHeight="1">
      <c r="B349" s="3" t="s">
        <v>1085</v>
      </c>
      <c r="C349" s="3"/>
      <c r="D349" s="3"/>
      <c r="E349" s="3"/>
      <c r="F349" s="3"/>
      <c r="G349" s="3"/>
      <c r="H349" s="1564"/>
      <c r="I349" s="1564"/>
      <c r="J349" s="1564"/>
      <c r="K349" s="1564"/>
      <c r="L349" s="1564"/>
      <c r="M349" s="1564"/>
      <c r="N349" s="3"/>
      <c r="O349" s="3"/>
      <c r="P349" s="84"/>
      <c r="Q349" s="84"/>
      <c r="R349" s="84"/>
      <c r="S349" s="3"/>
      <c r="T349" s="3" t="s">
        <v>1085</v>
      </c>
      <c r="V349" s="3"/>
      <c r="W349" s="3"/>
      <c r="X349" s="3"/>
      <c r="Y349" s="3"/>
      <c r="AA349" s="1564"/>
      <c r="AB349" s="1564"/>
      <c r="AC349" s="1564"/>
      <c r="AD349" s="1564"/>
      <c r="AE349" s="1564"/>
      <c r="AF349" s="1564"/>
      <c r="AG349" s="3"/>
      <c r="AH349" s="3"/>
      <c r="AI349" s="84"/>
      <c r="AJ349" s="84"/>
      <c r="AK349" s="84"/>
    </row>
    <row r="350" spans="2:66" ht="12.95" customHeight="1">
      <c r="B350" s="3" t="s">
        <v>1133</v>
      </c>
      <c r="C350" s="3"/>
      <c r="D350" s="3"/>
      <c r="E350" s="3"/>
      <c r="F350" s="3"/>
      <c r="G350" s="3"/>
      <c r="H350" s="1354" t="s">
        <v>1194</v>
      </c>
      <c r="I350" s="1431"/>
      <c r="J350" s="1431"/>
      <c r="K350" s="1431"/>
      <c r="L350" s="1431"/>
      <c r="M350" s="1431"/>
      <c r="N350" s="1450"/>
      <c r="O350" s="1450"/>
      <c r="P350" s="1450"/>
      <c r="Q350" s="1450"/>
      <c r="R350" s="1450"/>
      <c r="S350" s="3"/>
      <c r="T350" s="3" t="s">
        <v>1133</v>
      </c>
      <c r="V350" s="3"/>
      <c r="W350" s="3"/>
      <c r="X350" s="3"/>
      <c r="Y350" s="3"/>
      <c r="AA350" s="1431" t="s">
        <v>1195</v>
      </c>
      <c r="AB350" s="1431"/>
      <c r="AC350" s="1431"/>
      <c r="AD350" s="1431"/>
      <c r="AE350" s="1431"/>
      <c r="AF350" s="1431"/>
      <c r="AG350" s="1450"/>
      <c r="AH350" s="1450"/>
      <c r="AI350" s="1450"/>
      <c r="AJ350" s="1450"/>
      <c r="AK350" s="1450"/>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1196</v>
      </c>
      <c r="P352" s="1450" t="s">
        <v>822</v>
      </c>
      <c r="Q352" s="1450"/>
      <c r="R352" s="1450"/>
      <c r="S352" s="1450"/>
      <c r="T352" s="1450"/>
      <c r="U352" s="1450"/>
      <c r="V352" s="1450"/>
      <c r="W352" s="1450"/>
      <c r="X352" s="1450"/>
      <c r="Y352" s="1450"/>
      <c r="Z352" s="1450"/>
      <c r="AA352" s="1450"/>
      <c r="AB352" s="1450"/>
      <c r="AC352" s="1450"/>
      <c r="AD352" s="1450"/>
      <c r="AE352" s="1450"/>
      <c r="BN352" t="s">
        <v>700</v>
      </c>
    </row>
    <row r="353" spans="1:66" ht="12.95" customHeight="1">
      <c r="B353" s="3"/>
      <c r="C353" s="3"/>
      <c r="D353" s="3"/>
      <c r="E353" s="3"/>
      <c r="F353" s="3"/>
      <c r="I353" s="3" t="s">
        <v>1125</v>
      </c>
      <c r="P353" s="1431"/>
      <c r="Q353" s="1431"/>
      <c r="R353" s="1431"/>
      <c r="S353" s="1431"/>
      <c r="T353" s="1431"/>
      <c r="U353" s="1431"/>
      <c r="V353" s="1431"/>
      <c r="W353" s="1431"/>
      <c r="X353" s="1431"/>
      <c r="Y353" s="1431"/>
      <c r="Z353" s="1431"/>
      <c r="AA353" s="1431"/>
      <c r="AB353" s="1431"/>
      <c r="AC353" s="1431"/>
      <c r="AD353" s="1431"/>
      <c r="AE353" s="1431"/>
      <c r="BN353" t="s">
        <v>857</v>
      </c>
    </row>
    <row r="354" spans="1:66" ht="12.95" customHeight="1">
      <c r="B354" s="3"/>
      <c r="C354" s="3"/>
      <c r="D354" s="3"/>
      <c r="E354" s="3"/>
      <c r="F354" s="3"/>
      <c r="I354" s="3" t="s">
        <v>1129</v>
      </c>
      <c r="P354" s="1431"/>
      <c r="Q354" s="1431"/>
      <c r="R354" s="1431"/>
      <c r="S354" s="1431"/>
      <c r="T354" s="1431"/>
      <c r="U354" s="1431"/>
      <c r="V354" s="1431"/>
      <c r="W354" s="1431"/>
      <c r="X354" s="1431"/>
      <c r="Y354" s="1431"/>
      <c r="Z354" s="1431"/>
      <c r="AA354" s="1431"/>
      <c r="AB354" s="1431"/>
      <c r="AC354" s="1431"/>
      <c r="AD354" s="1431"/>
      <c r="AE354" s="1431"/>
    </row>
    <row r="355" spans="1:66" ht="12.95" customHeight="1">
      <c r="B355" s="3"/>
      <c r="C355" s="3"/>
      <c r="D355" s="3"/>
      <c r="E355" s="3"/>
      <c r="F355" s="3"/>
      <c r="G355" s="3"/>
      <c r="I355" s="3" t="s">
        <v>1080</v>
      </c>
      <c r="P355" s="1431"/>
      <c r="Q355" s="1431"/>
      <c r="R355" s="1431"/>
      <c r="S355" s="1431"/>
      <c r="T355" s="1431"/>
      <c r="U355" s="1431"/>
      <c r="V355" s="1431"/>
      <c r="W355" s="1431"/>
      <c r="X355" s="1431"/>
      <c r="Y355" s="1431"/>
      <c r="Z355" s="1431"/>
      <c r="AA355" s="1431"/>
      <c r="AB355" s="1431"/>
      <c r="AC355" s="1431"/>
      <c r="AD355" s="1431"/>
      <c r="AE355" s="1431"/>
    </row>
    <row r="356" spans="1:66" ht="12.95" customHeight="1">
      <c r="B356" s="3"/>
      <c r="C356" s="3"/>
      <c r="D356" s="3"/>
      <c r="E356" s="3"/>
      <c r="F356" s="3"/>
      <c r="G356" s="3"/>
      <c r="H356" s="1166"/>
      <c r="I356" s="3" t="s">
        <v>1082</v>
      </c>
      <c r="P356" s="1564"/>
      <c r="Q356" s="1564"/>
      <c r="R356" s="1564"/>
      <c r="S356" s="1564"/>
      <c r="T356" s="1564"/>
      <c r="U356" s="1564"/>
      <c r="V356" s="1564"/>
      <c r="W356" s="1564"/>
      <c r="X356" s="1564"/>
      <c r="Y356" s="1564"/>
      <c r="Z356" s="1564"/>
      <c r="AA356" s="3" t="s">
        <v>1084</v>
      </c>
      <c r="AB356" s="3"/>
      <c r="AC356" s="1354"/>
      <c r="AD356" s="1354"/>
      <c r="AE356" s="1354"/>
      <c r="AF356" s="1166"/>
      <c r="AG356" s="3"/>
      <c r="AH356" s="3"/>
      <c r="AI356" s="3"/>
      <c r="AJ356" s="3"/>
      <c r="AK356" s="3"/>
    </row>
    <row r="357" spans="1:66" ht="12.95" customHeight="1">
      <c r="B357" s="3"/>
      <c r="C357" s="3"/>
      <c r="D357" s="3"/>
      <c r="E357" s="3"/>
      <c r="F357" s="3"/>
      <c r="G357" s="3"/>
      <c r="H357" s="1166"/>
      <c r="I357" s="3" t="s">
        <v>1085</v>
      </c>
      <c r="P357" s="1564"/>
      <c r="Q357" s="1564"/>
      <c r="R357" s="1564"/>
      <c r="S357" s="1564"/>
      <c r="T357" s="1564"/>
      <c r="U357" s="1564"/>
      <c r="V357" s="1564"/>
      <c r="W357" s="1564"/>
      <c r="X357" s="1564"/>
      <c r="Y357" s="1564"/>
      <c r="Z357" s="1564"/>
      <c r="AF357" s="1166"/>
      <c r="AG357" s="3"/>
      <c r="AH357" s="3"/>
      <c r="AI357" s="84"/>
      <c r="AJ357" s="84"/>
      <c r="AK357" s="84"/>
    </row>
    <row r="358" spans="1:66" ht="12.95" customHeight="1">
      <c r="B358" s="3"/>
      <c r="C358" s="3"/>
      <c r="D358" s="3"/>
      <c r="E358" s="3"/>
      <c r="F358" s="3"/>
      <c r="G358" s="3"/>
      <c r="I358" s="3" t="s">
        <v>1133</v>
      </c>
      <c r="P358" s="1450"/>
      <c r="Q358" s="1450"/>
      <c r="R358" s="1450"/>
      <c r="S358" s="1450"/>
      <c r="T358" s="1450"/>
      <c r="U358" s="1450"/>
      <c r="V358" s="1450"/>
      <c r="W358" s="1450"/>
      <c r="X358" s="1450"/>
      <c r="Y358" s="1450"/>
      <c r="Z358" s="1450"/>
      <c r="AA358" s="1450"/>
      <c r="AB358" s="1450"/>
      <c r="AC358" s="1450"/>
      <c r="AD358" s="1450"/>
      <c r="AE358" s="1450"/>
    </row>
    <row r="359" spans="1:66" ht="12.95" customHeight="1">
      <c r="T359" s="7"/>
      <c r="U359" s="7"/>
      <c r="V359" s="7"/>
      <c r="W359" s="7"/>
      <c r="X359" s="7"/>
      <c r="Y359" s="7"/>
      <c r="Z359" s="7"/>
      <c r="AU359" s="70"/>
      <c r="AV359" s="70"/>
      <c r="AW359" s="70"/>
      <c r="AX359" s="70"/>
      <c r="AY359" s="70"/>
    </row>
    <row r="360" spans="1:66" ht="12.95" customHeight="1">
      <c r="A360" s="1448" t="s">
        <v>1197</v>
      </c>
      <c r="B360" s="1448"/>
      <c r="C360" s="1448"/>
      <c r="D360" s="1448"/>
      <c r="E360" s="1448"/>
      <c r="F360" s="1448"/>
      <c r="G360" s="1448"/>
      <c r="H360" s="1448"/>
      <c r="I360" s="1448"/>
      <c r="J360" s="1448"/>
      <c r="K360" s="1448"/>
      <c r="L360" s="1448"/>
      <c r="M360" s="1448"/>
      <c r="N360" s="1448"/>
      <c r="O360" s="1448"/>
      <c r="P360" s="1448"/>
      <c r="Q360" s="1448"/>
      <c r="R360" s="1448"/>
      <c r="S360" s="1448"/>
      <c r="T360" s="1448"/>
      <c r="U360" s="1448"/>
      <c r="V360" s="1448"/>
      <c r="W360" s="1448"/>
      <c r="X360" s="1448"/>
      <c r="Y360" s="1448"/>
      <c r="Z360" s="1448"/>
      <c r="AA360" s="1448"/>
      <c r="AB360" s="1448"/>
      <c r="AC360" s="1448"/>
      <c r="AD360" s="1448"/>
      <c r="AE360" s="1448"/>
      <c r="AF360" s="1448"/>
      <c r="AG360" s="1448"/>
      <c r="AH360" s="1448"/>
      <c r="AI360" s="1448"/>
      <c r="AJ360" s="1448"/>
      <c r="AK360" s="1448"/>
      <c r="AL360" s="1448"/>
      <c r="AM360" s="1448"/>
      <c r="AN360" s="1448"/>
      <c r="AO360" s="1448"/>
      <c r="AP360" s="1448"/>
      <c r="AQ360" s="1448"/>
      <c r="AR360" s="1448"/>
      <c r="AS360" s="1448"/>
      <c r="AT360" s="1448"/>
      <c r="AU360" s="70"/>
      <c r="AV360" s="70"/>
      <c r="AW360" s="70"/>
      <c r="AX360" s="70"/>
      <c r="AY360" s="70"/>
    </row>
    <row r="361" spans="1:66" ht="12.95" customHeight="1">
      <c r="A361" s="1448"/>
      <c r="B361" s="1448"/>
      <c r="C361" s="1448"/>
      <c r="D361" s="1448"/>
      <c r="E361" s="1448"/>
      <c r="F361" s="1448"/>
      <c r="G361" s="1448"/>
      <c r="H361" s="1448"/>
      <c r="I361" s="1448"/>
      <c r="J361" s="1448"/>
      <c r="K361" s="1448"/>
      <c r="L361" s="1448"/>
      <c r="M361" s="1448"/>
      <c r="N361" s="1448"/>
      <c r="O361" s="1448"/>
      <c r="P361" s="1448"/>
      <c r="Q361" s="1448"/>
      <c r="R361" s="1448"/>
      <c r="S361" s="1448"/>
      <c r="T361" s="1448"/>
      <c r="U361" s="1448"/>
      <c r="V361" s="1448"/>
      <c r="W361" s="1448"/>
      <c r="X361" s="1448"/>
      <c r="Y361" s="1448"/>
      <c r="Z361" s="1448"/>
      <c r="AA361" s="1448"/>
      <c r="AB361" s="1448"/>
      <c r="AC361" s="1448"/>
      <c r="AD361" s="1448"/>
      <c r="AE361" s="1448"/>
      <c r="AF361" s="1448"/>
      <c r="AG361" s="1448"/>
      <c r="AH361" s="1448"/>
      <c r="AI361" s="1448"/>
      <c r="AJ361" s="1448"/>
      <c r="AK361" s="1448"/>
      <c r="AL361" s="1448"/>
      <c r="AM361" s="1448"/>
      <c r="AN361" s="1448"/>
      <c r="AO361" s="1448"/>
      <c r="AP361" s="1448"/>
      <c r="AQ361" s="1448"/>
      <c r="AR361" s="1448"/>
      <c r="AS361" s="1448"/>
      <c r="AT361" s="1448"/>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1198</v>
      </c>
    </row>
    <row r="364" spans="1:66" ht="12.95" customHeight="1">
      <c r="D364" s="3" t="s">
        <v>692</v>
      </c>
      <c r="M364" s="1310" t="s">
        <v>857</v>
      </c>
      <c r="N364" s="1310"/>
      <c r="P364" t="s">
        <v>1199</v>
      </c>
      <c r="AJ364" s="1310" t="s">
        <v>700</v>
      </c>
      <c r="AK364" s="1310"/>
    </row>
    <row r="365" spans="1:66" ht="12.95" customHeight="1">
      <c r="D365" s="3" t="s">
        <v>690</v>
      </c>
      <c r="M365" s="1310" t="s">
        <v>822</v>
      </c>
      <c r="N365" s="1310"/>
      <c r="P365" s="3" t="s">
        <v>1200</v>
      </c>
      <c r="AJ365" s="1423"/>
      <c r="AK365" s="1423"/>
    </row>
    <row r="366" spans="1:66" ht="12.95" customHeight="1">
      <c r="D366" s="3" t="s">
        <v>1201</v>
      </c>
      <c r="M366" s="1310" t="s">
        <v>822</v>
      </c>
      <c r="N366" s="1310"/>
      <c r="P366" t="s">
        <v>1202</v>
      </c>
      <c r="AJ366" s="1310" t="s">
        <v>700</v>
      </c>
      <c r="AK366" s="1310"/>
    </row>
    <row r="367" spans="1:66" ht="12.95" customHeight="1">
      <c r="D367" s="3" t="s">
        <v>1203</v>
      </c>
      <c r="M367" s="1310" t="s">
        <v>822</v>
      </c>
      <c r="N367" s="1310"/>
      <c r="Q367" s="3"/>
    </row>
    <row r="368" spans="1:66" ht="12.95" customHeight="1">
      <c r="Q368" s="3"/>
    </row>
    <row r="369" spans="1:34" ht="12.95" customHeight="1">
      <c r="Q369" s="3"/>
    </row>
    <row r="370" spans="1:34" ht="12.95" customHeight="1">
      <c r="A370" s="2" t="s">
        <v>923</v>
      </c>
      <c r="B370" s="2"/>
      <c r="C370" s="2" t="s">
        <v>1204</v>
      </c>
      <c r="D370" s="2"/>
    </row>
    <row r="371" spans="1:34" ht="12.95" customHeight="1">
      <c r="D371" s="31" t="s">
        <v>1205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1206</v>
      </c>
      <c r="E372" s="32"/>
      <c r="F372" s="32"/>
      <c r="G372" s="32"/>
      <c r="H372" s="32"/>
      <c r="I372" s="32"/>
      <c r="J372" s="32"/>
      <c r="K372" s="32"/>
      <c r="L372" s="32"/>
      <c r="M372" s="32"/>
      <c r="N372" s="1310" t="s">
        <v>822</v>
      </c>
      <c r="O372" s="1310"/>
      <c r="P372" s="32"/>
      <c r="Q372" s="32"/>
      <c r="R372" s="32"/>
      <c r="S372" s="32"/>
      <c r="T372" s="32"/>
      <c r="U372" s="32"/>
      <c r="V372" s="32"/>
      <c r="W372" s="32"/>
      <c r="X372" s="32"/>
      <c r="Y372" s="32"/>
      <c r="Z372" s="32"/>
      <c r="AC372" s="32"/>
      <c r="AD372" s="32"/>
      <c r="AE372" s="32"/>
    </row>
    <row r="373" spans="1:34" ht="12.95" customHeight="1">
      <c r="E373" t="s">
        <v>1207</v>
      </c>
      <c r="Y373" s="1310" t="s">
        <v>822</v>
      </c>
      <c r="Z373" s="1310"/>
    </row>
    <row r="374" spans="1:34" ht="12.95" customHeight="1">
      <c r="D374" s="3" t="s">
        <v>1208</v>
      </c>
      <c r="Q374" s="1450"/>
      <c r="R374" s="1450"/>
      <c r="S374" s="1450"/>
      <c r="T374" s="1450"/>
      <c r="U374" s="1450"/>
      <c r="V374" s="1450"/>
      <c r="W374" s="1450"/>
      <c r="X374" s="1450"/>
      <c r="Y374" s="1450"/>
      <c r="Z374" s="1450"/>
      <c r="AA374" s="1450"/>
      <c r="AB374" s="1450"/>
      <c r="AC374" s="1450"/>
      <c r="AD374" s="1450"/>
      <c r="AE374" s="1450"/>
      <c r="AF374" s="1450"/>
      <c r="AG374" s="1450"/>
    </row>
    <row r="375" spans="1:34" ht="12.95" customHeight="1">
      <c r="D375" t="s">
        <v>1209</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1210</v>
      </c>
      <c r="E376" s="32"/>
      <c r="F376" s="32"/>
      <c r="G376" s="32"/>
      <c r="H376" s="32"/>
      <c r="I376" s="32"/>
      <c r="J376" s="1310" t="s">
        <v>822</v>
      </c>
      <c r="K376" s="1310"/>
      <c r="L376" s="32"/>
      <c r="M376" s="32"/>
      <c r="N376" s="32"/>
      <c r="O376" s="32"/>
      <c r="P376" s="32"/>
      <c r="Q376" s="32"/>
      <c r="R376" s="32"/>
      <c r="S376" s="32"/>
      <c r="T376" s="32"/>
      <c r="U376" s="32"/>
      <c r="V376" s="32"/>
      <c r="W376" s="32"/>
      <c r="X376" s="32"/>
      <c r="Y376" s="32"/>
      <c r="Z376" s="32"/>
      <c r="AC376" s="32"/>
      <c r="AD376" s="32"/>
      <c r="AE376" s="32"/>
    </row>
    <row r="377" spans="1:34" ht="12.95" customHeight="1">
      <c r="E377" s="1230" t="s">
        <v>1211</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2.95"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2.95" customHeight="1">
      <c r="E379" s="3" t="s">
        <v>1212</v>
      </c>
      <c r="F379" s="3"/>
      <c r="G379" s="3"/>
      <c r="H379" s="3"/>
      <c r="I379" s="3"/>
      <c r="J379" s="3"/>
      <c r="K379" s="3"/>
      <c r="L379" s="3"/>
      <c r="N379" s="1314"/>
      <c r="O379" s="1314"/>
      <c r="P379" s="1314"/>
      <c r="Q379" s="1314"/>
      <c r="R379" s="3"/>
      <c r="U379" s="3" t="s">
        <v>1213</v>
      </c>
      <c r="V379" s="3"/>
      <c r="W379" s="3"/>
      <c r="X379" s="3"/>
      <c r="Y379" s="3"/>
      <c r="Z379" s="3"/>
      <c r="AA379" s="3"/>
      <c r="AB379" s="3"/>
      <c r="AC379" s="1314"/>
      <c r="AD379" s="1314"/>
      <c r="AE379" s="1314"/>
      <c r="AF379" s="1314"/>
    </row>
    <row r="380" spans="1:34" ht="12.95" customHeight="1">
      <c r="E380" s="3" t="s">
        <v>1214</v>
      </c>
      <c r="F380" s="3"/>
      <c r="G380" s="3"/>
      <c r="H380" s="3"/>
      <c r="I380" s="3"/>
      <c r="J380" s="3"/>
      <c r="K380" s="3"/>
      <c r="L380" s="3"/>
      <c r="N380" s="1314"/>
      <c r="O380" s="1314"/>
      <c r="P380" s="1314"/>
      <c r="Q380" s="1314"/>
      <c r="R380" s="3"/>
      <c r="U380" s="3" t="s">
        <v>1215</v>
      </c>
      <c r="V380" s="3"/>
      <c r="W380" s="3"/>
      <c r="X380" s="3"/>
      <c r="Y380" s="3"/>
      <c r="Z380" s="3"/>
      <c r="AA380" s="3"/>
      <c r="AB380" s="3"/>
      <c r="AC380" s="1314"/>
      <c r="AD380" s="1314"/>
      <c r="AE380" s="1314"/>
      <c r="AF380" s="1314"/>
    </row>
    <row r="381" spans="1:34" ht="12.95" customHeight="1">
      <c r="E381" s="3" t="s">
        <v>1216</v>
      </c>
      <c r="F381" s="3"/>
      <c r="G381" s="3"/>
      <c r="H381" s="3"/>
      <c r="I381" s="3"/>
      <c r="J381" s="3"/>
      <c r="K381" s="3"/>
      <c r="L381" s="3"/>
      <c r="N381" s="1314"/>
      <c r="O381" s="1314"/>
      <c r="P381" s="1314"/>
      <c r="Q381" s="1314"/>
      <c r="R381" s="3"/>
      <c r="V381" s="3"/>
      <c r="W381" s="3"/>
      <c r="X381" s="3"/>
      <c r="Y381" s="3"/>
      <c r="Z381" s="3"/>
      <c r="AA381" s="3"/>
      <c r="AB381" s="3"/>
    </row>
    <row r="382" spans="1:34" ht="12.95" customHeight="1">
      <c r="E382" s="3" t="s">
        <v>1217</v>
      </c>
      <c r="F382" s="3"/>
      <c r="G382" s="3"/>
      <c r="H382" s="3"/>
      <c r="I382" s="3"/>
      <c r="J382" s="3"/>
      <c r="K382" s="3"/>
      <c r="L382" s="3"/>
      <c r="N382" s="1688" t="s">
        <v>1218</v>
      </c>
      <c r="O382" s="1688"/>
      <c r="P382" s="1688"/>
      <c r="Q382" s="1688"/>
      <c r="R382" s="1688"/>
      <c r="S382" s="1688"/>
      <c r="T382" s="1688"/>
      <c r="U382" s="1688"/>
      <c r="V382" s="1688"/>
      <c r="W382" s="1688"/>
      <c r="X382" s="1688"/>
      <c r="Y382" s="1688"/>
      <c r="Z382" s="1688"/>
      <c r="AA382" s="1688"/>
      <c r="AB382" s="1688"/>
      <c r="AC382" s="1688"/>
      <c r="AD382" s="1688"/>
      <c r="AE382" s="1688"/>
      <c r="AF382" s="1688"/>
    </row>
    <row r="383" spans="1:34" ht="12.95" customHeight="1">
      <c r="E383" s="3"/>
      <c r="F383" s="3"/>
      <c r="G383" s="3"/>
      <c r="H383" s="3"/>
      <c r="I383" s="3"/>
      <c r="J383" s="3"/>
      <c r="K383" s="3"/>
      <c r="L383" s="3"/>
      <c r="N383" s="1689"/>
      <c r="O383" s="1689"/>
      <c r="P383" s="1689"/>
      <c r="Q383" s="1689"/>
      <c r="R383" s="1689"/>
      <c r="S383" s="1689"/>
      <c r="T383" s="1689"/>
      <c r="U383" s="1689"/>
      <c r="V383" s="1689"/>
      <c r="W383" s="1689"/>
      <c r="X383" s="1689"/>
      <c r="Y383" s="1689"/>
      <c r="Z383" s="1689"/>
      <c r="AA383" s="1689"/>
      <c r="AB383" s="1689"/>
      <c r="AC383" s="1689"/>
      <c r="AD383" s="1689"/>
      <c r="AE383" s="1689"/>
      <c r="AF383" s="1689"/>
    </row>
    <row r="384" spans="1:34" ht="12.95" customHeight="1">
      <c r="C384" s="412"/>
      <c r="E384" s="3"/>
      <c r="F384" s="3"/>
      <c r="G384" s="3"/>
      <c r="H384" s="3"/>
      <c r="I384" s="3"/>
      <c r="J384" s="3"/>
      <c r="K384" s="3"/>
      <c r="L384" s="3"/>
    </row>
    <row r="385" spans="1:36" ht="12.95" customHeight="1">
      <c r="D385" s="2" t="s">
        <v>1219</v>
      </c>
      <c r="E385" s="2"/>
      <c r="F385" s="3"/>
      <c r="G385" s="3"/>
      <c r="H385" s="3"/>
      <c r="I385" s="3"/>
      <c r="J385" s="3"/>
      <c r="K385" s="3"/>
      <c r="L385" s="3"/>
    </row>
    <row r="386" spans="1:36" ht="12.95" customHeight="1">
      <c r="E386" s="3" t="s">
        <v>1220</v>
      </c>
      <c r="F386" s="3"/>
      <c r="G386" s="3"/>
      <c r="H386" s="3"/>
      <c r="I386" s="3"/>
      <c r="J386" s="3"/>
      <c r="K386" s="3"/>
      <c r="L386" s="3"/>
      <c r="N386" t="s">
        <v>899</v>
      </c>
      <c r="R386" s="23" t="s">
        <v>900</v>
      </c>
      <c r="S386" s="1725"/>
      <c r="T386" s="1725"/>
      <c r="U386" s="1" t="s">
        <v>901</v>
      </c>
      <c r="V386" s="1725"/>
      <c r="W386" s="1725"/>
      <c r="Y386" t="s">
        <v>899</v>
      </c>
      <c r="AC386" s="23" t="s">
        <v>900</v>
      </c>
      <c r="AD386" s="1725"/>
      <c r="AE386" s="1725"/>
      <c r="AF386" s="1" t="s">
        <v>901</v>
      </c>
      <c r="AG386" s="1725"/>
      <c r="AH386" s="1725"/>
    </row>
    <row r="387" spans="1:36" ht="12.95" customHeight="1">
      <c r="E387" s="3" t="s">
        <v>1221</v>
      </c>
      <c r="F387" s="3"/>
      <c r="G387" s="3"/>
      <c r="H387" s="3"/>
      <c r="I387" s="3"/>
      <c r="J387" s="3"/>
      <c r="K387" s="3"/>
      <c r="L387" s="3"/>
      <c r="N387" s="1725"/>
      <c r="O387" s="1725"/>
      <c r="P387" s="1725"/>
    </row>
    <row r="388" spans="1:36" ht="12.95" customHeight="1">
      <c r="E388" s="136" t="s">
        <v>1222</v>
      </c>
      <c r="F388" s="3"/>
      <c r="G388" s="3"/>
      <c r="H388" s="3"/>
      <c r="I388" s="3"/>
      <c r="J388" s="3"/>
      <c r="K388" s="3"/>
      <c r="L388" s="3"/>
      <c r="AG388" s="1700" t="s">
        <v>822</v>
      </c>
      <c r="AH388" s="1700"/>
    </row>
    <row r="389" spans="1:36" ht="12.95" customHeight="1">
      <c r="E389" s="3"/>
      <c r="F389" s="3"/>
      <c r="G389" s="3" t="s">
        <v>1223</v>
      </c>
      <c r="H389" s="3"/>
      <c r="I389" s="3"/>
      <c r="J389" s="3"/>
      <c r="K389" s="3"/>
      <c r="L389" s="3"/>
      <c r="AG389" s="1700" t="s">
        <v>822</v>
      </c>
      <c r="AH389" s="1700"/>
    </row>
    <row r="390" spans="1:36" ht="12.95" customHeight="1">
      <c r="E390" s="3"/>
      <c r="F390" s="3"/>
      <c r="G390" s="225" t="s">
        <v>1224</v>
      </c>
      <c r="H390" s="3"/>
      <c r="I390" s="3"/>
      <c r="J390" s="3"/>
      <c r="K390" s="3"/>
      <c r="L390" s="3"/>
      <c r="V390" s="1310" t="s">
        <v>822</v>
      </c>
      <c r="W390" s="1310"/>
      <c r="Y390" s="19" t="s">
        <v>1225</v>
      </c>
    </row>
    <row r="391" spans="1:36" ht="12.95" customHeight="1">
      <c r="E391" s="3" t="s">
        <v>1226</v>
      </c>
      <c r="F391" s="3"/>
      <c r="G391" s="3"/>
      <c r="H391" s="3"/>
      <c r="I391" s="3"/>
      <c r="J391" s="3"/>
      <c r="K391" s="3"/>
      <c r="L391" s="3"/>
      <c r="V391" s="1310" t="s">
        <v>822</v>
      </c>
      <c r="W391" s="1310"/>
      <c r="Y391" s="3" t="s">
        <v>1227</v>
      </c>
    </row>
    <row r="392" spans="1:36" ht="12.95" customHeight="1"/>
    <row r="393" spans="1:36" ht="12.95" customHeight="1">
      <c r="A393" s="2" t="s">
        <v>1228</v>
      </c>
      <c r="B393" s="2"/>
    </row>
    <row r="394" spans="1:36" ht="12.95" customHeight="1">
      <c r="D394" t="s">
        <v>1229</v>
      </c>
      <c r="J394" s="1444" t="s">
        <v>1230</v>
      </c>
      <c r="K394" s="1450"/>
      <c r="L394" s="1450"/>
      <c r="M394" s="1450"/>
      <c r="N394" s="1450"/>
      <c r="O394" s="1450"/>
      <c r="P394" s="1450"/>
      <c r="Q394" s="1450"/>
      <c r="R394" s="1450"/>
      <c r="S394" s="1450"/>
      <c r="T394" s="1450"/>
      <c r="U394" s="1450"/>
      <c r="V394" s="7" t="s">
        <v>1231</v>
      </c>
      <c r="W394" s="7"/>
      <c r="X394" s="7"/>
      <c r="Y394" s="7"/>
      <c r="Z394" s="7"/>
      <c r="AA394" s="7"/>
      <c r="AB394" s="7"/>
      <c r="AC394" s="1450" t="s">
        <v>1081</v>
      </c>
      <c r="AD394" s="1450"/>
      <c r="AE394" s="1450"/>
      <c r="AF394" s="1450"/>
      <c r="AG394" s="1450"/>
      <c r="AH394" s="1450"/>
      <c r="AI394" s="1450"/>
      <c r="AJ394" s="1450"/>
    </row>
    <row r="395" spans="1:36" ht="12.95" customHeight="1">
      <c r="D395" s="3" t="s">
        <v>1232</v>
      </c>
      <c r="J395" s="1431" t="s">
        <v>1081</v>
      </c>
      <c r="K395" s="1431"/>
      <c r="L395" s="1431"/>
      <c r="M395" s="1431"/>
      <c r="N395" s="1431"/>
      <c r="O395" s="1431"/>
      <c r="P395" s="1431"/>
      <c r="Q395" s="1431"/>
      <c r="R395" s="1431"/>
      <c r="S395" s="1431"/>
      <c r="T395" s="1431"/>
      <c r="U395" s="1431"/>
      <c r="V395" s="3" t="s">
        <v>1232</v>
      </c>
      <c r="W395" s="7"/>
      <c r="X395" s="7"/>
      <c r="Y395" s="7"/>
      <c r="Z395" s="7"/>
      <c r="AA395" s="7"/>
      <c r="AB395" s="7"/>
      <c r="AC395" s="1450"/>
      <c r="AD395" s="1450"/>
      <c r="AE395" s="1450"/>
      <c r="AF395" s="1450"/>
      <c r="AG395" s="1450"/>
      <c r="AH395" s="1450"/>
      <c r="AI395" s="1450"/>
      <c r="AJ395" s="1450"/>
    </row>
    <row r="396" spans="1:36" ht="12.95" customHeight="1">
      <c r="D396" s="3" t="s">
        <v>820</v>
      </c>
      <c r="J396" s="1431" t="s">
        <v>1233</v>
      </c>
      <c r="K396" s="1431"/>
      <c r="L396" s="1431"/>
      <c r="M396" s="1431"/>
      <c r="N396" s="1431"/>
      <c r="O396" s="1431"/>
      <c r="P396" s="1431"/>
      <c r="Q396" s="1431"/>
      <c r="R396" s="1431"/>
      <c r="S396" s="1431"/>
      <c r="T396" s="1431"/>
      <c r="U396" s="1431"/>
      <c r="V396" s="3" t="s">
        <v>820</v>
      </c>
      <c r="W396" s="7"/>
      <c r="X396" s="7"/>
      <c r="Y396" s="7"/>
      <c r="Z396" s="7"/>
      <c r="AA396" s="7"/>
      <c r="AB396" s="7"/>
      <c r="AC396" s="1450"/>
      <c r="AD396" s="1450"/>
      <c r="AE396" s="1450"/>
      <c r="AF396" s="1450"/>
      <c r="AG396" s="1450"/>
      <c r="AH396" s="1450"/>
      <c r="AI396" s="1450"/>
      <c r="AJ396" s="1450"/>
    </row>
    <row r="397" spans="1:36" ht="12.95" customHeight="1">
      <c r="D397" t="s">
        <v>1234</v>
      </c>
      <c r="J397" s="1348" t="s">
        <v>1235</v>
      </c>
      <c r="K397" s="1348"/>
      <c r="L397" s="1348"/>
      <c r="M397" s="1348"/>
      <c r="N397" s="1348"/>
      <c r="O397" s="1348"/>
      <c r="P397" s="1348"/>
      <c r="Q397" s="1348"/>
      <c r="R397" s="1348"/>
      <c r="S397" s="1348"/>
      <c r="T397" s="1348"/>
      <c r="U397" s="1348"/>
      <c r="V397" s="1450"/>
      <c r="W397" s="1450"/>
      <c r="X397" s="1450"/>
      <c r="Y397" s="1450"/>
      <c r="Z397" s="1450"/>
      <c r="AA397" s="1450"/>
      <c r="AB397" s="1450"/>
      <c r="AC397" s="1450"/>
      <c r="AD397" s="1450"/>
      <c r="AE397" s="1450"/>
      <c r="AF397" s="1450"/>
      <c r="AG397" s="1450"/>
      <c r="AH397" s="1450"/>
      <c r="AI397" s="1450"/>
      <c r="AJ397" s="1450"/>
    </row>
    <row r="398" spans="1:36" ht="12.95" customHeight="1">
      <c r="D398" t="s">
        <v>1236</v>
      </c>
      <c r="Q398" s="1691">
        <v>46044</v>
      </c>
      <c r="R398" s="1691"/>
      <c r="S398" s="1691"/>
      <c r="T398" s="1691"/>
      <c r="U398" s="1691"/>
      <c r="V398" t="s">
        <v>1237</v>
      </c>
      <c r="AI398" s="1310" t="s">
        <v>857</v>
      </c>
      <c r="AJ398" s="1310"/>
    </row>
    <row r="399" spans="1:36" ht="12.95" customHeight="1">
      <c r="D399" t="s">
        <v>1238</v>
      </c>
      <c r="Q399" s="1500">
        <v>46387</v>
      </c>
      <c r="R399" s="1745"/>
      <c r="S399" s="1745"/>
      <c r="T399" s="1745"/>
      <c r="U399" s="1745"/>
      <c r="W399" s="18" t="s">
        <v>1239</v>
      </c>
      <c r="AG399" s="1664">
        <v>0</v>
      </c>
      <c r="AH399" s="1664"/>
      <c r="AI399" s="1664"/>
      <c r="AJ399" s="1664"/>
    </row>
    <row r="400" spans="1:36" ht="12.95" customHeight="1">
      <c r="D400" t="s">
        <v>1240</v>
      </c>
      <c r="Q400" s="1351">
        <f>'Sources and Uses Budget'!C4</f>
        <v>2550000</v>
      </c>
      <c r="R400" s="1351"/>
      <c r="S400" s="1351"/>
      <c r="T400" s="1351"/>
      <c r="U400" s="1351"/>
      <c r="V400" s="3" t="s">
        <v>1241</v>
      </c>
      <c r="AG400" s="1665">
        <v>46327</v>
      </c>
      <c r="AH400" s="1665"/>
      <c r="AI400" s="1665"/>
      <c r="AJ400" s="1665"/>
    </row>
    <row r="401" spans="4:36" ht="12.95" customHeight="1">
      <c r="D401" t="s">
        <v>1082</v>
      </c>
      <c r="I401" s="1449"/>
      <c r="J401" s="1449"/>
      <c r="K401" s="1449"/>
      <c r="L401" s="1449"/>
      <c r="M401" s="1449"/>
      <c r="N401" s="1449"/>
      <c r="Q401" s="3" t="s">
        <v>1084</v>
      </c>
      <c r="S401" s="1726"/>
      <c r="T401" s="1726"/>
      <c r="U401" s="1726"/>
      <c r="V401" t="s">
        <v>1242</v>
      </c>
      <c r="AI401" s="1310" t="s">
        <v>700</v>
      </c>
      <c r="AJ401" s="1310"/>
    </row>
    <row r="402" spans="4:36" ht="12.95" customHeight="1">
      <c r="D402" t="s">
        <v>1243</v>
      </c>
      <c r="Q402" s="1376"/>
      <c r="R402" s="1376"/>
      <c r="S402" s="1376"/>
      <c r="T402" s="1376"/>
      <c r="U402" s="1376"/>
      <c r="V402" t="s">
        <v>1244</v>
      </c>
      <c r="AG402" s="1664">
        <f>'Sources and Uses Budget'!C13</f>
        <v>340850</v>
      </c>
      <c r="AH402" s="1664"/>
      <c r="AI402" s="1664"/>
      <c r="AJ402" s="1664"/>
    </row>
    <row r="403" spans="4:36" ht="12.95" customHeight="1">
      <c r="D403" t="s">
        <v>1245</v>
      </c>
      <c r="Q403" s="1674">
        <v>0</v>
      </c>
      <c r="R403" s="1674"/>
      <c r="S403" s="1674"/>
      <c r="T403" s="1674"/>
      <c r="U403" s="1674"/>
      <c r="V403" t="s">
        <v>1246</v>
      </c>
      <c r="AG403" s="1664">
        <v>0</v>
      </c>
      <c r="AH403" s="1664"/>
      <c r="AI403" s="1664"/>
      <c r="AJ403" s="1664"/>
    </row>
    <row r="404" spans="4:36" ht="12.95" customHeight="1">
      <c r="D404" t="s">
        <v>1247</v>
      </c>
      <c r="AG404" s="1664">
        <v>0</v>
      </c>
      <c r="AH404" s="1664"/>
      <c r="AI404" s="1664"/>
      <c r="AJ404" s="1664"/>
    </row>
    <row r="405" spans="4:36" ht="12.95" customHeight="1">
      <c r="AG405" s="1167"/>
      <c r="AH405" s="1167"/>
      <c r="AI405" s="1167"/>
      <c r="AJ405" s="1167"/>
    </row>
    <row r="406" spans="4:36" ht="12.95" customHeight="1">
      <c r="D406" s="3" t="s">
        <v>1248</v>
      </c>
      <c r="AG406" s="1167"/>
      <c r="AH406" s="1167"/>
      <c r="AI406" s="1310" t="s">
        <v>700</v>
      </c>
      <c r="AJ406" s="1310"/>
    </row>
    <row r="407" spans="4:36" ht="12.95" customHeight="1">
      <c r="D407" s="3" t="s">
        <v>1249</v>
      </c>
      <c r="T407" s="1687"/>
      <c r="U407" s="1687"/>
      <c r="V407" s="1687"/>
      <c r="W407" s="1687"/>
      <c r="X407" s="1687"/>
      <c r="Y407" s="1687"/>
      <c r="Z407" s="1687"/>
      <c r="AA407" s="1687"/>
      <c r="AB407" s="1687"/>
      <c r="AC407" s="1687"/>
      <c r="AD407" s="1687"/>
      <c r="AE407" s="1687"/>
      <c r="AF407" s="1687"/>
      <c r="AG407" s="1687"/>
      <c r="AH407" s="1687"/>
      <c r="AI407" s="1687"/>
      <c r="AJ407" s="1687"/>
    </row>
    <row r="408" spans="4:36" ht="12.95" customHeight="1">
      <c r="D408" s="3" t="s">
        <v>1250</v>
      </c>
      <c r="T408" s="1687"/>
      <c r="U408" s="1687"/>
      <c r="V408" s="1687"/>
      <c r="W408" s="1687"/>
      <c r="X408" s="1687"/>
      <c r="Y408" s="1687"/>
      <c r="Z408" s="1687"/>
      <c r="AA408" s="1687"/>
      <c r="AB408" s="1687"/>
      <c r="AC408" s="1687"/>
      <c r="AD408" s="1687"/>
      <c r="AE408" s="1687"/>
      <c r="AF408" s="1687"/>
      <c r="AG408" s="1687"/>
      <c r="AH408" s="1687"/>
      <c r="AI408" s="1687"/>
      <c r="AJ408" s="1687"/>
    </row>
    <row r="409" spans="4:36" ht="12.95" customHeight="1">
      <c r="AG409" s="1167"/>
      <c r="AH409" s="1167"/>
      <c r="AI409" s="1167"/>
      <c r="AJ409" s="1167"/>
    </row>
    <row r="410" spans="4:36" ht="12.95" customHeight="1">
      <c r="D410" s="3" t="s">
        <v>1251</v>
      </c>
      <c r="S410" s="1687" t="s">
        <v>700</v>
      </c>
      <c r="T410" s="1687"/>
      <c r="U410" s="1687"/>
      <c r="V410" t="s">
        <v>1252</v>
      </c>
      <c r="AG410" s="1724"/>
      <c r="AH410" s="1724"/>
      <c r="AI410" s="1724"/>
      <c r="AJ410" s="1724"/>
    </row>
    <row r="411" spans="4:36" ht="12.95" customHeight="1">
      <c r="D411" s="3" t="s">
        <v>1253</v>
      </c>
      <c r="S411" s="1687" t="s">
        <v>822</v>
      </c>
      <c r="T411" s="1687"/>
      <c r="U411" s="1687"/>
      <c r="V411" t="s">
        <v>1254</v>
      </c>
      <c r="AE411" s="1728"/>
      <c r="AF411" s="1728"/>
      <c r="AG411" s="1728"/>
      <c r="AH411" s="1728"/>
      <c r="AI411" s="1728"/>
      <c r="AJ411" s="1728"/>
    </row>
    <row r="412" spans="4:36" ht="12.95" customHeight="1">
      <c r="D412" s="3" t="s">
        <v>1255</v>
      </c>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66"/>
      <c r="AG412" s="1666"/>
      <c r="AH412" s="1666"/>
      <c r="AI412" s="1666"/>
      <c r="AJ412" s="1666"/>
    </row>
    <row r="413" spans="4:36" ht="12.95" customHeight="1">
      <c r="D413" s="3" t="s">
        <v>1256</v>
      </c>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F413" s="1666"/>
      <c r="AG413" s="1666"/>
      <c r="AH413" s="1666"/>
      <c r="AI413" s="1666"/>
      <c r="AJ413" s="1666"/>
    </row>
    <row r="414" spans="4:36" ht="12.95" customHeight="1">
      <c r="D414" s="3" t="s">
        <v>1257</v>
      </c>
      <c r="E414" s="378"/>
      <c r="F414" s="378"/>
      <c r="G414" s="378"/>
      <c r="H414" s="378"/>
      <c r="I414" s="378"/>
      <c r="J414" s="378"/>
      <c r="K414" s="378"/>
      <c r="L414" s="378"/>
      <c r="M414" s="378"/>
      <c r="N414" s="378"/>
      <c r="O414" s="378"/>
      <c r="P414" s="378"/>
      <c r="Q414" s="378"/>
      <c r="R414" s="378"/>
      <c r="S414" s="1731" t="s">
        <v>1258</v>
      </c>
      <c r="T414" s="1731"/>
      <c r="U414" s="1731"/>
      <c r="V414" s="1731"/>
      <c r="W414" s="1731"/>
      <c r="X414" s="1731"/>
      <c r="Y414" s="1731"/>
      <c r="Z414" s="1731"/>
      <c r="AA414" s="1731"/>
      <c r="AB414" s="1731"/>
      <c r="AC414" s="1731"/>
      <c r="AD414" s="1731"/>
      <c r="AE414" s="1731"/>
      <c r="AF414" s="1731"/>
      <c r="AG414" s="1731"/>
      <c r="AH414" s="1731"/>
      <c r="AI414" s="1731"/>
      <c r="AJ414" s="1731"/>
    </row>
    <row r="415" spans="4:36" ht="12.95" customHeight="1">
      <c r="D415" s="1235" t="s">
        <v>1259</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7"/>
      <c r="AH417" s="1167"/>
      <c r="AI417" s="1167"/>
      <c r="AJ417" s="1167"/>
    </row>
    <row r="418" spans="1:39" ht="12.95" customHeight="1">
      <c r="A418" s="2" t="s">
        <v>1018</v>
      </c>
      <c r="B418" s="2"/>
      <c r="C418" s="2" t="s">
        <v>145</v>
      </c>
    </row>
    <row r="419" spans="1:39" ht="12.95" customHeight="1">
      <c r="B419" s="2"/>
      <c r="C419" s="2"/>
      <c r="D419" s="2" t="s">
        <v>1260</v>
      </c>
      <c r="I419" s="1444" t="s">
        <v>1261</v>
      </c>
      <c r="J419" s="1444"/>
      <c r="K419" s="1444"/>
      <c r="L419" s="1444"/>
      <c r="M419" s="1444"/>
      <c r="N419" s="1444"/>
      <c r="O419" s="1444"/>
      <c r="P419" s="1444"/>
      <c r="Q419" s="1444"/>
      <c r="R419" s="1444"/>
      <c r="S419" s="1444"/>
      <c r="T419" s="1444"/>
      <c r="U419" s="1444"/>
      <c r="V419" s="1444"/>
      <c r="W419" s="1444"/>
      <c r="X419" s="1444"/>
      <c r="Y419" s="1444"/>
      <c r="Z419" s="1444"/>
      <c r="AA419" s="1444"/>
      <c r="AB419" s="1444"/>
      <c r="AC419" s="1444"/>
      <c r="AD419" s="1444"/>
      <c r="AE419" s="1444"/>
    </row>
    <row r="420" spans="1:39" ht="12.95" customHeight="1">
      <c r="E420" t="s">
        <v>1262</v>
      </c>
      <c r="R420" s="1310" t="s">
        <v>857</v>
      </c>
      <c r="S420" s="1310"/>
      <c r="AC420" s="23" t="s">
        <v>1263</v>
      </c>
      <c r="AD420" s="1314">
        <v>8</v>
      </c>
      <c r="AE420" s="1314"/>
    </row>
    <row r="421" spans="1:39" ht="12.95" customHeight="1">
      <c r="E421" t="s">
        <v>1264</v>
      </c>
      <c r="R421" s="1310" t="s">
        <v>822</v>
      </c>
      <c r="S421" s="1310"/>
      <c r="AC421" s="23" t="s">
        <v>1263</v>
      </c>
      <c r="AD421" s="1314"/>
      <c r="AE421" s="1314"/>
    </row>
    <row r="422" spans="1:39" ht="12.95" customHeight="1">
      <c r="E422" t="s">
        <v>1265</v>
      </c>
      <c r="S422" s="1310" t="s">
        <v>822</v>
      </c>
      <c r="T422" s="1310"/>
    </row>
    <row r="423" spans="1:39" ht="12.95" customHeight="1">
      <c r="E423" t="s">
        <v>233</v>
      </c>
      <c r="H423" s="1675" t="s">
        <v>1266</v>
      </c>
      <c r="I423" s="1675"/>
      <c r="J423" s="1675"/>
      <c r="K423" s="1675"/>
      <c r="L423" s="1675"/>
      <c r="M423" s="1675"/>
      <c r="N423" s="1675"/>
      <c r="O423" s="1675"/>
      <c r="P423" s="1675"/>
      <c r="Q423" s="1675"/>
      <c r="R423" s="1675"/>
      <c r="S423" s="1675"/>
      <c r="T423" s="1675"/>
      <c r="U423" s="1675"/>
      <c r="V423" s="1675"/>
      <c r="W423" s="1675"/>
      <c r="X423" s="1675"/>
      <c r="Y423" s="1675"/>
      <c r="Z423" s="1675"/>
      <c r="AA423" s="1675"/>
      <c r="AB423" s="1675"/>
      <c r="AC423" s="1675"/>
      <c r="AD423" s="1675"/>
      <c r="AE423" s="1675"/>
    </row>
    <row r="424" spans="1:39" ht="12.95" customHeight="1">
      <c r="H424" s="1676"/>
      <c r="I424" s="1676"/>
      <c r="J424" s="1676"/>
      <c r="K424" s="1676"/>
      <c r="L424" s="1676"/>
      <c r="M424" s="1676"/>
      <c r="N424" s="1676"/>
      <c r="O424" s="1676"/>
      <c r="P424" s="1676"/>
      <c r="Q424" s="1676"/>
      <c r="R424" s="1676"/>
      <c r="S424" s="1676"/>
      <c r="T424" s="1676"/>
      <c r="U424" s="1676"/>
      <c r="V424" s="1676"/>
      <c r="W424" s="1676"/>
      <c r="X424" s="1676"/>
      <c r="Y424" s="1676"/>
      <c r="Z424" s="1676"/>
      <c r="AA424" s="1676"/>
      <c r="AB424" s="1676"/>
      <c r="AC424" s="1676"/>
      <c r="AD424" s="1676"/>
      <c r="AE424" s="1676"/>
    </row>
    <row r="425" spans="1:39" ht="12.95" customHeight="1"/>
    <row r="426" spans="1:39" ht="12.95" customHeight="1">
      <c r="A426" s="2" t="s">
        <v>1030</v>
      </c>
      <c r="B426" s="2"/>
      <c r="C426" s="2"/>
      <c r="D426" s="2" t="s">
        <v>150</v>
      </c>
      <c r="AF426" s="2" t="s">
        <v>1267</v>
      </c>
    </row>
    <row r="427" spans="1:39" ht="12.95" customHeight="1">
      <c r="E427" s="1725"/>
      <c r="F427" s="1725"/>
      <c r="G427" s="1725"/>
      <c r="H427" s="12" t="s">
        <v>1268</v>
      </c>
      <c r="I427" s="1725"/>
      <c r="J427" s="1725"/>
      <c r="K427" s="1725"/>
      <c r="L427" t="s">
        <v>1269</v>
      </c>
      <c r="N427" s="23" t="s">
        <v>36</v>
      </c>
      <c r="P427" s="1729">
        <v>0.37</v>
      </c>
      <c r="Q427" s="1729"/>
      <c r="R427" s="1729"/>
      <c r="S427" t="s">
        <v>1270</v>
      </c>
      <c r="W427" s="1730">
        <f>IF(E427&gt;0,(E427*I427),(P427*43560))</f>
        <v>16117.199999999999</v>
      </c>
      <c r="X427" s="1730"/>
      <c r="Y427" s="1730"/>
      <c r="Z427" t="s">
        <v>1271</v>
      </c>
      <c r="AF427" s="1679">
        <f>IFERROR(IF(P427&gt;0,(AG446/P427),(AG446/(W427/43560))),0)</f>
        <v>227.02702702702703</v>
      </c>
      <c r="AG427" s="1679"/>
      <c r="AH427" s="1679"/>
      <c r="AM427" s="3"/>
    </row>
    <row r="428" spans="1:39" ht="12.95" customHeight="1">
      <c r="E428" t="s">
        <v>1272</v>
      </c>
    </row>
    <row r="429" spans="1:39" ht="12.95" customHeight="1">
      <c r="E429" s="1746"/>
      <c r="F429" s="1746"/>
      <c r="G429" s="1746"/>
      <c r="H429" s="1746"/>
      <c r="I429" s="1746"/>
      <c r="J429" s="1746"/>
      <c r="K429" s="1746"/>
      <c r="L429" s="1746"/>
      <c r="M429" s="1746"/>
      <c r="N429" s="1746"/>
      <c r="O429" s="1746"/>
      <c r="P429" s="1746"/>
      <c r="Q429" s="1746"/>
      <c r="R429" s="1746"/>
      <c r="S429" s="1746"/>
      <c r="T429" s="1746"/>
      <c r="U429" s="1746"/>
      <c r="V429" s="1746"/>
      <c r="W429" s="1746"/>
      <c r="X429" s="1746"/>
      <c r="Y429" s="1746"/>
      <c r="Z429" s="1746"/>
      <c r="AA429" s="1746"/>
      <c r="AB429" s="1746"/>
      <c r="AC429" s="1746"/>
      <c r="AD429" s="1746"/>
      <c r="AE429" s="1746"/>
      <c r="AF429" s="1746"/>
      <c r="AG429" s="1746"/>
      <c r="AH429" s="1746"/>
      <c r="AI429" s="1746"/>
      <c r="AJ429" s="1746"/>
    </row>
    <row r="430" spans="1:39" ht="12.95" customHeight="1">
      <c r="E430" s="84" t="s">
        <v>1273</v>
      </c>
      <c r="F430" s="18"/>
      <c r="G430" s="18"/>
      <c r="H430" s="18"/>
      <c r="I430" s="1727">
        <v>0.37</v>
      </c>
      <c r="J430" s="1727"/>
      <c r="K430" s="1727"/>
      <c r="L430" s="18"/>
      <c r="M430" s="84"/>
      <c r="N430" s="18"/>
      <c r="O430" s="18"/>
      <c r="P430" s="1690">
        <f>(DU763+DU786+DU808)/I430</f>
        <v>264.86486486486484</v>
      </c>
      <c r="Q430" s="1690"/>
      <c r="R430" s="1690"/>
      <c r="S430" s="84" t="s">
        <v>1274</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1057</v>
      </c>
      <c r="B432" s="2"/>
      <c r="C432" s="2"/>
      <c r="D432" s="2" t="s">
        <v>152</v>
      </c>
    </row>
    <row r="433" spans="1:36" ht="12.95" customHeight="1">
      <c r="E433" t="s">
        <v>1275</v>
      </c>
      <c r="P433" s="1310">
        <v>1</v>
      </c>
      <c r="Q433" s="1310"/>
      <c r="S433" t="s">
        <v>1276</v>
      </c>
      <c r="AE433" s="1310">
        <v>1</v>
      </c>
      <c r="AF433" s="1310"/>
    </row>
    <row r="434" spans="1:36" ht="12.95" customHeight="1">
      <c r="E434" t="s">
        <v>1277</v>
      </c>
      <c r="P434" s="1310">
        <v>0</v>
      </c>
      <c r="Q434" s="1310"/>
      <c r="S434" t="s">
        <v>1278</v>
      </c>
      <c r="AE434" s="1310" t="s">
        <v>822</v>
      </c>
      <c r="AF434" s="1310"/>
    </row>
    <row r="435" spans="1:36" ht="12.95" customHeight="1">
      <c r="F435" s="19" t="s">
        <v>1279</v>
      </c>
    </row>
    <row r="436" spans="1:36" ht="12.95" customHeight="1">
      <c r="F436" s="1708"/>
      <c r="G436" s="1708"/>
      <c r="H436" s="1708"/>
      <c r="I436" s="1708"/>
      <c r="J436" s="1708"/>
      <c r="K436" s="1708"/>
      <c r="L436" s="1708"/>
      <c r="M436" s="1708"/>
      <c r="N436" s="1708"/>
      <c r="O436" s="1708"/>
      <c r="P436" s="1708"/>
      <c r="Q436" s="1708"/>
      <c r="R436" s="1708"/>
      <c r="S436" s="1708"/>
      <c r="T436" s="1708"/>
      <c r="U436" s="1708"/>
      <c r="V436" s="1708"/>
      <c r="W436" s="1708"/>
      <c r="X436" s="1708"/>
      <c r="Y436" s="1708"/>
      <c r="Z436" s="1708"/>
      <c r="AA436" s="1708"/>
      <c r="AB436" s="1708"/>
      <c r="AC436" s="1708"/>
      <c r="AD436" s="1708"/>
      <c r="AE436" s="1708"/>
      <c r="AF436" s="1708"/>
      <c r="AG436" s="1708"/>
      <c r="AH436" s="1708"/>
    </row>
    <row r="437" spans="1:36" ht="12.95" customHeight="1">
      <c r="F437" s="1709"/>
      <c r="G437" s="1709"/>
      <c r="H437" s="1709"/>
      <c r="I437" s="1709"/>
      <c r="J437" s="1709"/>
      <c r="K437" s="1709"/>
      <c r="L437" s="1709"/>
      <c r="M437" s="1709"/>
      <c r="N437" s="1709"/>
      <c r="O437" s="1709"/>
      <c r="P437" s="1709"/>
      <c r="Q437" s="1709"/>
      <c r="R437" s="1709"/>
      <c r="S437" s="1709"/>
      <c r="T437" s="1709"/>
      <c r="U437" s="1709"/>
      <c r="V437" s="1709"/>
      <c r="W437" s="1709"/>
      <c r="X437" s="1709"/>
      <c r="Y437" s="1709"/>
      <c r="Z437" s="1709"/>
      <c r="AA437" s="1709"/>
      <c r="AB437" s="1709"/>
      <c r="AC437" s="1709"/>
      <c r="AD437" s="1709"/>
      <c r="AE437" s="1709"/>
      <c r="AF437" s="1709"/>
      <c r="AG437" s="1709"/>
      <c r="AH437" s="1709"/>
    </row>
    <row r="438" spans="1:36" ht="12.95" customHeight="1">
      <c r="E438" t="s">
        <v>1280</v>
      </c>
      <c r="P438" s="1"/>
      <c r="Q438" s="1310" t="s">
        <v>857</v>
      </c>
      <c r="R438" s="1310"/>
    </row>
    <row r="439" spans="1:36" ht="12.95" customHeight="1">
      <c r="F439" t="s">
        <v>1281</v>
      </c>
      <c r="P439" s="1"/>
      <c r="Q439" s="1"/>
      <c r="AF439" s="1310" t="s">
        <v>822</v>
      </c>
      <c r="AG439" s="1747"/>
    </row>
    <row r="440" spans="1:36" ht="12.95" customHeight="1"/>
    <row r="441" spans="1:36" ht="12.95" customHeight="1">
      <c r="A441" s="2"/>
      <c r="B441" s="2"/>
      <c r="C441" s="2"/>
      <c r="E441" s="3" t="s">
        <v>1282</v>
      </c>
      <c r="Z441" s="1310" t="s">
        <v>700</v>
      </c>
      <c r="AA441" s="1310"/>
    </row>
    <row r="442" spans="1:36" ht="12.95" customHeight="1">
      <c r="F442" s="31" t="s">
        <v>1283</v>
      </c>
      <c r="G442" s="32"/>
      <c r="H442" s="32"/>
      <c r="I442" s="32"/>
      <c r="J442" s="32"/>
      <c r="K442" s="32"/>
      <c r="L442" s="32"/>
      <c r="M442" s="32"/>
      <c r="N442" s="32"/>
      <c r="O442" s="32"/>
      <c r="P442" s="32"/>
      <c r="Q442" s="32"/>
      <c r="R442" s="32"/>
      <c r="S442" s="32"/>
      <c r="T442" s="32"/>
      <c r="U442" s="32"/>
      <c r="V442" s="32"/>
      <c r="W442" s="32"/>
      <c r="AB442" s="32"/>
    </row>
    <row r="443" spans="1:36" ht="12.95" customHeight="1">
      <c r="F443" t="s">
        <v>1284</v>
      </c>
      <c r="G443" s="32"/>
      <c r="I443" s="32"/>
      <c r="J443" s="32"/>
      <c r="K443" s="32"/>
      <c r="L443" s="32"/>
      <c r="M443" s="32"/>
      <c r="N443" s="32"/>
      <c r="O443" s="19"/>
      <c r="P443" s="32"/>
      <c r="Q443" s="32"/>
      <c r="R443" s="32"/>
      <c r="S443" s="32"/>
      <c r="T443" s="32"/>
      <c r="U443" s="32"/>
      <c r="V443" s="32"/>
      <c r="W443" s="32"/>
      <c r="Z443" s="1310" t="s">
        <v>822</v>
      </c>
      <c r="AA443" s="1310"/>
    </row>
    <row r="444" spans="1:36" ht="12.95" customHeight="1"/>
    <row r="445" spans="1:36" ht="12.95" customHeight="1">
      <c r="A445" s="2" t="s">
        <v>1115</v>
      </c>
      <c r="B445" s="2"/>
      <c r="C445" s="2"/>
      <c r="D445" s="2" t="s">
        <v>159</v>
      </c>
      <c r="AF445" s="40"/>
    </row>
    <row r="446" spans="1:36" ht="12.95" customHeight="1">
      <c r="D446" s="1581" t="s">
        <v>1285</v>
      </c>
      <c r="E446" s="1582"/>
      <c r="F446" s="1582"/>
      <c r="G446" s="1582"/>
      <c r="H446" s="1582"/>
      <c r="I446" s="1582"/>
      <c r="J446" s="1582"/>
      <c r="K446" s="1582"/>
      <c r="L446" s="1582"/>
      <c r="M446" s="1582"/>
      <c r="N446" s="1582"/>
      <c r="O446" s="1582"/>
      <c r="P446" s="1582"/>
      <c r="Q446" s="1582"/>
      <c r="R446" s="1582"/>
      <c r="S446" s="1582"/>
      <c r="T446" s="1582"/>
      <c r="U446" s="1582"/>
      <c r="V446" s="1582"/>
      <c r="W446" s="1582"/>
      <c r="X446" s="1582"/>
      <c r="Y446" s="1582"/>
      <c r="Z446" s="1582"/>
      <c r="AA446" s="1582"/>
      <c r="AB446" s="1582"/>
      <c r="AC446" s="1582"/>
      <c r="AD446" s="1582"/>
      <c r="AE446" s="1582"/>
      <c r="AF446" s="1677"/>
      <c r="AG446" s="1723">
        <v>84</v>
      </c>
      <c r="AH446" s="1723"/>
      <c r="AI446" s="1723"/>
      <c r="AJ446" s="1723"/>
    </row>
    <row r="447" spans="1:36" ht="12.95" customHeight="1">
      <c r="D447" s="1463" t="s">
        <v>1286</v>
      </c>
      <c r="E447" s="1464"/>
      <c r="F447" s="1464"/>
      <c r="G447" s="1464"/>
      <c r="H447" s="1464"/>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c r="AF447" s="1465"/>
      <c r="AG447" s="1744">
        <v>0</v>
      </c>
      <c r="AH447" s="1390"/>
      <c r="AI447" s="1390"/>
      <c r="AJ447" s="1390"/>
    </row>
    <row r="448" spans="1:36" ht="12.95" customHeight="1">
      <c r="D448" s="1463" t="s">
        <v>1287</v>
      </c>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c r="AF448" s="1465"/>
      <c r="AG448" s="1723">
        <v>83</v>
      </c>
      <c r="AH448" s="1723"/>
      <c r="AI448" s="1723"/>
      <c r="AJ448" s="1723"/>
    </row>
    <row r="449" spans="4:55" ht="12.95" customHeight="1">
      <c r="D449" s="1463" t="s">
        <v>1288</v>
      </c>
      <c r="E449" s="1464"/>
      <c r="F449" s="1464"/>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c r="AF449" s="1465"/>
      <c r="AG449" s="1723">
        <v>83</v>
      </c>
      <c r="AH449" s="1723"/>
      <c r="AI449" s="1723"/>
      <c r="AJ449" s="1723"/>
    </row>
    <row r="450" spans="4:55" ht="12.95" customHeight="1">
      <c r="D450" s="1463" t="s">
        <v>1289</v>
      </c>
      <c r="E450" s="1464"/>
      <c r="F450" s="1464"/>
      <c r="G450" s="1464"/>
      <c r="H450" s="1464"/>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1464"/>
      <c r="AD450" s="1464"/>
      <c r="AE450" s="1464"/>
      <c r="AF450" s="1465"/>
      <c r="AG450" s="1755">
        <f>IF(ISERROR(AG449/AG448),0,AG449/AG448)</f>
        <v>1</v>
      </c>
      <c r="AH450" s="1755"/>
      <c r="AI450" s="1755"/>
      <c r="AJ450" s="1755"/>
    </row>
    <row r="451" spans="4:55" ht="12.95" customHeight="1">
      <c r="D451" s="1463" t="s">
        <v>1290</v>
      </c>
      <c r="E451" s="1464"/>
      <c r="F451" s="1464"/>
      <c r="G451" s="1464"/>
      <c r="H451" s="1464"/>
      <c r="I451" s="1464"/>
      <c r="J451" s="1464"/>
      <c r="K451" s="1464"/>
      <c r="L451" s="1464"/>
      <c r="M451" s="1464"/>
      <c r="N451" s="1464"/>
      <c r="O451" s="1464"/>
      <c r="P451" s="1464"/>
      <c r="Q451" s="1464"/>
      <c r="R451" s="1464"/>
      <c r="S451" s="1464"/>
      <c r="T451" s="1464"/>
      <c r="U451" s="1464"/>
      <c r="V451" s="1464"/>
      <c r="W451" s="1464"/>
      <c r="X451" s="1464"/>
      <c r="Y451" s="1464"/>
      <c r="Z451" s="1464"/>
      <c r="AA451" s="1464"/>
      <c r="AB451" s="1464"/>
      <c r="AC451" s="1464"/>
      <c r="AD451" s="1464"/>
      <c r="AE451" s="1464"/>
      <c r="AF451" s="1465"/>
      <c r="AG451" s="1678">
        <f>48267-830</f>
        <v>47437</v>
      </c>
      <c r="AH451" s="1678"/>
      <c r="AI451" s="1678"/>
      <c r="AJ451" s="1678"/>
    </row>
    <row r="452" spans="4:55" ht="12.95" customHeight="1">
      <c r="D452" s="1463" t="s">
        <v>1291</v>
      </c>
      <c r="E452" s="1464"/>
      <c r="F452" s="1464"/>
      <c r="G452" s="1464"/>
      <c r="H452" s="1464"/>
      <c r="I452" s="1464"/>
      <c r="J452" s="1464"/>
      <c r="K452" s="1464"/>
      <c r="L452" s="1464"/>
      <c r="M452" s="1464"/>
      <c r="N452" s="1464"/>
      <c r="O452" s="1464"/>
      <c r="P452" s="1464"/>
      <c r="Q452" s="1464"/>
      <c r="R452" s="1464"/>
      <c r="S452" s="1464"/>
      <c r="T452" s="1464"/>
      <c r="U452" s="1464"/>
      <c r="V452" s="1464"/>
      <c r="W452" s="1464"/>
      <c r="X452" s="1464"/>
      <c r="Y452" s="1464"/>
      <c r="Z452" s="1464"/>
      <c r="AA452" s="1464"/>
      <c r="AB452" s="1464"/>
      <c r="AC452" s="1464"/>
      <c r="AD452" s="1464"/>
      <c r="AE452" s="1464"/>
      <c r="AF452" s="1465"/>
      <c r="AG452" s="1678">
        <f>48267-830</f>
        <v>47437</v>
      </c>
      <c r="AH452" s="1678"/>
      <c r="AI452" s="1678"/>
      <c r="AJ452" s="1678"/>
    </row>
    <row r="453" spans="4:55" ht="12.95" customHeight="1">
      <c r="D453" s="1463" t="s">
        <v>1292</v>
      </c>
      <c r="E453" s="1464"/>
      <c r="F453" s="1464"/>
      <c r="G453" s="1464"/>
      <c r="H453" s="1464"/>
      <c r="I453" s="1464"/>
      <c r="J453" s="1464"/>
      <c r="K453" s="1464"/>
      <c r="L453" s="1464"/>
      <c r="M453" s="1464"/>
      <c r="N453" s="1464"/>
      <c r="O453" s="1464"/>
      <c r="P453" s="1464"/>
      <c r="Q453" s="1464"/>
      <c r="R453" s="1464"/>
      <c r="S453" s="1464"/>
      <c r="T453" s="1464"/>
      <c r="U453" s="1464"/>
      <c r="V453" s="1464"/>
      <c r="W453" s="1464"/>
      <c r="X453" s="1464"/>
      <c r="Y453" s="1464"/>
      <c r="Z453" s="1464"/>
      <c r="AA453" s="1464"/>
      <c r="AB453" s="1464"/>
      <c r="AC453" s="1464"/>
      <c r="AD453" s="1464"/>
      <c r="AE453" s="1464"/>
      <c r="AF453" s="1465"/>
      <c r="AG453" s="1755">
        <f>IF(ISERROR(AG452/AG451),0,AG452/AG451)</f>
        <v>1</v>
      </c>
      <c r="AH453" s="1755"/>
      <c r="AI453" s="1755"/>
      <c r="AJ453" s="1755"/>
    </row>
    <row r="454" spans="4:55" ht="12.95" customHeight="1">
      <c r="D454" s="1463" t="s">
        <v>1293</v>
      </c>
      <c r="E454" s="1464"/>
      <c r="F454" s="1464"/>
      <c r="G454" s="1464"/>
      <c r="H454" s="1464"/>
      <c r="I454" s="1464"/>
      <c r="J454" s="1464"/>
      <c r="K454" s="1464"/>
      <c r="L454" s="1464"/>
      <c r="M454" s="1464"/>
      <c r="N454" s="1464"/>
      <c r="O454" s="1464"/>
      <c r="P454" s="1464"/>
      <c r="Q454" s="1464"/>
      <c r="R454" s="1464"/>
      <c r="S454" s="1464"/>
      <c r="T454" s="1464"/>
      <c r="U454" s="1464"/>
      <c r="V454" s="1464"/>
      <c r="W454" s="1464"/>
      <c r="X454" s="1464"/>
      <c r="Y454" s="1464"/>
      <c r="Z454" s="1464"/>
      <c r="AA454" s="1464"/>
      <c r="AB454" s="1464"/>
      <c r="AC454" s="1464"/>
      <c r="AD454" s="1464"/>
      <c r="AE454" s="1464"/>
      <c r="AF454" s="1465"/>
      <c r="AG454" s="1755">
        <f>MIN(IF(AG450&gt;AG453,AG453,AG450),1)</f>
        <v>1</v>
      </c>
      <c r="AH454" s="1755"/>
      <c r="AI454" s="1755"/>
      <c r="AJ454" s="1755"/>
    </row>
    <row r="455" spans="4:55" ht="12.95" customHeight="1">
      <c r="D455" s="1463" t="s">
        <v>1294</v>
      </c>
      <c r="E455" s="1582"/>
      <c r="F455" s="1582"/>
      <c r="G455" s="1582"/>
      <c r="H455" s="1582"/>
      <c r="I455" s="1582"/>
      <c r="J455" s="1582"/>
      <c r="K455" s="1582"/>
      <c r="L455" s="1582"/>
      <c r="M455" s="1582"/>
      <c r="N455" s="1582"/>
      <c r="O455" s="1582"/>
      <c r="P455" s="1582"/>
      <c r="Q455" s="1582"/>
      <c r="R455" s="1582"/>
      <c r="S455" s="1582"/>
      <c r="T455" s="1582"/>
      <c r="U455" s="1582"/>
      <c r="V455" s="1582"/>
      <c r="W455" s="1582"/>
      <c r="X455" s="1582"/>
      <c r="Y455" s="1582"/>
      <c r="Z455" s="1582"/>
      <c r="AA455" s="1582"/>
      <c r="AB455" s="1582"/>
      <c r="AC455" s="1582"/>
      <c r="AD455" s="1582"/>
      <c r="AE455" s="1582"/>
      <c r="AF455" s="1677"/>
      <c r="AG455" s="1678">
        <f>1933+440+172+333+240</f>
        <v>3118</v>
      </c>
      <c r="AH455" s="1678"/>
      <c r="AI455" s="1678"/>
      <c r="AJ455" s="1678"/>
      <c r="AZ455" s="3"/>
      <c r="BA455" s="3"/>
      <c r="BB455" s="3"/>
      <c r="BC455" s="3"/>
    </row>
    <row r="456" spans="4:55" ht="12.95" customHeight="1">
      <c r="D456" s="1581" t="s">
        <v>1295</v>
      </c>
      <c r="E456" s="1582"/>
      <c r="F456" s="1582"/>
      <c r="G456" s="1582"/>
      <c r="H456" s="1582"/>
      <c r="I456" s="1582"/>
      <c r="J456" s="1582"/>
      <c r="K456" s="1582"/>
      <c r="L456" s="1582"/>
      <c r="M456" s="1582"/>
      <c r="N456" s="1582"/>
      <c r="O456" s="1582"/>
      <c r="P456" s="1582"/>
      <c r="Q456" s="1582"/>
      <c r="R456" s="1582"/>
      <c r="S456" s="1582"/>
      <c r="T456" s="1582"/>
      <c r="U456" s="1582"/>
      <c r="V456" s="1582"/>
      <c r="W456" s="1582"/>
      <c r="X456" s="1582"/>
      <c r="Y456" s="1582"/>
      <c r="Z456" s="1582"/>
      <c r="AA456" s="1582"/>
      <c r="AB456" s="1582"/>
      <c r="AC456" s="1582"/>
      <c r="AD456" s="1582"/>
      <c r="AE456" s="1582"/>
      <c r="AF456" s="1677"/>
      <c r="AG456" s="1678">
        <v>0</v>
      </c>
      <c r="AH456" s="1678"/>
      <c r="AI456" s="1678"/>
      <c r="AJ456" s="1678"/>
      <c r="AZ456" s="3"/>
      <c r="BA456" s="3"/>
      <c r="BB456" s="3"/>
      <c r="BC456" s="3"/>
    </row>
    <row r="457" spans="4:55" ht="12.95" customHeight="1">
      <c r="D457" s="1463" t="s">
        <v>1296</v>
      </c>
      <c r="E457" s="1582"/>
      <c r="F457" s="1582"/>
      <c r="G457" s="1582"/>
      <c r="H457" s="1582"/>
      <c r="I457" s="1582"/>
      <c r="J457" s="1582"/>
      <c r="K457" s="1582"/>
      <c r="L457" s="1582"/>
      <c r="M457" s="1582"/>
      <c r="N457" s="1582"/>
      <c r="O457" s="1582"/>
      <c r="P457" s="1582"/>
      <c r="Q457" s="1582"/>
      <c r="R457" s="1582"/>
      <c r="S457" s="1582"/>
      <c r="T457" s="1582"/>
      <c r="U457" s="1582"/>
      <c r="V457" s="1582"/>
      <c r="W457" s="1582"/>
      <c r="X457" s="1582"/>
      <c r="Y457" s="1582"/>
      <c r="Z457" s="1582"/>
      <c r="AA457" s="1582"/>
      <c r="AB457" s="1582"/>
      <c r="AC457" s="1582"/>
      <c r="AD457" s="1582"/>
      <c r="AE457" s="1582"/>
      <c r="AF457" s="1677"/>
      <c r="AG457" s="1678">
        <f>73839-AG452-AG455-AG458</f>
        <v>21966</v>
      </c>
      <c r="AH457" s="1678"/>
      <c r="AI457" s="1678"/>
      <c r="AJ457" s="1678"/>
      <c r="AZ457" s="3"/>
      <c r="BA457" s="3"/>
      <c r="BB457" s="3"/>
      <c r="BC457" s="3"/>
    </row>
    <row r="458" spans="4:55" ht="12.95" customHeight="1">
      <c r="D458" s="1463" t="s">
        <v>1297</v>
      </c>
      <c r="E458" s="1582"/>
      <c r="F458" s="1582"/>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1582"/>
      <c r="AD458" s="1582"/>
      <c r="AE458" s="1582"/>
      <c r="AF458" s="1677"/>
      <c r="AG458" s="1678">
        <v>1318</v>
      </c>
      <c r="AH458" s="1678"/>
      <c r="AI458" s="1678"/>
      <c r="AJ458" s="1678"/>
      <c r="BB458" s="3"/>
      <c r="BC458" s="3"/>
    </row>
    <row r="459" spans="4:55" ht="12.95" customHeight="1">
      <c r="D459" s="1732" t="s">
        <v>1298</v>
      </c>
      <c r="E459" s="1733"/>
      <c r="F459" s="1733"/>
      <c r="G459" s="1733"/>
      <c r="H459" s="1733"/>
      <c r="I459" s="1733"/>
      <c r="J459" s="1733"/>
      <c r="K459" s="1733"/>
      <c r="L459" s="1733"/>
      <c r="M459" s="1733"/>
      <c r="N459" s="1733"/>
      <c r="O459" s="1733"/>
      <c r="P459" s="1733"/>
      <c r="Q459" s="1733"/>
      <c r="R459" s="1733"/>
      <c r="S459" s="1733"/>
      <c r="T459" s="1733"/>
      <c r="U459" s="1733"/>
      <c r="V459" s="1733"/>
      <c r="W459" s="1733"/>
      <c r="X459" s="1733"/>
      <c r="Y459" s="1733"/>
      <c r="Z459" s="1733"/>
      <c r="AA459" s="1733"/>
      <c r="AB459" s="1733"/>
      <c r="AC459" s="1733"/>
      <c r="AD459" s="1733"/>
      <c r="AE459" s="1733"/>
      <c r="AF459" s="1734"/>
      <c r="AG459" s="1757">
        <f>AG451+AG455+AG457+AG458</f>
        <v>73839</v>
      </c>
      <c r="AH459" s="1757"/>
      <c r="AI459" s="1757"/>
      <c r="AJ459" s="1757"/>
      <c r="AZ459" s="3"/>
      <c r="BA459" s="3"/>
      <c r="BB459" s="3"/>
      <c r="BC459" s="3"/>
    </row>
    <row r="460" spans="4:55" ht="12.95" customHeight="1">
      <c r="D460" s="1681" t="s">
        <v>1299</v>
      </c>
      <c r="E460" s="1681"/>
      <c r="F460" s="1681"/>
      <c r="G460" s="1681"/>
      <c r="H460" s="1681"/>
      <c r="I460" s="1681"/>
      <c r="J460" s="1681"/>
      <c r="K460" s="1681"/>
      <c r="L460" s="1681"/>
      <c r="M460" s="1681"/>
      <c r="N460" s="1681"/>
      <c r="O460" s="1681"/>
      <c r="P460" s="1681"/>
      <c r="Q460" s="1681"/>
      <c r="R460" s="1681"/>
      <c r="S460" s="1681"/>
      <c r="T460" s="1681"/>
      <c r="U460" s="1681"/>
      <c r="V460" s="1681"/>
      <c r="W460" s="1681"/>
      <c r="X460" s="1681"/>
      <c r="Y460" s="1681"/>
      <c r="Z460" s="1681"/>
      <c r="AA460" s="1681"/>
      <c r="AB460" s="1681"/>
      <c r="AC460" s="1681"/>
      <c r="AD460" s="1681"/>
      <c r="AE460" s="1681"/>
      <c r="AF460" s="1681"/>
      <c r="AG460" s="1681"/>
      <c r="AH460" s="1681"/>
      <c r="AI460" s="1681"/>
      <c r="AJ460" s="1681"/>
      <c r="AZ460" s="3"/>
      <c r="BA460" s="3"/>
      <c r="BB460" s="3"/>
      <c r="BC460" s="3"/>
    </row>
    <row r="461" spans="4:55" ht="12.95" customHeight="1">
      <c r="D461" s="1682"/>
      <c r="E461" s="1682"/>
      <c r="F461" s="1682"/>
      <c r="G461" s="1682"/>
      <c r="H461" s="1682"/>
      <c r="I461" s="1682"/>
      <c r="J461" s="1682"/>
      <c r="K461" s="1682"/>
      <c r="L461" s="1682"/>
      <c r="M461" s="1682"/>
      <c r="N461" s="1682"/>
      <c r="O461" s="1682"/>
      <c r="P461" s="1682"/>
      <c r="Q461" s="1682"/>
      <c r="R461" s="1682"/>
      <c r="S461" s="1682"/>
      <c r="T461" s="1682"/>
      <c r="U461" s="1682"/>
      <c r="V461" s="1682"/>
      <c r="W461" s="1682"/>
      <c r="X461" s="1682"/>
      <c r="Y461" s="1682"/>
      <c r="Z461" s="1682"/>
      <c r="AA461" s="1682"/>
      <c r="AB461" s="1682"/>
      <c r="AC461" s="1682"/>
      <c r="AD461" s="1682"/>
      <c r="AE461" s="1682"/>
      <c r="AF461" s="1682"/>
      <c r="AG461" s="1682"/>
      <c r="AH461" s="1682"/>
      <c r="AI461" s="1682"/>
      <c r="AJ461" s="1682"/>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1300</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80">
        <f>IF(AG446=0,"",'Sources and Uses Budget'!B105/Application!AG446)</f>
        <v>794480.61904761905</v>
      </c>
      <c r="AD463" s="1680"/>
      <c r="AE463" s="1680"/>
      <c r="AF463" s="1680"/>
      <c r="AG463" s="415"/>
      <c r="AH463" s="415"/>
      <c r="AI463" s="415"/>
      <c r="AJ463" s="860"/>
      <c r="AZ463" s="3"/>
      <c r="BA463" s="3" t="str">
        <f>AG583</f>
        <v>Yes</v>
      </c>
      <c r="BB463" s="3"/>
      <c r="BC463" s="3"/>
    </row>
    <row r="464" spans="4:55" ht="12.95" customHeight="1">
      <c r="D464" s="137" t="s">
        <v>1301</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80">
        <f>IF(AG446=0,"",'Sources and Uses Budget'!C105/Application!AG446)</f>
        <v>794480.61904761905</v>
      </c>
      <c r="AD464" s="1680"/>
      <c r="AE464" s="1680"/>
      <c r="AF464" s="1680"/>
      <c r="AG464" s="415"/>
      <c r="AH464" s="415"/>
      <c r="AI464" s="415"/>
      <c r="AJ464" s="860"/>
      <c r="AZ464" s="3"/>
      <c r="BA464" s="3"/>
      <c r="BB464" s="3"/>
      <c r="BC464" s="3"/>
    </row>
    <row r="465" spans="1:55" ht="12.95" customHeight="1">
      <c r="D465" s="137" t="s">
        <v>1302</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80">
        <f>IF(AG446=0,"",('Sources and Uses Budget'!$S$107+'Sources and Uses Budget'!$T$107)/Application!AG446)</f>
        <v>721271.55952380947</v>
      </c>
      <c r="AD465" s="1680"/>
      <c r="AE465" s="1680"/>
      <c r="AF465" s="168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1303</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1304</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1305</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1306</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1307</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71" t="s">
        <v>1308</v>
      </c>
      <c r="E473" s="1672"/>
      <c r="F473" s="1672"/>
      <c r="G473" s="1672"/>
      <c r="H473" s="1672"/>
      <c r="I473" s="1672"/>
      <c r="J473" s="1672"/>
      <c r="K473" s="1672"/>
      <c r="L473" s="1672"/>
      <c r="M473" s="1672"/>
      <c r="N473" s="1672"/>
      <c r="O473" s="1672"/>
      <c r="P473" s="1672"/>
      <c r="Q473" s="1672"/>
      <c r="R473" s="1672"/>
      <c r="S473" s="1672"/>
      <c r="T473" s="1672"/>
      <c r="U473" s="1672"/>
      <c r="V473" s="1673"/>
      <c r="W473" s="1409">
        <v>0</v>
      </c>
      <c r="X473" s="1410"/>
      <c r="Y473" s="1411"/>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71" t="s">
        <v>1309</v>
      </c>
      <c r="E474" s="1672"/>
      <c r="F474" s="1672"/>
      <c r="G474" s="1672"/>
      <c r="H474" s="1672"/>
      <c r="I474" s="1672"/>
      <c r="J474" s="1672"/>
      <c r="K474" s="1672"/>
      <c r="L474" s="1672"/>
      <c r="M474" s="1672"/>
      <c r="N474" s="1672"/>
      <c r="O474" s="1672"/>
      <c r="P474" s="1672"/>
      <c r="Q474" s="1672"/>
      <c r="R474" s="1672"/>
      <c r="S474" s="1672"/>
      <c r="T474" s="1672"/>
      <c r="U474" s="1672"/>
      <c r="V474" s="1673"/>
      <c r="W474" s="1409">
        <v>0</v>
      </c>
      <c r="X474" s="1410"/>
      <c r="Y474" s="1411"/>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71" t="s">
        <v>1310</v>
      </c>
      <c r="E475" s="1672"/>
      <c r="F475" s="1672"/>
      <c r="G475" s="1672"/>
      <c r="H475" s="1672"/>
      <c r="I475" s="1672"/>
      <c r="J475" s="1672"/>
      <c r="K475" s="1672"/>
      <c r="L475" s="1672"/>
      <c r="M475" s="1672"/>
      <c r="N475" s="1672"/>
      <c r="O475" s="1672"/>
      <c r="P475" s="1672"/>
      <c r="Q475" s="1672"/>
      <c r="R475" s="1672"/>
      <c r="S475" s="1672"/>
      <c r="T475" s="1672"/>
      <c r="U475" s="1672"/>
      <c r="V475" s="1673"/>
      <c r="W475" s="1409">
        <v>0</v>
      </c>
      <c r="X475" s="1410"/>
      <c r="Y475" s="1411"/>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71" t="s">
        <v>1311</v>
      </c>
      <c r="E476" s="1672"/>
      <c r="F476" s="1672"/>
      <c r="G476" s="1672"/>
      <c r="H476" s="1672"/>
      <c r="I476" s="1672"/>
      <c r="J476" s="1672"/>
      <c r="K476" s="1672"/>
      <c r="L476" s="1672"/>
      <c r="M476" s="1672"/>
      <c r="N476" s="1672"/>
      <c r="O476" s="1672"/>
      <c r="P476" s="1672"/>
      <c r="Q476" s="1672"/>
      <c r="R476" s="1672"/>
      <c r="S476" s="1672"/>
      <c r="T476" s="1672"/>
      <c r="U476" s="1672"/>
      <c r="V476" s="1673"/>
      <c r="W476" s="1409">
        <v>0</v>
      </c>
      <c r="X476" s="1410"/>
      <c r="Y476" s="1411"/>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71" t="s">
        <v>1312</v>
      </c>
      <c r="E477" s="1672"/>
      <c r="F477" s="1672"/>
      <c r="G477" s="1672"/>
      <c r="H477" s="1672"/>
      <c r="I477" s="1672"/>
      <c r="J477" s="1672"/>
      <c r="K477" s="1672"/>
      <c r="L477" s="1672"/>
      <c r="M477" s="1672"/>
      <c r="N477" s="1672"/>
      <c r="O477" s="1672"/>
      <c r="P477" s="1672"/>
      <c r="Q477" s="1672"/>
      <c r="R477" s="1672"/>
      <c r="S477" s="1672"/>
      <c r="T477" s="1672"/>
      <c r="U477" s="1672"/>
      <c r="V477" s="1673"/>
      <c r="W477" s="1409">
        <v>0</v>
      </c>
      <c r="X477" s="1410"/>
      <c r="Y477" s="1411"/>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71" t="s">
        <v>1313</v>
      </c>
      <c r="E478" s="1672"/>
      <c r="F478" s="1672"/>
      <c r="G478" s="1672"/>
      <c r="H478" s="1672"/>
      <c r="I478" s="1672"/>
      <c r="J478" s="1672"/>
      <c r="K478" s="1672"/>
      <c r="L478" s="1672"/>
      <c r="M478" s="1672"/>
      <c r="N478" s="1672"/>
      <c r="O478" s="1672"/>
      <c r="P478" s="1672"/>
      <c r="Q478" s="1672"/>
      <c r="R478" s="1672"/>
      <c r="S478" s="1672"/>
      <c r="T478" s="1672"/>
      <c r="U478" s="1672"/>
      <c r="V478" s="1673"/>
      <c r="W478" s="1409">
        <v>0</v>
      </c>
      <c r="X478" s="1410"/>
      <c r="Y478" s="1411"/>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671" t="s">
        <v>1314</v>
      </c>
      <c r="E479" s="1672"/>
      <c r="F479" s="1672"/>
      <c r="G479" s="1672"/>
      <c r="H479" s="1672"/>
      <c r="I479" s="1672"/>
      <c r="J479" s="1672"/>
      <c r="K479" s="1672"/>
      <c r="L479" s="1672"/>
      <c r="M479" s="1672"/>
      <c r="N479" s="1672"/>
      <c r="O479" s="1672"/>
      <c r="P479" s="1672"/>
      <c r="Q479" s="1672"/>
      <c r="R479" s="1672"/>
      <c r="S479" s="1672"/>
      <c r="T479" s="1672"/>
      <c r="U479" s="1672"/>
      <c r="V479" s="1673"/>
      <c r="W479" s="1409">
        <v>0</v>
      </c>
      <c r="X479" s="1410"/>
      <c r="Y479" s="1411"/>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71" t="s">
        <v>1315</v>
      </c>
      <c r="E480" s="1672"/>
      <c r="F480" s="1672"/>
      <c r="G480" s="1672"/>
      <c r="H480" s="1672"/>
      <c r="I480" s="1672"/>
      <c r="J480" s="1672"/>
      <c r="K480" s="1672"/>
      <c r="L480" s="1672"/>
      <c r="M480" s="1672"/>
      <c r="N480" s="1672"/>
      <c r="O480" s="1672"/>
      <c r="P480" s="1672"/>
      <c r="Q480" s="1672"/>
      <c r="R480" s="1672"/>
      <c r="S480" s="1672"/>
      <c r="T480" s="1672"/>
      <c r="U480" s="1672"/>
      <c r="V480" s="1673"/>
      <c r="W480" s="1409">
        <v>0</v>
      </c>
      <c r="X480" s="1410"/>
      <c r="Y480" s="1411"/>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71" t="s">
        <v>1316</v>
      </c>
      <c r="E481" s="1672"/>
      <c r="F481" s="1672"/>
      <c r="G481" s="1672"/>
      <c r="H481" s="1672"/>
      <c r="I481" s="1672"/>
      <c r="J481" s="1672"/>
      <c r="K481" s="1672"/>
      <c r="L481" s="1672"/>
      <c r="M481" s="1672"/>
      <c r="N481" s="1672"/>
      <c r="O481" s="1672"/>
      <c r="P481" s="1672"/>
      <c r="Q481" s="1672"/>
      <c r="R481" s="1672"/>
      <c r="S481" s="1672"/>
      <c r="T481" s="1672"/>
      <c r="U481" s="1672"/>
      <c r="V481" s="1673"/>
      <c r="W481" s="1409">
        <v>0</v>
      </c>
      <c r="X481" s="1410"/>
      <c r="Y481" s="1411"/>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684"/>
      <c r="H482" s="1685"/>
      <c r="I482" s="1685"/>
      <c r="J482" s="1685"/>
      <c r="K482" s="1685"/>
      <c r="L482" s="1685"/>
      <c r="M482" s="1685"/>
      <c r="N482" s="1685"/>
      <c r="O482" s="1685"/>
      <c r="P482" s="1685"/>
      <c r="Q482" s="1685"/>
      <c r="R482" s="1685"/>
      <c r="S482" s="1685"/>
      <c r="T482" s="1685"/>
      <c r="U482" s="1685"/>
      <c r="V482" s="1686"/>
      <c r="W482" s="1409">
        <v>0</v>
      </c>
      <c r="X482" s="1410"/>
      <c r="Y482" s="1411"/>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1317</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48" t="s">
        <v>1318</v>
      </c>
      <c r="B488" s="1448"/>
      <c r="C488" s="1448"/>
      <c r="D488" s="1448"/>
      <c r="E488" s="1448"/>
      <c r="F488" s="1448"/>
      <c r="G488" s="1448"/>
      <c r="H488" s="1448"/>
      <c r="I488" s="1448"/>
      <c r="J488" s="1448"/>
      <c r="K488" s="1448"/>
      <c r="L488" s="1448"/>
      <c r="M488" s="1448"/>
      <c r="N488" s="1448"/>
      <c r="O488" s="1448"/>
      <c r="P488" s="1448"/>
      <c r="Q488" s="1448"/>
      <c r="R488" s="1448"/>
      <c r="S488" s="1448"/>
      <c r="T488" s="1448"/>
      <c r="U488" s="1448"/>
      <c r="V488" s="1448"/>
      <c r="W488" s="1448"/>
      <c r="X488" s="1448"/>
      <c r="Y488" s="1448"/>
      <c r="Z488" s="1448"/>
      <c r="AA488" s="1448"/>
      <c r="AB488" s="1448"/>
      <c r="AC488" s="1448"/>
      <c r="AD488" s="1448"/>
      <c r="AE488" s="1448"/>
      <c r="AF488" s="1448"/>
      <c r="AG488" s="1448"/>
      <c r="AH488" s="1448"/>
      <c r="AI488" s="1448"/>
      <c r="AJ488" s="1448"/>
      <c r="AK488" s="1448"/>
      <c r="AL488" s="1448"/>
      <c r="AM488" s="1448"/>
      <c r="AN488" s="1448"/>
      <c r="AO488" s="1448"/>
      <c r="AP488" s="1448"/>
      <c r="AQ488" s="1448"/>
      <c r="AR488" s="1448"/>
      <c r="AS488" s="1448"/>
      <c r="AT488" s="1448"/>
      <c r="AU488" s="70"/>
      <c r="AV488" s="70"/>
      <c r="AW488" s="70"/>
      <c r="AX488" s="70"/>
      <c r="AY488" s="70"/>
      <c r="AZ488" s="3"/>
      <c r="BB488" s="3"/>
      <c r="BC488" s="3"/>
    </row>
    <row r="489" spans="1:55" ht="12.95" customHeight="1">
      <c r="A489" s="1448"/>
      <c r="B489" s="1448"/>
      <c r="C489" s="1448"/>
      <c r="D489" s="1448"/>
      <c r="E489" s="1448"/>
      <c r="F489" s="1448"/>
      <c r="G489" s="1448"/>
      <c r="H489" s="1448"/>
      <c r="I489" s="1448"/>
      <c r="J489" s="1448"/>
      <c r="K489" s="1448"/>
      <c r="L489" s="1448"/>
      <c r="M489" s="1448"/>
      <c r="N489" s="1448"/>
      <c r="O489" s="1448"/>
      <c r="P489" s="1448"/>
      <c r="Q489" s="1448"/>
      <c r="R489" s="1448"/>
      <c r="S489" s="1448"/>
      <c r="T489" s="1448"/>
      <c r="U489" s="1448"/>
      <c r="V489" s="1448"/>
      <c r="W489" s="1448"/>
      <c r="X489" s="1448"/>
      <c r="Y489" s="1448"/>
      <c r="Z489" s="1448"/>
      <c r="AA489" s="1448"/>
      <c r="AB489" s="1448"/>
      <c r="AC489" s="1448"/>
      <c r="AD489" s="1448"/>
      <c r="AE489" s="1448"/>
      <c r="AF489" s="1448"/>
      <c r="AG489" s="1448"/>
      <c r="AH489" s="1448"/>
      <c r="AI489" s="1448"/>
      <c r="AJ489" s="1448"/>
      <c r="AK489" s="1448"/>
      <c r="AL489" s="1448"/>
      <c r="AM489" s="1448"/>
      <c r="AN489" s="1448"/>
      <c r="AO489" s="1448"/>
      <c r="AP489" s="1448"/>
      <c r="AQ489" s="1448"/>
      <c r="AR489" s="1448"/>
      <c r="AS489" s="1448"/>
      <c r="AT489" s="1448"/>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756" t="s">
        <v>1319</v>
      </c>
      <c r="R493" s="1669"/>
      <c r="S493" s="1669"/>
      <c r="T493" s="1669"/>
      <c r="U493" s="1669"/>
      <c r="V493" s="1669"/>
      <c r="W493" s="1669"/>
      <c r="X493" s="1669"/>
      <c r="Y493" s="1669"/>
      <c r="Z493" s="1669"/>
      <c r="AA493" s="1669"/>
      <c r="AB493" s="1669"/>
      <c r="AC493" s="1669"/>
      <c r="AD493" s="1669"/>
      <c r="AE493" s="1669"/>
      <c r="AF493" s="1669"/>
      <c r="AG493" s="1669"/>
      <c r="AH493" s="1669"/>
      <c r="AI493" s="1669"/>
      <c r="AJ493" s="1669"/>
      <c r="AK493" s="1670"/>
      <c r="AZ493" s="3"/>
      <c r="BB493" s="3"/>
      <c r="BC493" s="3"/>
    </row>
    <row r="494" spans="1:55" ht="12.95" customHeight="1">
      <c r="B494" s="37" t="s">
        <v>1320</v>
      </c>
      <c r="C494" s="5"/>
      <c r="D494" s="5"/>
      <c r="E494" s="5"/>
      <c r="F494" s="5"/>
      <c r="G494" s="5"/>
      <c r="H494" s="5"/>
      <c r="I494" s="5"/>
      <c r="J494" s="5"/>
      <c r="K494" s="5"/>
      <c r="L494" s="5"/>
      <c r="M494" s="5"/>
      <c r="N494" s="5"/>
      <c r="O494" s="5"/>
      <c r="P494" s="5"/>
      <c r="Q494" s="1353" t="s">
        <v>1321</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66"/>
      <c r="AZ494" s="3"/>
      <c r="BB494" s="3"/>
      <c r="BC494" s="3"/>
    </row>
    <row r="495" spans="1:55" ht="12.95" customHeight="1">
      <c r="B495" s="37" t="s">
        <v>1322</v>
      </c>
      <c r="C495" s="5"/>
      <c r="D495" s="5"/>
      <c r="E495" s="5"/>
      <c r="F495" s="5"/>
      <c r="G495" s="5"/>
      <c r="H495" s="5"/>
      <c r="I495" s="5"/>
      <c r="J495" s="5"/>
      <c r="K495" s="5"/>
      <c r="L495" s="5"/>
      <c r="M495" s="5"/>
      <c r="N495" s="5"/>
      <c r="O495" s="5"/>
      <c r="P495" s="5"/>
      <c r="Q495" s="1353" t="s">
        <v>1323</v>
      </c>
      <c r="R495" s="1431"/>
      <c r="S495" s="1431"/>
      <c r="T495" s="1431"/>
      <c r="U495" s="1431"/>
      <c r="V495" s="1431"/>
      <c r="W495" s="1431"/>
      <c r="X495" s="1431"/>
      <c r="Y495" s="1431"/>
      <c r="Z495" s="1431"/>
      <c r="AA495" s="1431"/>
      <c r="AB495" s="1431"/>
      <c r="AC495" s="1431"/>
      <c r="AD495" s="1431"/>
      <c r="AE495" s="1431"/>
      <c r="AF495" s="1431"/>
      <c r="AG495" s="1431"/>
      <c r="AH495" s="1431"/>
      <c r="AI495" s="1431"/>
      <c r="AJ495" s="1431"/>
      <c r="AK495" s="1466"/>
      <c r="AZ495" s="3"/>
      <c r="BB495" s="3"/>
      <c r="BC495" s="3"/>
    </row>
    <row r="496" spans="1:55" ht="12.95" customHeight="1">
      <c r="B496" s="37" t="s">
        <v>1324</v>
      </c>
      <c r="C496" s="5"/>
      <c r="D496" s="5"/>
      <c r="E496" s="5"/>
      <c r="F496" s="5"/>
      <c r="G496" s="5"/>
      <c r="H496" s="5"/>
      <c r="I496" s="5"/>
      <c r="J496" s="5"/>
      <c r="K496" s="5"/>
      <c r="L496" s="5"/>
      <c r="M496" s="5"/>
      <c r="N496" s="5"/>
      <c r="O496" s="5"/>
      <c r="P496" s="5"/>
      <c r="Q496" s="1353" t="s">
        <v>1325</v>
      </c>
      <c r="R496" s="1431"/>
      <c r="S496" s="1431"/>
      <c r="T496" s="1431"/>
      <c r="U496" s="1431"/>
      <c r="V496" s="1431"/>
      <c r="W496" s="1431"/>
      <c r="X496" s="1431"/>
      <c r="Y496" s="1431"/>
      <c r="Z496" s="1431"/>
      <c r="AA496" s="1431"/>
      <c r="AB496" s="1431"/>
      <c r="AC496" s="1431"/>
      <c r="AD496" s="1431"/>
      <c r="AE496" s="1431"/>
      <c r="AF496" s="1431"/>
      <c r="AG496" s="1431"/>
      <c r="AH496" s="1431"/>
      <c r="AI496" s="1431"/>
      <c r="AJ496" s="1431"/>
      <c r="AK496" s="1466"/>
      <c r="AZ496" s="3"/>
      <c r="BA496" s="3"/>
      <c r="BB496" s="3"/>
      <c r="BC496" s="3"/>
    </row>
    <row r="497" spans="1:66" ht="12.95" customHeight="1">
      <c r="B497" s="1738" t="s">
        <v>1326</v>
      </c>
      <c r="C497" s="1739"/>
      <c r="D497" s="1739"/>
      <c r="E497" s="1739"/>
      <c r="F497" s="1739"/>
      <c r="G497" s="1739"/>
      <c r="H497" s="1739"/>
      <c r="I497" s="1739"/>
      <c r="J497" s="1739"/>
      <c r="K497" s="1739"/>
      <c r="L497" s="1739"/>
      <c r="M497" s="1739"/>
      <c r="N497" s="1739"/>
      <c r="O497" s="1739"/>
      <c r="P497" s="1740"/>
      <c r="Q497" s="1748" t="s">
        <v>700</v>
      </c>
      <c r="R497" s="1749"/>
      <c r="S497" s="1759" t="s">
        <v>1327</v>
      </c>
      <c r="T497" s="1760"/>
      <c r="U497" s="1760"/>
      <c r="V497" s="1760"/>
      <c r="W497" s="1760"/>
      <c r="X497" s="1760"/>
      <c r="Y497" s="1760"/>
      <c r="Z497" s="1760"/>
      <c r="AA497" s="1760"/>
      <c r="AB497" s="1760"/>
      <c r="AC497" s="1760"/>
      <c r="AD497" s="1760"/>
      <c r="AE497" s="1760"/>
      <c r="AF497" s="1760"/>
      <c r="AG497" s="1760"/>
      <c r="AH497" s="1760"/>
      <c r="AI497" s="1760"/>
      <c r="AJ497" s="1760"/>
      <c r="AK497" s="1761"/>
      <c r="AZ497" s="3"/>
      <c r="BA497" s="3"/>
      <c r="BB497" s="3"/>
      <c r="BC497" s="3"/>
    </row>
    <row r="498" spans="1:66" ht="12.95" customHeight="1">
      <c r="B498" s="1741"/>
      <c r="C498" s="1742"/>
      <c r="D498" s="1742"/>
      <c r="E498" s="1742"/>
      <c r="F498" s="1742"/>
      <c r="G498" s="1742"/>
      <c r="H498" s="1742"/>
      <c r="I498" s="1742"/>
      <c r="J498" s="1742"/>
      <c r="K498" s="1742"/>
      <c r="L498" s="1742"/>
      <c r="M498" s="1742"/>
      <c r="N498" s="1742"/>
      <c r="O498" s="1742"/>
      <c r="P498" s="1743"/>
      <c r="Q498" s="1750"/>
      <c r="R498" s="1751"/>
      <c r="S498" s="1762"/>
      <c r="T498" s="1709"/>
      <c r="U498" s="1709"/>
      <c r="V498" s="1709"/>
      <c r="W498" s="1709"/>
      <c r="X498" s="1709"/>
      <c r="Y498" s="1709"/>
      <c r="Z498" s="1709"/>
      <c r="AA498" s="1709"/>
      <c r="AB498" s="1709"/>
      <c r="AC498" s="1709"/>
      <c r="AD498" s="1709"/>
      <c r="AE498" s="1709"/>
      <c r="AF498" s="1709"/>
      <c r="AG498" s="1709"/>
      <c r="AH498" s="1709"/>
      <c r="AI498" s="1709"/>
      <c r="AJ498" s="1709"/>
      <c r="AK498" s="1763"/>
      <c r="AZ498" s="3"/>
      <c r="BA498" s="3"/>
      <c r="BB498" s="3"/>
      <c r="BC498" s="3"/>
    </row>
    <row r="499" spans="1:66" ht="12.95" customHeight="1">
      <c r="B499" s="787" t="s">
        <v>1328</v>
      </c>
      <c r="C499" s="768"/>
      <c r="D499" s="768"/>
      <c r="E499" s="768"/>
      <c r="F499" s="768"/>
      <c r="G499" s="768"/>
      <c r="H499" s="768"/>
      <c r="I499" s="768"/>
      <c r="J499" s="768"/>
      <c r="K499" s="768"/>
      <c r="L499" s="768"/>
      <c r="M499" s="768"/>
      <c r="N499" s="768"/>
      <c r="O499" s="768"/>
      <c r="P499" s="768"/>
      <c r="Q499" s="1752" t="s">
        <v>700</v>
      </c>
      <c r="R499" s="1753"/>
      <c r="S499" s="1753"/>
      <c r="T499" s="1753"/>
      <c r="U499" s="1753"/>
      <c r="V499" s="1753"/>
      <c r="W499" s="1753"/>
      <c r="X499" s="1753"/>
      <c r="Y499" s="1753"/>
      <c r="Z499" s="1753"/>
      <c r="AA499" s="1753"/>
      <c r="AB499" s="1753"/>
      <c r="AC499" s="1753"/>
      <c r="AD499" s="1753"/>
      <c r="AE499" s="1753"/>
      <c r="AF499" s="1753"/>
      <c r="AG499" s="1753"/>
      <c r="AH499" s="1753"/>
      <c r="AI499" s="1753"/>
      <c r="AJ499" s="1753"/>
      <c r="AK499" s="1754"/>
      <c r="AZ499" s="3"/>
      <c r="BA499" s="3"/>
      <c r="BB499" s="3"/>
      <c r="BC499" s="3"/>
    </row>
    <row r="500" spans="1:66" ht="12.95" customHeight="1">
      <c r="B500" s="37" t="s">
        <v>1329</v>
      </c>
      <c r="C500" s="5"/>
      <c r="D500" s="5"/>
      <c r="E500" s="5"/>
      <c r="F500" s="5"/>
      <c r="G500" s="5"/>
      <c r="H500" s="5"/>
      <c r="I500" s="5"/>
      <c r="J500" s="5"/>
      <c r="K500" s="5"/>
      <c r="L500" s="5"/>
      <c r="M500" s="5"/>
      <c r="N500" s="5"/>
      <c r="O500" s="5"/>
      <c r="P500" s="5"/>
      <c r="Q500" s="1353" t="s">
        <v>1330</v>
      </c>
      <c r="R500" s="1431"/>
      <c r="S500" s="1431"/>
      <c r="T500" s="1431"/>
      <c r="U500" s="1431"/>
      <c r="V500" s="1431"/>
      <c r="W500" s="1431"/>
      <c r="X500" s="1431"/>
      <c r="Y500" s="1431"/>
      <c r="Z500" s="1431"/>
      <c r="AA500" s="1431"/>
      <c r="AB500" s="1431"/>
      <c r="AC500" s="1431"/>
      <c r="AD500" s="1431"/>
      <c r="AE500" s="1431"/>
      <c r="AF500" s="1431"/>
      <c r="AG500" s="1431"/>
      <c r="AH500" s="1431"/>
      <c r="AI500" s="1431"/>
      <c r="AJ500" s="1431"/>
      <c r="AK500" s="1466"/>
      <c r="AZ500" s="3"/>
      <c r="BA500" s="3"/>
      <c r="BB500" s="3"/>
      <c r="BC500" s="3"/>
    </row>
    <row r="501" spans="1:66" ht="12.95" customHeight="1">
      <c r="B501" s="37" t="s">
        <v>1331</v>
      </c>
      <c r="C501" s="5"/>
      <c r="D501" s="5"/>
      <c r="E501" s="5"/>
      <c r="F501" s="5"/>
      <c r="G501" s="5"/>
      <c r="H501" s="5"/>
      <c r="I501" s="5"/>
      <c r="J501" s="5"/>
      <c r="K501" s="5"/>
      <c r="L501" s="5"/>
      <c r="M501" s="5"/>
      <c r="N501" s="5"/>
      <c r="O501" s="5"/>
      <c r="P501" s="5"/>
      <c r="Q501" s="1353" t="s">
        <v>1330</v>
      </c>
      <c r="R501" s="1431"/>
      <c r="S501" s="1431"/>
      <c r="T501" s="1431"/>
      <c r="U501" s="1431"/>
      <c r="V501" s="1431"/>
      <c r="W501" s="1431"/>
      <c r="X501" s="1431"/>
      <c r="Y501" s="1431"/>
      <c r="Z501" s="1431"/>
      <c r="AA501" s="1431"/>
      <c r="AB501" s="1431"/>
      <c r="AC501" s="1431"/>
      <c r="AD501" s="1431"/>
      <c r="AE501" s="1431"/>
      <c r="AF501" s="1431"/>
      <c r="AG501" s="1431"/>
      <c r="AH501" s="1431"/>
      <c r="AI501" s="1431"/>
      <c r="AJ501" s="1431"/>
      <c r="AK501" s="1466"/>
      <c r="AZ501" s="3"/>
      <c r="BA501" s="3"/>
      <c r="BB501" s="3"/>
      <c r="BC501" s="3"/>
    </row>
    <row r="502" spans="1:66" ht="12.95" customHeight="1">
      <c r="B502" s="87" t="s">
        <v>1332</v>
      </c>
      <c r="C502" s="5"/>
      <c r="D502" s="5"/>
      <c r="E502" s="5"/>
      <c r="F502" s="5"/>
      <c r="G502" s="5"/>
      <c r="H502" s="5"/>
      <c r="I502" s="5"/>
      <c r="J502" s="5"/>
      <c r="K502" s="5"/>
      <c r="L502" s="5"/>
      <c r="M502" s="5"/>
      <c r="N502" s="5"/>
      <c r="O502" s="5"/>
      <c r="P502" s="5"/>
      <c r="Q502" s="1494">
        <v>4</v>
      </c>
      <c r="R502" s="1431"/>
      <c r="S502" s="1431"/>
      <c r="T502" s="1431"/>
      <c r="U502" s="1431"/>
      <c r="V502" s="1431"/>
      <c r="W502" s="1431"/>
      <c r="X502" s="1431"/>
      <c r="Y502" s="1431"/>
      <c r="Z502" s="1431"/>
      <c r="AA502" s="1431"/>
      <c r="AB502" s="1431"/>
      <c r="AC502" s="1431"/>
      <c r="AD502" s="1431"/>
      <c r="AE502" s="1431"/>
      <c r="AF502" s="1431"/>
      <c r="AG502" s="1431"/>
      <c r="AH502" s="1431"/>
      <c r="AI502" s="1431"/>
      <c r="AJ502" s="1431"/>
      <c r="AK502" s="1466"/>
      <c r="AZ502" s="3"/>
      <c r="BA502" s="3"/>
      <c r="BB502" s="3"/>
      <c r="BC502" s="3"/>
    </row>
    <row r="503" spans="1:66" ht="12.95" customHeight="1">
      <c r="B503" s="87" t="s">
        <v>1333</v>
      </c>
      <c r="C503" s="5"/>
      <c r="D503" s="5"/>
      <c r="E503" s="5"/>
      <c r="F503" s="5"/>
      <c r="G503" s="5"/>
      <c r="H503" s="5"/>
      <c r="I503" s="5"/>
      <c r="J503" s="5"/>
      <c r="K503" s="5"/>
      <c r="L503" s="5"/>
      <c r="M503" s="1422">
        <v>4</v>
      </c>
      <c r="N503" s="1423"/>
      <c r="O503" s="1423"/>
      <c r="P503" s="1424"/>
      <c r="Q503" s="87" t="s">
        <v>1334</v>
      </c>
      <c r="R503" s="5"/>
      <c r="S503" s="5"/>
      <c r="T503" s="5"/>
      <c r="U503" s="5"/>
      <c r="V503" s="5"/>
      <c r="W503" s="5"/>
      <c r="X503" s="5"/>
      <c r="Y503" s="5"/>
      <c r="Z503" s="5"/>
      <c r="AA503" s="5"/>
      <c r="AB503" s="5"/>
      <c r="AC503" s="5"/>
      <c r="AD503" s="5"/>
      <c r="AE503" s="5"/>
      <c r="AF503" s="5"/>
      <c r="AG503" s="5"/>
      <c r="AH503" s="1422">
        <v>0</v>
      </c>
      <c r="AI503" s="1423"/>
      <c r="AJ503" s="1423"/>
      <c r="AK503" s="1424"/>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56" t="s">
        <v>1335</v>
      </c>
      <c r="AD507" s="1669"/>
      <c r="AE507" s="1669"/>
      <c r="AF507" s="1669"/>
      <c r="AG507" s="1669"/>
      <c r="AH507" s="1669"/>
      <c r="AI507" s="1669"/>
      <c r="AJ507" s="1669"/>
      <c r="AK507" s="167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56" t="s">
        <v>1336</v>
      </c>
      <c r="AD508" s="1669"/>
      <c r="AE508" s="1669"/>
      <c r="AF508" s="1669"/>
      <c r="AG508" s="42" t="s">
        <v>1337</v>
      </c>
      <c r="AH508" s="1669" t="s">
        <v>1338</v>
      </c>
      <c r="AI508" s="1669"/>
      <c r="AJ508" s="1669"/>
      <c r="AK508" s="1670"/>
      <c r="AZ508" s="3"/>
      <c r="BA508" s="3"/>
      <c r="BB508" s="3"/>
      <c r="BC508" s="3"/>
      <c r="BD508" s="3"/>
      <c r="BE508" s="3"/>
      <c r="BF508" s="3"/>
      <c r="BG508" s="3"/>
      <c r="BH508" s="3"/>
      <c r="BI508" s="3"/>
      <c r="BJ508" s="3"/>
      <c r="BK508" s="3"/>
      <c r="BL508" s="3"/>
      <c r="BM508" s="3"/>
      <c r="BN508" s="3"/>
    </row>
    <row r="509" spans="1:66" ht="12.95" customHeight="1">
      <c r="B509" s="1619" t="s">
        <v>1339</v>
      </c>
      <c r="C509" s="1451"/>
      <c r="D509" s="1451"/>
      <c r="E509" s="1451"/>
      <c r="F509" s="1451"/>
      <c r="G509" s="1451"/>
      <c r="H509" s="1452"/>
      <c r="I509" s="34" t="s">
        <v>1340</v>
      </c>
      <c r="J509" s="34"/>
      <c r="K509" s="34"/>
      <c r="L509" s="34"/>
      <c r="M509" s="34"/>
      <c r="N509" s="34"/>
      <c r="O509" s="34"/>
      <c r="P509" s="34"/>
      <c r="Q509" s="34"/>
      <c r="R509" s="34"/>
      <c r="S509" s="34"/>
      <c r="T509" s="34"/>
      <c r="U509" s="34"/>
      <c r="V509" s="34"/>
      <c r="W509" s="34"/>
      <c r="AC509" s="1428" t="s">
        <v>822</v>
      </c>
      <c r="AD509" s="1314"/>
      <c r="AE509" s="1314"/>
      <c r="AF509" s="1314"/>
      <c r="AG509" s="12" t="s">
        <v>1337</v>
      </c>
      <c r="AH509" s="1348">
        <v>0</v>
      </c>
      <c r="AI509" s="1348"/>
      <c r="AJ509" s="1348"/>
      <c r="AK509" s="1349"/>
      <c r="AZ509" s="3"/>
      <c r="BA509" s="3"/>
      <c r="BB509" s="3"/>
      <c r="BC509" s="3"/>
      <c r="BD509" s="3"/>
      <c r="BE509" s="3"/>
      <c r="BF509" s="3"/>
      <c r="BG509" s="3"/>
      <c r="BH509" s="3"/>
      <c r="BI509" s="3"/>
      <c r="BJ509" s="3"/>
      <c r="BK509" s="3"/>
      <c r="BL509" s="3"/>
      <c r="BM509" s="3"/>
      <c r="BN509" s="3"/>
    </row>
    <row r="510" spans="1:66" ht="12.95" customHeight="1">
      <c r="B510" s="1620"/>
      <c r="C510" s="1453"/>
      <c r="D510" s="1453"/>
      <c r="E510" s="1453"/>
      <c r="F510" s="1453"/>
      <c r="G510" s="1453"/>
      <c r="H510" s="1454"/>
      <c r="I510" s="40" t="s">
        <v>1341</v>
      </c>
      <c r="J510" s="40"/>
      <c r="K510" s="40"/>
      <c r="L510" s="40"/>
      <c r="M510" s="40"/>
      <c r="N510" s="40"/>
      <c r="O510" s="40"/>
      <c r="P510" s="40"/>
      <c r="Q510" s="40"/>
      <c r="R510" s="40"/>
      <c r="S510" s="40"/>
      <c r="T510" s="40"/>
      <c r="U510" s="40"/>
      <c r="V510" s="40"/>
      <c r="W510" s="40"/>
      <c r="X510" s="40"/>
      <c r="Y510" s="40"/>
      <c r="Z510" s="40"/>
      <c r="AA510" s="40"/>
      <c r="AB510" s="40"/>
      <c r="AC510" s="1428">
        <v>1</v>
      </c>
      <c r="AD510" s="1314"/>
      <c r="AE510" s="1314"/>
      <c r="AF510" s="1314"/>
      <c r="AG510" s="30" t="s">
        <v>1337</v>
      </c>
      <c r="AH510" s="1348">
        <v>2026</v>
      </c>
      <c r="AI510" s="1348"/>
      <c r="AJ510" s="1348"/>
      <c r="AK510" s="1349"/>
      <c r="AZ510" s="3"/>
      <c r="BA510" s="3"/>
      <c r="BB510" s="3"/>
      <c r="BC510" s="3"/>
      <c r="BD510" s="3"/>
      <c r="BE510" s="3"/>
      <c r="BF510" s="3"/>
      <c r="BG510" s="3"/>
      <c r="BH510" s="3"/>
      <c r="BI510" s="3"/>
      <c r="BJ510" s="3"/>
      <c r="BK510" s="3"/>
      <c r="BL510" s="3"/>
      <c r="BM510" s="3"/>
      <c r="BN510" s="3"/>
    </row>
    <row r="511" spans="1:66" ht="12.95" customHeight="1">
      <c r="B511" s="1619" t="s">
        <v>1342</v>
      </c>
      <c r="C511" s="1451"/>
      <c r="D511" s="1451"/>
      <c r="E511" s="1451"/>
      <c r="F511" s="1451"/>
      <c r="G511" s="1451"/>
      <c r="H511" s="1452"/>
      <c r="I511" s="34" t="s">
        <v>1343</v>
      </c>
      <c r="J511" s="34"/>
      <c r="K511" s="34"/>
      <c r="L511" s="34"/>
      <c r="M511" s="34"/>
      <c r="N511" s="34"/>
      <c r="O511" s="34"/>
      <c r="P511" s="34"/>
      <c r="Q511" s="34"/>
      <c r="R511" s="34"/>
      <c r="S511" s="34"/>
      <c r="T511" s="34"/>
      <c r="U511" s="34"/>
      <c r="V511" s="34"/>
      <c r="W511" s="34"/>
      <c r="AC511" s="1428" t="s">
        <v>822</v>
      </c>
      <c r="AD511" s="1314"/>
      <c r="AE511" s="1314"/>
      <c r="AF511" s="1314"/>
      <c r="AG511" s="12" t="s">
        <v>1337</v>
      </c>
      <c r="AH511" s="1348"/>
      <c r="AI511" s="1348"/>
      <c r="AJ511" s="1348"/>
      <c r="AK511" s="1349"/>
      <c r="AZ511" s="3"/>
      <c r="BA511" s="3"/>
      <c r="BB511" s="3"/>
      <c r="BC511" s="3"/>
      <c r="BD511" s="3"/>
      <c r="BE511" s="3"/>
      <c r="BF511" s="3"/>
      <c r="BG511" s="3"/>
      <c r="BH511" s="3"/>
      <c r="BI511" s="3"/>
      <c r="BJ511" s="3"/>
      <c r="BK511" s="3"/>
      <c r="BL511" s="3"/>
      <c r="BM511" s="3"/>
      <c r="BN511" s="3"/>
    </row>
    <row r="512" spans="1:66" ht="12.95" customHeight="1">
      <c r="B512" s="1620"/>
      <c r="C512" s="1453"/>
      <c r="D512" s="1453"/>
      <c r="E512" s="1453"/>
      <c r="F512" s="1453"/>
      <c r="G512" s="1453"/>
      <c r="H512" s="1454"/>
      <c r="I512" t="s">
        <v>1344</v>
      </c>
      <c r="AC512" s="1428" t="s">
        <v>822</v>
      </c>
      <c r="AD512" s="1314"/>
      <c r="AE512" s="1314"/>
      <c r="AF512" s="1314"/>
      <c r="AG512" s="12" t="s">
        <v>1337</v>
      </c>
      <c r="AH512" s="1348"/>
      <c r="AI512" s="1348"/>
      <c r="AJ512" s="1348"/>
      <c r="AK512" s="1349"/>
      <c r="AZ512" s="3"/>
      <c r="BA512" s="3"/>
      <c r="BB512" s="3"/>
      <c r="BC512" s="3"/>
      <c r="BD512" s="3"/>
      <c r="BE512" s="3"/>
      <c r="BF512" s="3"/>
      <c r="BG512" s="3"/>
      <c r="BH512" s="3"/>
      <c r="BI512" s="3"/>
      <c r="BJ512" s="3"/>
      <c r="BK512" s="3"/>
      <c r="BL512" s="3"/>
      <c r="BM512" s="3"/>
      <c r="BN512" s="3"/>
    </row>
    <row r="513" spans="2:66" ht="12.95" customHeight="1">
      <c r="B513" s="1620"/>
      <c r="C513" s="1453"/>
      <c r="D513" s="1453"/>
      <c r="E513" s="1453"/>
      <c r="F513" s="1453"/>
      <c r="G513" s="1453"/>
      <c r="H513" s="1454"/>
      <c r="I513" t="s">
        <v>1345</v>
      </c>
      <c r="AC513" s="1428" t="s">
        <v>822</v>
      </c>
      <c r="AD513" s="1314"/>
      <c r="AE513" s="1314"/>
      <c r="AF513" s="1314"/>
      <c r="AG513" s="12" t="s">
        <v>1337</v>
      </c>
      <c r="AH513" s="1348"/>
      <c r="AI513" s="1348"/>
      <c r="AJ513" s="1348"/>
      <c r="AK513" s="1349"/>
      <c r="AZ513" s="3"/>
      <c r="BA513" s="3"/>
      <c r="BB513" s="3"/>
      <c r="BC513" s="3"/>
      <c r="BD513" s="3"/>
      <c r="BE513" s="3"/>
      <c r="BF513" s="3"/>
      <c r="BG513" s="3"/>
      <c r="BH513" s="3"/>
      <c r="BI513" s="3"/>
      <c r="BJ513" s="3"/>
      <c r="BK513" s="3"/>
      <c r="BL513" s="3"/>
      <c r="BM513" s="3"/>
      <c r="BN513" s="3"/>
    </row>
    <row r="514" spans="2:66" ht="12.95" customHeight="1">
      <c r="B514" s="1620"/>
      <c r="C514" s="1453"/>
      <c r="D514" s="1453"/>
      <c r="E514" s="1453"/>
      <c r="F514" s="1453"/>
      <c r="G514" s="1453"/>
      <c r="H514" s="1454"/>
      <c r="I514" t="s">
        <v>1346</v>
      </c>
      <c r="AC514" s="1428">
        <v>9</v>
      </c>
      <c r="AD514" s="1314"/>
      <c r="AE514" s="1314"/>
      <c r="AF514" s="1314"/>
      <c r="AG514" s="12" t="s">
        <v>1337</v>
      </c>
      <c r="AH514" s="1348">
        <v>2026</v>
      </c>
      <c r="AI514" s="1348"/>
      <c r="AJ514" s="1348"/>
      <c r="AK514" s="1349"/>
      <c r="AZ514" s="3"/>
      <c r="BA514" s="3"/>
      <c r="BB514" s="3"/>
      <c r="BC514" s="3"/>
      <c r="BD514" s="3"/>
      <c r="BE514" s="3"/>
      <c r="BF514" s="3"/>
      <c r="BG514" s="3"/>
      <c r="BH514" s="3"/>
      <c r="BI514" s="3"/>
      <c r="BJ514" s="3"/>
      <c r="BK514" s="3"/>
      <c r="BL514" s="3"/>
      <c r="BM514" s="3"/>
      <c r="BN514" s="3"/>
    </row>
    <row r="515" spans="2:66" ht="12.95" customHeight="1">
      <c r="B515" s="1620"/>
      <c r="C515" s="1453"/>
      <c r="D515" s="1453"/>
      <c r="E515" s="1453"/>
      <c r="F515" s="1453"/>
      <c r="G515" s="1453"/>
      <c r="H515" s="1454"/>
      <c r="I515" s="3" t="s">
        <v>1347</v>
      </c>
      <c r="AC515" s="1335">
        <v>9</v>
      </c>
      <c r="AD515" s="1336"/>
      <c r="AE515" s="1336"/>
      <c r="AF515" s="1336"/>
      <c r="AG515" s="12" t="s">
        <v>1337</v>
      </c>
      <c r="AH515" s="1348">
        <v>2026</v>
      </c>
      <c r="AI515" s="1348"/>
      <c r="AJ515" s="1348"/>
      <c r="AK515" s="1349"/>
      <c r="AZ515" s="3"/>
      <c r="BA515" s="3"/>
      <c r="BB515" s="3"/>
      <c r="BC515" s="3"/>
      <c r="BD515" s="3"/>
      <c r="BE515" s="3"/>
      <c r="BF515" s="3"/>
      <c r="BG515" s="3"/>
      <c r="BH515" s="3"/>
      <c r="BI515" s="3"/>
      <c r="BJ515" s="3"/>
      <c r="BK515" s="3"/>
      <c r="BL515" s="3"/>
      <c r="BM515" s="3"/>
      <c r="BN515" s="3"/>
    </row>
    <row r="516" spans="2:66" ht="12.95" customHeight="1">
      <c r="B516" s="1620"/>
      <c r="C516" s="1453"/>
      <c r="D516" s="1453"/>
      <c r="E516" s="1453"/>
      <c r="F516" s="1453"/>
      <c r="G516" s="1453"/>
      <c r="H516" s="1454"/>
      <c r="I516" s="788" t="s">
        <v>233</v>
      </c>
      <c r="J516" s="40"/>
      <c r="K516" s="40"/>
      <c r="L516" s="1719" t="s">
        <v>1266</v>
      </c>
      <c r="M516" s="1687"/>
      <c r="N516" s="1687"/>
      <c r="O516" s="1687"/>
      <c r="P516" s="1687"/>
      <c r="Q516" s="1687"/>
      <c r="R516" s="1687"/>
      <c r="S516" s="1687"/>
      <c r="T516" s="1687"/>
      <c r="U516" s="1687"/>
      <c r="V516" s="1687"/>
      <c r="W516" s="1687"/>
      <c r="X516" s="1687"/>
      <c r="Y516" s="1687"/>
      <c r="Z516" s="1687"/>
      <c r="AA516" s="1687"/>
      <c r="AB516" s="1764"/>
      <c r="AC516" s="1428" t="s">
        <v>822</v>
      </c>
      <c r="AD516" s="1314"/>
      <c r="AE516" s="1314"/>
      <c r="AF516" s="1314"/>
      <c r="AG516" s="30" t="s">
        <v>1337</v>
      </c>
      <c r="AH516" s="1348"/>
      <c r="AI516" s="1348"/>
      <c r="AJ516" s="1348"/>
      <c r="AK516" s="1349"/>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1348</v>
      </c>
      <c r="AC517" s="1723" t="s">
        <v>700</v>
      </c>
      <c r="AD517" s="1723"/>
      <c r="AE517" s="1723"/>
      <c r="AF517" s="1723"/>
      <c r="AG517" s="12"/>
      <c r="AH517" s="1312"/>
      <c r="AI517" s="1312"/>
      <c r="AJ517" s="1312"/>
      <c r="AK517" s="1683"/>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1349</v>
      </c>
      <c r="AC518" s="1335"/>
      <c r="AD518" s="1336"/>
      <c r="AE518" s="1336"/>
      <c r="AF518" s="1337"/>
      <c r="AG518" s="12"/>
      <c r="AH518" s="1312"/>
      <c r="AI518" s="1312"/>
      <c r="AJ518" s="1312"/>
      <c r="AK518" s="1683"/>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1350</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1351</v>
      </c>
      <c r="J520" s="40"/>
      <c r="K520" s="40"/>
      <c r="L520" s="40"/>
      <c r="M520" s="40"/>
      <c r="N520" s="40"/>
      <c r="O520" s="40"/>
      <c r="P520" s="40"/>
      <c r="Q520" s="40"/>
      <c r="R520" s="40"/>
      <c r="S520" s="40"/>
      <c r="T520" s="40"/>
      <c r="U520" s="40"/>
      <c r="V520" s="40"/>
      <c r="W520" s="40"/>
      <c r="X520" s="40"/>
      <c r="Y520" s="40"/>
      <c r="Z520" s="40"/>
      <c r="AA520" s="40"/>
      <c r="AB520" s="40"/>
      <c r="AC520" s="1735"/>
      <c r="AD520" s="1736"/>
      <c r="AE520" s="1736"/>
      <c r="AF520" s="1737"/>
      <c r="AG520" s="30"/>
      <c r="AH520" s="1667"/>
      <c r="AI520" s="1667"/>
      <c r="AJ520" s="1667"/>
      <c r="AK520" s="1668"/>
      <c r="AZ520" s="3"/>
      <c r="BA520" s="3"/>
      <c r="BB520" s="3"/>
      <c r="BC520" s="3"/>
      <c r="BD520" s="3"/>
      <c r="BE520" s="3"/>
      <c r="BF520" s="3"/>
      <c r="BG520" s="3"/>
      <c r="BH520" s="3"/>
      <c r="BI520" s="3"/>
      <c r="BJ520" s="3"/>
      <c r="BK520" s="3"/>
      <c r="BL520" s="3"/>
      <c r="BM520" s="3"/>
      <c r="BN520" s="3" t="s">
        <v>1038</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29" t="s">
        <v>1336</v>
      </c>
      <c r="AD521" s="1430"/>
      <c r="AE521" s="1430"/>
      <c r="AF521" s="1430"/>
      <c r="AG521" s="30" t="s">
        <v>1337</v>
      </c>
      <c r="AH521" s="1430" t="s">
        <v>1338</v>
      </c>
      <c r="AI521" s="1430"/>
      <c r="AJ521" s="1430"/>
      <c r="AK521" s="1758"/>
      <c r="AZ521" s="3"/>
      <c r="BA521" s="3"/>
      <c r="BB521" s="3"/>
      <c r="BC521" s="3"/>
      <c r="BD521" s="3"/>
      <c r="BE521" s="3"/>
      <c r="BF521" s="3"/>
      <c r="BG521" s="3"/>
      <c r="BH521" s="3"/>
      <c r="BI521" s="3"/>
      <c r="BJ521" s="3"/>
      <c r="BK521" s="3"/>
      <c r="BL521" s="3"/>
      <c r="BM521" s="3"/>
      <c r="BN521" s="3" t="s">
        <v>1352</v>
      </c>
    </row>
    <row r="522" spans="2:66" ht="12.95" customHeight="1">
      <c r="B522" s="1619" t="s">
        <v>1353</v>
      </c>
      <c r="C522" s="1451"/>
      <c r="D522" s="1451"/>
      <c r="E522" s="1451"/>
      <c r="F522" s="1451"/>
      <c r="G522" s="1451"/>
      <c r="H522" s="1452"/>
      <c r="I522" s="34" t="s">
        <v>1354</v>
      </c>
      <c r="J522" s="34"/>
      <c r="K522" s="34"/>
      <c r="L522" s="34"/>
      <c r="M522" s="34"/>
      <c r="N522" s="34"/>
      <c r="O522" s="34"/>
      <c r="P522" s="34"/>
      <c r="Q522" s="34"/>
      <c r="R522" s="34"/>
      <c r="S522" s="34"/>
      <c r="T522" s="34"/>
      <c r="U522" s="34"/>
      <c r="V522" s="34"/>
      <c r="W522" s="34"/>
      <c r="AC522" s="1428">
        <v>10</v>
      </c>
      <c r="AD522" s="1314"/>
      <c r="AE522" s="1314"/>
      <c r="AF522" s="1314"/>
      <c r="AG522" s="12" t="s">
        <v>1337</v>
      </c>
      <c r="AH522" s="1348">
        <v>2025</v>
      </c>
      <c r="AI522" s="1348"/>
      <c r="AJ522" s="1348"/>
      <c r="AK522" s="1349"/>
      <c r="AZ522" s="3"/>
      <c r="BA522" s="3"/>
      <c r="BB522" s="3"/>
      <c r="BC522" s="3"/>
      <c r="BD522" s="3"/>
      <c r="BE522" s="3"/>
      <c r="BF522" s="3"/>
      <c r="BG522" s="3"/>
      <c r="BH522" s="3"/>
      <c r="BI522" s="3"/>
      <c r="BJ522" s="3"/>
      <c r="BK522" s="3"/>
      <c r="BL522" s="3"/>
      <c r="BM522" s="3"/>
      <c r="BN522" s="3" t="s">
        <v>1355</v>
      </c>
    </row>
    <row r="523" spans="2:66" ht="12.95" customHeight="1">
      <c r="B523" s="1620"/>
      <c r="C523" s="1453"/>
      <c r="D523" s="1453"/>
      <c r="E523" s="1453"/>
      <c r="F523" s="1453"/>
      <c r="G523" s="1453"/>
      <c r="H523" s="1454"/>
      <c r="I523" t="s">
        <v>1356</v>
      </c>
      <c r="AC523" s="1428">
        <v>1</v>
      </c>
      <c r="AD523" s="1314"/>
      <c r="AE523" s="1314"/>
      <c r="AF523" s="1314"/>
      <c r="AG523" s="12" t="s">
        <v>1337</v>
      </c>
      <c r="AH523" s="1348">
        <v>2026</v>
      </c>
      <c r="AI523" s="1348"/>
      <c r="AJ523" s="1348"/>
      <c r="AK523" s="1349"/>
      <c r="AZ523" s="3"/>
      <c r="BA523" s="3"/>
      <c r="BB523" s="3"/>
      <c r="BC523" s="3"/>
      <c r="BD523" s="3"/>
      <c r="BE523" s="3"/>
      <c r="BF523" s="3"/>
      <c r="BG523" s="3"/>
      <c r="BH523" s="3"/>
      <c r="BI523" s="3"/>
      <c r="BJ523" s="3"/>
      <c r="BK523" s="3"/>
      <c r="BL523" s="3"/>
      <c r="BM523" s="3"/>
      <c r="BN523" s="3" t="s">
        <v>1357</v>
      </c>
    </row>
    <row r="524" spans="2:66" ht="12.95" customHeight="1">
      <c r="B524" s="1620"/>
      <c r="C524" s="1453"/>
      <c r="D524" s="1453"/>
      <c r="E524" s="1453"/>
      <c r="F524" s="1453"/>
      <c r="G524" s="1453"/>
      <c r="H524" s="1454"/>
      <c r="I524" s="40" t="s">
        <v>1358</v>
      </c>
      <c r="J524" s="40"/>
      <c r="K524" s="40"/>
      <c r="L524" s="40"/>
      <c r="M524" s="40"/>
      <c r="N524" s="40"/>
      <c r="O524" s="40"/>
      <c r="P524" s="40"/>
      <c r="Q524" s="40"/>
      <c r="R524" s="40"/>
      <c r="S524" s="40"/>
      <c r="T524" s="40"/>
      <c r="U524" s="40"/>
      <c r="V524" s="40"/>
      <c r="W524" s="40"/>
      <c r="X524" s="40"/>
      <c r="Y524" s="40"/>
      <c r="Z524" s="40"/>
      <c r="AA524" s="40"/>
      <c r="AB524" s="40"/>
      <c r="AC524" s="1428">
        <v>11</v>
      </c>
      <c r="AD524" s="1314"/>
      <c r="AE524" s="1314"/>
      <c r="AF524" s="1314"/>
      <c r="AG524" s="30" t="s">
        <v>1337</v>
      </c>
      <c r="AH524" s="1348">
        <v>2026</v>
      </c>
      <c r="AI524" s="1348"/>
      <c r="AJ524" s="1348"/>
      <c r="AK524" s="1349"/>
      <c r="AZ524" s="3"/>
      <c r="BA524" s="3"/>
      <c r="BB524" s="3"/>
      <c r="BC524" s="3"/>
      <c r="BD524" s="3"/>
      <c r="BE524" s="3"/>
      <c r="BF524" s="3"/>
      <c r="BG524" s="3"/>
      <c r="BH524" s="3"/>
      <c r="BI524" s="3"/>
      <c r="BJ524" s="3"/>
      <c r="BK524" s="3"/>
      <c r="BL524" s="3"/>
      <c r="BM524" s="3"/>
      <c r="BN524" s="3" t="s">
        <v>1359</v>
      </c>
    </row>
    <row r="525" spans="2:66" ht="12.95" customHeight="1">
      <c r="B525" s="1619" t="s">
        <v>1360</v>
      </c>
      <c r="C525" s="1451"/>
      <c r="D525" s="1451"/>
      <c r="E525" s="1451"/>
      <c r="F525" s="1451"/>
      <c r="G525" s="1451"/>
      <c r="H525" s="1452"/>
      <c r="I525" s="34" t="s">
        <v>1354</v>
      </c>
      <c r="J525" s="34"/>
      <c r="K525" s="34"/>
      <c r="L525" s="34"/>
      <c r="M525" s="34"/>
      <c r="N525" s="34"/>
      <c r="O525" s="34"/>
      <c r="P525" s="34"/>
      <c r="Q525" s="34"/>
      <c r="R525" s="34"/>
      <c r="S525" s="34"/>
      <c r="T525" s="34"/>
      <c r="U525" s="34"/>
      <c r="V525" s="34"/>
      <c r="W525" s="34"/>
      <c r="X525" s="34"/>
      <c r="Y525" s="34"/>
      <c r="Z525" s="34"/>
      <c r="AA525" s="34"/>
      <c r="AB525" s="34"/>
      <c r="AC525" s="1335">
        <v>10</v>
      </c>
      <c r="AD525" s="1336"/>
      <c r="AE525" s="1336"/>
      <c r="AF525" s="1336"/>
      <c r="AG525" s="94" t="s">
        <v>1337</v>
      </c>
      <c r="AH525" s="1348">
        <v>2025</v>
      </c>
      <c r="AI525" s="1348"/>
      <c r="AJ525" s="1348"/>
      <c r="AK525" s="1349"/>
      <c r="AZ525" s="3"/>
      <c r="BB525" s="3"/>
      <c r="BC525" s="3"/>
      <c r="BD525" s="3"/>
      <c r="BE525" s="3"/>
      <c r="BF525" s="3"/>
      <c r="BG525" s="3"/>
      <c r="BH525" s="3"/>
      <c r="BI525" s="3"/>
      <c r="BJ525" s="3"/>
      <c r="BK525" s="3"/>
      <c r="BL525" s="3"/>
      <c r="BM525" s="3"/>
      <c r="BN525" s="3" t="s">
        <v>1361</v>
      </c>
    </row>
    <row r="526" spans="2:66" ht="12.95" customHeight="1">
      <c r="B526" s="1620"/>
      <c r="C526" s="1453"/>
      <c r="D526" s="1453"/>
      <c r="E526" s="1453"/>
      <c r="F526" s="1453"/>
      <c r="G526" s="1453"/>
      <c r="H526" s="1454"/>
      <c r="I526" t="s">
        <v>1356</v>
      </c>
      <c r="AC526" s="1428">
        <v>1</v>
      </c>
      <c r="AD526" s="1314"/>
      <c r="AE526" s="1314"/>
      <c r="AF526" s="1314"/>
      <c r="AG526" s="12" t="s">
        <v>1337</v>
      </c>
      <c r="AH526" s="1348">
        <v>2026</v>
      </c>
      <c r="AI526" s="1348"/>
      <c r="AJ526" s="1348"/>
      <c r="AK526" s="1349"/>
      <c r="BB526" s="3"/>
      <c r="BC526" s="3"/>
      <c r="BD526" s="3"/>
      <c r="BE526" s="3"/>
      <c r="BF526" s="3"/>
      <c r="BG526" s="3"/>
      <c r="BH526" s="3"/>
      <c r="BI526" s="3"/>
      <c r="BJ526" s="3"/>
      <c r="BK526" s="3"/>
      <c r="BL526" s="3"/>
      <c r="BM526" s="3"/>
      <c r="BN526" s="3" t="s">
        <v>1362</v>
      </c>
    </row>
    <row r="527" spans="2:66" ht="12.95" customHeight="1">
      <c r="B527" s="1621"/>
      <c r="C527" s="1455"/>
      <c r="D527" s="1455"/>
      <c r="E527" s="1455"/>
      <c r="F527" s="1455"/>
      <c r="G527" s="1455"/>
      <c r="H527" s="1456"/>
      <c r="I527" s="40" t="s">
        <v>1358</v>
      </c>
      <c r="J527" s="40"/>
      <c r="K527" s="40"/>
      <c r="L527" s="40"/>
      <c r="M527" s="40"/>
      <c r="N527" s="40"/>
      <c r="O527" s="40"/>
      <c r="P527" s="40"/>
      <c r="Q527" s="40"/>
      <c r="R527" s="40"/>
      <c r="S527" s="40"/>
      <c r="T527" s="40"/>
      <c r="U527" s="40"/>
      <c r="V527" s="40"/>
      <c r="W527" s="40"/>
      <c r="X527" s="40"/>
      <c r="Y527" s="40"/>
      <c r="Z527" s="40"/>
      <c r="AA527" s="40"/>
      <c r="AB527" s="40"/>
      <c r="AC527" s="1428">
        <v>11</v>
      </c>
      <c r="AD527" s="1314"/>
      <c r="AE527" s="1314"/>
      <c r="AF527" s="1314"/>
      <c r="AG527" s="30" t="s">
        <v>1337</v>
      </c>
      <c r="AH527" s="1348">
        <v>2028</v>
      </c>
      <c r="AI527" s="1348"/>
      <c r="AJ527" s="1348"/>
      <c r="AK527" s="1349"/>
      <c r="BB527" s="3"/>
      <c r="BC527" s="3"/>
      <c r="BD527" s="3"/>
      <c r="BE527" s="3"/>
      <c r="BF527" s="3"/>
      <c r="BG527" s="3"/>
      <c r="BH527" s="3"/>
      <c r="BI527" s="3"/>
      <c r="BJ527" s="3"/>
      <c r="BK527" s="3"/>
      <c r="BL527" s="3"/>
      <c r="BM527" s="3"/>
      <c r="BN527" s="3" t="s">
        <v>1363</v>
      </c>
    </row>
    <row r="528" spans="2:66" ht="12.95" customHeight="1">
      <c r="B528" s="1619" t="s">
        <v>1364</v>
      </c>
      <c r="C528" s="1451"/>
      <c r="D528" s="1451"/>
      <c r="E528" s="1451"/>
      <c r="F528" s="1451"/>
      <c r="G528" s="1451"/>
      <c r="H528" s="1452"/>
      <c r="I528" s="33" t="s">
        <v>1365</v>
      </c>
      <c r="J528" s="34"/>
      <c r="K528" s="34"/>
      <c r="L528" s="34"/>
      <c r="M528" s="34"/>
      <c r="N528" s="34"/>
      <c r="O528" s="1719" t="s">
        <v>1366</v>
      </c>
      <c r="P528" s="1687"/>
      <c r="Q528" s="1687"/>
      <c r="R528" s="1687"/>
      <c r="S528" s="1687"/>
      <c r="T528" s="1687"/>
      <c r="U528" s="1687"/>
      <c r="V528" s="1687"/>
      <c r="W528" s="1687"/>
      <c r="X528" s="1687"/>
      <c r="Y528" s="1687"/>
      <c r="Z528" s="1687"/>
      <c r="AA528" s="1687"/>
      <c r="AB528" s="50"/>
      <c r="AC528" s="1335" t="s">
        <v>822</v>
      </c>
      <c r="AD528" s="1336"/>
      <c r="AE528" s="1336"/>
      <c r="AF528" s="1336"/>
      <c r="AG528" s="94" t="s">
        <v>1337</v>
      </c>
      <c r="AH528" s="1348"/>
      <c r="AI528" s="1348"/>
      <c r="AJ528" s="1348"/>
      <c r="AK528" s="1349"/>
      <c r="AZ528" s="3"/>
      <c r="BB528" s="3"/>
      <c r="BC528" s="3"/>
      <c r="BD528" s="3"/>
      <c r="BE528" s="3"/>
      <c r="BF528" s="3"/>
      <c r="BG528" s="3"/>
      <c r="BH528" s="3"/>
      <c r="BI528" s="3"/>
      <c r="BJ528" s="3"/>
      <c r="BK528" s="3"/>
      <c r="BL528" s="3"/>
      <c r="BM528" s="3"/>
      <c r="BN528" s="3" t="s">
        <v>1367</v>
      </c>
    </row>
    <row r="529" spans="2:66" ht="12.95" customHeight="1">
      <c r="B529" s="1620"/>
      <c r="C529" s="1453"/>
      <c r="D529" s="1453"/>
      <c r="E529" s="1453"/>
      <c r="F529" s="1453"/>
      <c r="G529" s="1453"/>
      <c r="H529" s="1454"/>
      <c r="I529" s="82" t="s">
        <v>44</v>
      </c>
      <c r="AB529" s="56"/>
      <c r="AC529" s="1428">
        <v>5</v>
      </c>
      <c r="AD529" s="1314"/>
      <c r="AE529" s="1314"/>
      <c r="AF529" s="1314"/>
      <c r="AG529" s="12" t="s">
        <v>1337</v>
      </c>
      <c r="AH529" s="1348">
        <v>2025</v>
      </c>
      <c r="AI529" s="1348"/>
      <c r="AJ529" s="1348"/>
      <c r="AK529" s="1349"/>
      <c r="AZ529" s="3"/>
      <c r="BB529" s="3"/>
      <c r="BC529" s="3"/>
      <c r="BD529" s="3"/>
      <c r="BE529" s="3"/>
      <c r="BF529" s="3"/>
      <c r="BG529" s="3"/>
      <c r="BH529" s="3"/>
      <c r="BI529" s="3"/>
      <c r="BJ529" s="3"/>
      <c r="BK529" s="3"/>
      <c r="BL529" s="3"/>
      <c r="BM529" s="3"/>
      <c r="BN529" s="3" t="s">
        <v>1368</v>
      </c>
    </row>
    <row r="530" spans="2:66" ht="12.95" customHeight="1">
      <c r="B530" s="1620"/>
      <c r="C530" s="1453"/>
      <c r="D530" s="1453"/>
      <c r="E530" s="1453"/>
      <c r="F530" s="1453"/>
      <c r="G530" s="1453"/>
      <c r="H530" s="1454"/>
      <c r="I530" s="39" t="s">
        <v>1369</v>
      </c>
      <c r="J530" s="40"/>
      <c r="K530" s="40"/>
      <c r="L530" s="40"/>
      <c r="M530" s="40"/>
      <c r="N530" s="40"/>
      <c r="O530" s="40"/>
      <c r="P530" s="40"/>
      <c r="Q530" s="40"/>
      <c r="R530" s="40"/>
      <c r="S530" s="40"/>
      <c r="T530" s="40"/>
      <c r="U530" s="40"/>
      <c r="V530" s="40"/>
      <c r="W530" s="40"/>
      <c r="X530" s="40"/>
      <c r="Y530" s="40"/>
      <c r="Z530" s="40"/>
      <c r="AA530" s="40"/>
      <c r="AB530" s="41"/>
      <c r="AC530" s="1428">
        <v>10</v>
      </c>
      <c r="AD530" s="1314"/>
      <c r="AE530" s="1314"/>
      <c r="AF530" s="1314"/>
      <c r="AG530" s="30" t="s">
        <v>1337</v>
      </c>
      <c r="AH530" s="1348">
        <v>2025</v>
      </c>
      <c r="AI530" s="1348"/>
      <c r="AJ530" s="1348"/>
      <c r="AK530" s="1349"/>
      <c r="AZ530" s="3"/>
      <c r="BA530" s="3"/>
      <c r="BB530" s="3"/>
      <c r="BC530" s="3"/>
      <c r="BD530" s="3"/>
      <c r="BE530" s="3"/>
      <c r="BF530" s="3"/>
      <c r="BG530" s="3"/>
      <c r="BH530" s="3"/>
      <c r="BI530" s="3"/>
      <c r="BJ530" s="3"/>
      <c r="BK530" s="3"/>
      <c r="BL530" s="3"/>
      <c r="BM530" s="3"/>
      <c r="BN530" s="3" t="s">
        <v>1370</v>
      </c>
    </row>
    <row r="531" spans="2:66" ht="12.95" customHeight="1">
      <c r="B531" s="1620"/>
      <c r="C531" s="1453"/>
      <c r="D531" s="1453"/>
      <c r="E531" s="1453"/>
      <c r="F531" s="1453"/>
      <c r="G531" s="1453"/>
      <c r="H531" s="1454"/>
      <c r="I531" s="34" t="s">
        <v>1371</v>
      </c>
      <c r="J531" s="34"/>
      <c r="K531" s="34"/>
      <c r="L531" s="34"/>
      <c r="M531" s="34"/>
      <c r="N531" s="34"/>
      <c r="O531" s="1719" t="s">
        <v>1372</v>
      </c>
      <c r="P531" s="1687"/>
      <c r="Q531" s="1687"/>
      <c r="R531" s="1687"/>
      <c r="S531" s="1687"/>
      <c r="T531" s="1687"/>
      <c r="U531" s="1687"/>
      <c r="V531" s="1687"/>
      <c r="W531" s="1687"/>
      <c r="X531" s="1687"/>
      <c r="Y531" s="1687"/>
      <c r="Z531" s="1687"/>
      <c r="AA531" s="1687"/>
      <c r="AC531" s="1428" t="s">
        <v>822</v>
      </c>
      <c r="AD531" s="1314"/>
      <c r="AE531" s="1314"/>
      <c r="AF531" s="1314"/>
      <c r="AG531" s="12" t="s">
        <v>1337</v>
      </c>
      <c r="AH531" s="1348"/>
      <c r="AI531" s="1348"/>
      <c r="AJ531" s="1348"/>
      <c r="AK531" s="1349"/>
      <c r="AZ531" s="3"/>
      <c r="BA531" s="3"/>
      <c r="BB531" s="3"/>
      <c r="BC531" s="3"/>
      <c r="BD531" s="3"/>
      <c r="BE531" s="3"/>
      <c r="BF531" s="3"/>
      <c r="BG531" s="3"/>
      <c r="BH531" s="3"/>
      <c r="BI531" s="3"/>
      <c r="BJ531" s="3"/>
      <c r="BK531" s="3"/>
      <c r="BL531" s="3"/>
      <c r="BM531" s="3"/>
      <c r="BN531" s="3" t="s">
        <v>1373</v>
      </c>
    </row>
    <row r="532" spans="2:66" ht="12.95" customHeight="1">
      <c r="B532" s="1620"/>
      <c r="C532" s="1453"/>
      <c r="D532" s="1453"/>
      <c r="E532" s="1453"/>
      <c r="F532" s="1453"/>
      <c r="G532" s="1453"/>
      <c r="H532" s="1454"/>
      <c r="I532" t="s">
        <v>44</v>
      </c>
      <c r="AC532" s="1428">
        <v>8</v>
      </c>
      <c r="AD532" s="1314"/>
      <c r="AE532" s="1314"/>
      <c r="AF532" s="1314"/>
      <c r="AG532" s="12" t="s">
        <v>1337</v>
      </c>
      <c r="AH532" s="1348">
        <v>2025</v>
      </c>
      <c r="AI532" s="1348"/>
      <c r="AJ532" s="1348"/>
      <c r="AK532" s="1349"/>
      <c r="AZ532" s="3"/>
      <c r="BA532" s="3"/>
      <c r="BB532" s="3"/>
      <c r="BC532" s="3"/>
      <c r="BD532" s="3"/>
      <c r="BE532" s="3"/>
      <c r="BF532" s="3"/>
      <c r="BG532" s="3"/>
      <c r="BH532" s="3"/>
      <c r="BI532" s="3"/>
      <c r="BJ532" s="3"/>
      <c r="BK532" s="3"/>
      <c r="BL532" s="3"/>
      <c r="BM532" s="3"/>
      <c r="BN532" s="3" t="s">
        <v>1374</v>
      </c>
    </row>
    <row r="533" spans="2:66" ht="12.95" customHeight="1">
      <c r="B533" s="1620"/>
      <c r="C533" s="1453"/>
      <c r="D533" s="1453"/>
      <c r="E533" s="1453"/>
      <c r="F533" s="1453"/>
      <c r="G533" s="1453"/>
      <c r="H533" s="1454"/>
      <c r="I533" s="40" t="s">
        <v>1369</v>
      </c>
      <c r="J533" s="40"/>
      <c r="K533" s="40"/>
      <c r="L533" s="40"/>
      <c r="M533" s="40"/>
      <c r="N533" s="40"/>
      <c r="O533" s="40"/>
      <c r="P533" s="40"/>
      <c r="Q533" s="40"/>
      <c r="R533" s="40"/>
      <c r="S533" s="40"/>
      <c r="T533" s="40"/>
      <c r="U533" s="40"/>
      <c r="V533" s="40"/>
      <c r="W533" s="40"/>
      <c r="X533" s="40"/>
      <c r="Y533" s="40"/>
      <c r="Z533" s="40"/>
      <c r="AA533" s="40"/>
      <c r="AB533" s="40"/>
      <c r="AC533" s="1428">
        <v>1</v>
      </c>
      <c r="AD533" s="1314"/>
      <c r="AE533" s="1314"/>
      <c r="AF533" s="1314"/>
      <c r="AG533" s="30" t="s">
        <v>1337</v>
      </c>
      <c r="AH533" s="1348">
        <v>2026</v>
      </c>
      <c r="AI533" s="1348"/>
      <c r="AJ533" s="1348"/>
      <c r="AK533" s="1349"/>
      <c r="AZ533" s="3"/>
      <c r="BA533" s="3"/>
      <c r="BB533" s="3"/>
      <c r="BC533" s="3"/>
      <c r="BD533" s="3"/>
      <c r="BE533" s="3"/>
      <c r="BF533" s="3"/>
      <c r="BG533" s="3"/>
      <c r="BH533" s="3"/>
      <c r="BI533" s="3"/>
      <c r="BJ533" s="3"/>
      <c r="BK533" s="3"/>
      <c r="BL533" s="3"/>
      <c r="BM533" s="3"/>
      <c r="BN533" s="3" t="s">
        <v>1375</v>
      </c>
    </row>
    <row r="534" spans="2:66" ht="12.95" customHeight="1">
      <c r="B534" s="1620"/>
      <c r="C534" s="1453"/>
      <c r="D534" s="1453"/>
      <c r="E534" s="1453"/>
      <c r="F534" s="1453"/>
      <c r="G534" s="1453"/>
      <c r="H534" s="1454"/>
      <c r="I534" s="34" t="s">
        <v>1371</v>
      </c>
      <c r="J534" s="34"/>
      <c r="K534" s="34"/>
      <c r="L534" s="34"/>
      <c r="M534" s="34"/>
      <c r="N534" s="34"/>
      <c r="O534" s="1719" t="s">
        <v>1266</v>
      </c>
      <c r="P534" s="1687"/>
      <c r="Q534" s="1687"/>
      <c r="R534" s="1687"/>
      <c r="S534" s="1687"/>
      <c r="T534" s="1687"/>
      <c r="U534" s="1687"/>
      <c r="V534" s="1687"/>
      <c r="W534" s="1687"/>
      <c r="X534" s="1687"/>
      <c r="Y534" s="1687"/>
      <c r="Z534" s="1687"/>
      <c r="AA534" s="1687"/>
      <c r="AC534" s="1428" t="s">
        <v>822</v>
      </c>
      <c r="AD534" s="1314"/>
      <c r="AE534" s="1314"/>
      <c r="AF534" s="1314"/>
      <c r="AG534" s="12" t="s">
        <v>1337</v>
      </c>
      <c r="AH534" s="1348"/>
      <c r="AI534" s="1348"/>
      <c r="AJ534" s="1348"/>
      <c r="AK534" s="1349"/>
      <c r="AZ534" s="3"/>
      <c r="BA534" s="3"/>
      <c r="BB534" s="3"/>
      <c r="BC534" s="3"/>
      <c r="BD534" s="3"/>
      <c r="BE534" s="3"/>
      <c r="BF534" s="3"/>
      <c r="BG534" s="3"/>
      <c r="BH534" s="3"/>
      <c r="BI534" s="3"/>
      <c r="BJ534" s="3"/>
      <c r="BK534" s="3"/>
      <c r="BL534" s="3"/>
      <c r="BM534" s="3"/>
      <c r="BN534" s="3" t="s">
        <v>1376</v>
      </c>
    </row>
    <row r="535" spans="2:66" ht="12.95" customHeight="1">
      <c r="B535" s="1620"/>
      <c r="C535" s="1453"/>
      <c r="D535" s="1453"/>
      <c r="E535" s="1453"/>
      <c r="F535" s="1453"/>
      <c r="G535" s="1453"/>
      <c r="H535" s="1454"/>
      <c r="I535" t="s">
        <v>44</v>
      </c>
      <c r="AC535" s="1428" t="s">
        <v>822</v>
      </c>
      <c r="AD535" s="1314"/>
      <c r="AE535" s="1314"/>
      <c r="AF535" s="1314"/>
      <c r="AG535" s="12" t="s">
        <v>1337</v>
      </c>
      <c r="AH535" s="1348"/>
      <c r="AI535" s="1348"/>
      <c r="AJ535" s="1348"/>
      <c r="AK535" s="1349"/>
      <c r="AZ535" s="3"/>
      <c r="BA535" s="3"/>
      <c r="BB535" s="3"/>
      <c r="BC535" s="3"/>
      <c r="BD535" s="3"/>
      <c r="BE535" s="3"/>
      <c r="BF535" s="3"/>
      <c r="BG535" s="3"/>
      <c r="BH535" s="3"/>
      <c r="BI535" s="3"/>
      <c r="BJ535" s="3"/>
      <c r="BK535" s="3"/>
      <c r="BL535" s="3"/>
      <c r="BM535" s="3"/>
      <c r="BN535" s="3" t="s">
        <v>1377</v>
      </c>
    </row>
    <row r="536" spans="2:66" ht="12.95" customHeight="1">
      <c r="B536" s="1620"/>
      <c r="C536" s="1453"/>
      <c r="D536" s="1453"/>
      <c r="E536" s="1453"/>
      <c r="F536" s="1453"/>
      <c r="G536" s="1453"/>
      <c r="H536" s="1454"/>
      <c r="I536" s="40" t="s">
        <v>1369</v>
      </c>
      <c r="J536" s="40"/>
      <c r="K536" s="40"/>
      <c r="L536" s="40"/>
      <c r="M536" s="40"/>
      <c r="N536" s="40"/>
      <c r="O536" s="40"/>
      <c r="P536" s="40"/>
      <c r="Q536" s="40"/>
      <c r="R536" s="40"/>
      <c r="S536" s="40"/>
      <c r="T536" s="40"/>
      <c r="U536" s="40"/>
      <c r="V536" s="40"/>
      <c r="W536" s="40"/>
      <c r="X536" s="40"/>
      <c r="Y536" s="40"/>
      <c r="Z536" s="40"/>
      <c r="AA536" s="40"/>
      <c r="AB536" s="40"/>
      <c r="AC536" s="1428" t="s">
        <v>822</v>
      </c>
      <c r="AD536" s="1314"/>
      <c r="AE536" s="1314"/>
      <c r="AF536" s="1314"/>
      <c r="AG536" s="30" t="s">
        <v>1337</v>
      </c>
      <c r="AH536" s="1348"/>
      <c r="AI536" s="1348"/>
      <c r="AJ536" s="1348"/>
      <c r="AK536" s="1349"/>
      <c r="AZ536" s="3"/>
      <c r="BA536" s="3"/>
      <c r="BB536" s="3"/>
      <c r="BC536" s="3"/>
      <c r="BD536" s="3"/>
      <c r="BE536" s="3"/>
      <c r="BF536" s="3"/>
      <c r="BG536" s="3"/>
      <c r="BH536" s="3"/>
      <c r="BI536" s="3"/>
      <c r="BJ536" s="3"/>
      <c r="BK536" s="3"/>
      <c r="BL536" s="3"/>
      <c r="BM536" s="3"/>
      <c r="BN536" s="3" t="s">
        <v>1378</v>
      </c>
    </row>
    <row r="537" spans="2:66" ht="12.95" customHeight="1">
      <c r="B537" s="1620"/>
      <c r="C537" s="1453"/>
      <c r="D537" s="1453"/>
      <c r="E537" s="1453"/>
      <c r="F537" s="1453"/>
      <c r="G537" s="1453"/>
      <c r="H537" s="1454"/>
      <c r="I537" s="34" t="s">
        <v>1371</v>
      </c>
      <c r="J537" s="34"/>
      <c r="K537" s="34"/>
      <c r="L537" s="34"/>
      <c r="M537" s="34"/>
      <c r="N537" s="34"/>
      <c r="O537" s="1719" t="s">
        <v>1266</v>
      </c>
      <c r="P537" s="1687"/>
      <c r="Q537" s="1687"/>
      <c r="R537" s="1687"/>
      <c r="S537" s="1687"/>
      <c r="T537" s="1687"/>
      <c r="U537" s="1687"/>
      <c r="V537" s="1687"/>
      <c r="W537" s="1687"/>
      <c r="X537" s="1687"/>
      <c r="Y537" s="1687"/>
      <c r="Z537" s="1687"/>
      <c r="AA537" s="1687"/>
      <c r="AC537" s="1428" t="s">
        <v>822</v>
      </c>
      <c r="AD537" s="1314"/>
      <c r="AE537" s="1314"/>
      <c r="AF537" s="1314"/>
      <c r="AG537" s="12" t="s">
        <v>1337</v>
      </c>
      <c r="AH537" s="1348"/>
      <c r="AI537" s="1348"/>
      <c r="AJ537" s="1348"/>
      <c r="AK537" s="1349"/>
      <c r="AZ537" s="3"/>
      <c r="BA537" s="3"/>
      <c r="BB537" s="3"/>
      <c r="BC537" s="3"/>
      <c r="BD537" s="3"/>
      <c r="BE537" s="3"/>
      <c r="BF537" s="3"/>
      <c r="BG537" s="3"/>
      <c r="BH537" s="3"/>
      <c r="BI537" s="3"/>
      <c r="BJ537" s="3"/>
      <c r="BK537" s="3"/>
      <c r="BL537" s="3"/>
      <c r="BM537" s="3"/>
      <c r="BN537" s="3" t="s">
        <v>1379</v>
      </c>
    </row>
    <row r="538" spans="2:66" ht="12.95" customHeight="1">
      <c r="B538" s="1620"/>
      <c r="C538" s="1453"/>
      <c r="D538" s="1453"/>
      <c r="E538" s="1453"/>
      <c r="F538" s="1453"/>
      <c r="G538" s="1453"/>
      <c r="H538" s="1454"/>
      <c r="I538" t="s">
        <v>44</v>
      </c>
      <c r="AC538" s="1428" t="s">
        <v>822</v>
      </c>
      <c r="AD538" s="1314"/>
      <c r="AE538" s="1314"/>
      <c r="AF538" s="1314"/>
      <c r="AG538" s="12" t="s">
        <v>1337</v>
      </c>
      <c r="AH538" s="1348"/>
      <c r="AI538" s="1348"/>
      <c r="AJ538" s="1348"/>
      <c r="AK538" s="1349"/>
      <c r="AZ538" s="3"/>
      <c r="BA538" s="3"/>
      <c r="BB538" s="3"/>
      <c r="BC538" s="3"/>
      <c r="BD538" s="3"/>
      <c r="BE538" s="3"/>
      <c r="BF538" s="3"/>
      <c r="BG538" s="3"/>
      <c r="BH538" s="3"/>
      <c r="BI538" s="3"/>
      <c r="BJ538" s="3"/>
      <c r="BK538" s="3"/>
      <c r="BL538" s="3"/>
      <c r="BM538" s="3"/>
      <c r="BN538" s="3" t="s">
        <v>1380</v>
      </c>
    </row>
    <row r="539" spans="2:66" ht="12.95" customHeight="1">
      <c r="B539" s="1620"/>
      <c r="C539" s="1453"/>
      <c r="D539" s="1453"/>
      <c r="E539" s="1453"/>
      <c r="F539" s="1453"/>
      <c r="G539" s="1453"/>
      <c r="H539" s="1454"/>
      <c r="I539" s="40" t="s">
        <v>1369</v>
      </c>
      <c r="J539" s="40"/>
      <c r="K539" s="40"/>
      <c r="L539" s="40"/>
      <c r="M539" s="40"/>
      <c r="N539" s="40"/>
      <c r="O539" s="40"/>
      <c r="P539" s="40"/>
      <c r="Q539" s="40"/>
      <c r="R539" s="40"/>
      <c r="S539" s="40"/>
      <c r="T539" s="40"/>
      <c r="U539" s="40"/>
      <c r="V539" s="40"/>
      <c r="W539" s="40"/>
      <c r="X539" s="40"/>
      <c r="Y539" s="40"/>
      <c r="Z539" s="40"/>
      <c r="AA539" s="40"/>
      <c r="AB539" s="40"/>
      <c r="AC539" s="1428" t="s">
        <v>822</v>
      </c>
      <c r="AD539" s="1314"/>
      <c r="AE539" s="1314"/>
      <c r="AF539" s="1314"/>
      <c r="AG539" s="30" t="s">
        <v>1337</v>
      </c>
      <c r="AH539" s="1348"/>
      <c r="AI539" s="1348"/>
      <c r="AJ539" s="1348"/>
      <c r="AK539" s="1349"/>
      <c r="AZ539" s="3"/>
      <c r="BA539" s="3"/>
      <c r="BB539" s="3"/>
      <c r="BC539" s="3"/>
      <c r="BD539" s="3"/>
      <c r="BE539" s="3"/>
      <c r="BF539" s="3"/>
      <c r="BG539" s="3"/>
      <c r="BH539" s="3"/>
      <c r="BI539" s="3"/>
      <c r="BJ539" s="3"/>
      <c r="BK539" s="3"/>
      <c r="BL539" s="3"/>
      <c r="BM539" s="3"/>
      <c r="BN539" s="3" t="s">
        <v>1381</v>
      </c>
    </row>
    <row r="540" spans="2:66" ht="12.95" customHeight="1">
      <c r="B540" s="1620"/>
      <c r="C540" s="1453"/>
      <c r="D540" s="1453"/>
      <c r="E540" s="1453"/>
      <c r="F540" s="1453"/>
      <c r="G540" s="1453"/>
      <c r="H540" s="1454"/>
      <c r="I540" s="34" t="s">
        <v>1371</v>
      </c>
      <c r="J540" s="34"/>
      <c r="K540" s="34"/>
      <c r="L540" s="34"/>
      <c r="M540" s="34"/>
      <c r="N540" s="34"/>
      <c r="O540" s="1719" t="s">
        <v>1266</v>
      </c>
      <c r="P540" s="1687"/>
      <c r="Q540" s="1687"/>
      <c r="R540" s="1687"/>
      <c r="S540" s="1687"/>
      <c r="T540" s="1687"/>
      <c r="U540" s="1687"/>
      <c r="V540" s="1687"/>
      <c r="W540" s="1687"/>
      <c r="X540" s="1687"/>
      <c r="Y540" s="1687"/>
      <c r="Z540" s="1687"/>
      <c r="AA540" s="1687"/>
      <c r="AC540" s="1428" t="s">
        <v>822</v>
      </c>
      <c r="AD540" s="1314"/>
      <c r="AE540" s="1314"/>
      <c r="AF540" s="1314"/>
      <c r="AG540" s="12" t="s">
        <v>1337</v>
      </c>
      <c r="AH540" s="1348"/>
      <c r="AI540" s="1348"/>
      <c r="AJ540" s="1348"/>
      <c r="AK540" s="1349"/>
      <c r="AZ540" s="3"/>
      <c r="BA540" s="3"/>
      <c r="BB540" s="3"/>
      <c r="BC540" s="3"/>
      <c r="BD540" s="3"/>
      <c r="BE540" s="3"/>
      <c r="BF540" s="3"/>
      <c r="BG540" s="3"/>
      <c r="BH540" s="3"/>
      <c r="BI540" s="3"/>
      <c r="BJ540" s="3"/>
      <c r="BK540" s="3"/>
      <c r="BL540" s="3"/>
      <c r="BM540" s="3"/>
      <c r="BN540" s="3" t="s">
        <v>1382</v>
      </c>
    </row>
    <row r="541" spans="2:66" ht="12.95" customHeight="1">
      <c r="B541" s="1620"/>
      <c r="C541" s="1453"/>
      <c r="D541" s="1453"/>
      <c r="E541" s="1453"/>
      <c r="F541" s="1453"/>
      <c r="G541" s="1453"/>
      <c r="H541" s="1454"/>
      <c r="I541" t="s">
        <v>44</v>
      </c>
      <c r="AC541" s="1428" t="s">
        <v>822</v>
      </c>
      <c r="AD541" s="1314"/>
      <c r="AE541" s="1314"/>
      <c r="AF541" s="1314"/>
      <c r="AG541" s="30" t="s">
        <v>1337</v>
      </c>
      <c r="AH541" s="1348"/>
      <c r="AI541" s="1348"/>
      <c r="AJ541" s="1348"/>
      <c r="AK541" s="1349"/>
      <c r="AZ541" s="3"/>
      <c r="BA541" s="3"/>
      <c r="BB541" s="3"/>
      <c r="BC541" s="3"/>
      <c r="BD541" s="3"/>
      <c r="BE541" s="3"/>
      <c r="BF541" s="3"/>
      <c r="BG541" s="3"/>
      <c r="BH541" s="3"/>
      <c r="BI541" s="3"/>
      <c r="BJ541" s="3"/>
      <c r="BK541" s="3"/>
      <c r="BL541" s="3"/>
      <c r="BM541" s="3"/>
      <c r="BN541" s="3" t="s">
        <v>1383</v>
      </c>
    </row>
    <row r="542" spans="2:66" ht="12.95" customHeight="1">
      <c r="B542" s="1620"/>
      <c r="C542" s="1453"/>
      <c r="D542" s="1453"/>
      <c r="E542" s="1453"/>
      <c r="F542" s="1453"/>
      <c r="G542" s="1453"/>
      <c r="H542" s="1454"/>
      <c r="I542" s="40" t="s">
        <v>1369</v>
      </c>
      <c r="J542" s="40"/>
      <c r="K542" s="40"/>
      <c r="L542" s="40"/>
      <c r="M542" s="40"/>
      <c r="N542" s="40"/>
      <c r="O542" s="40"/>
      <c r="P542" s="40"/>
      <c r="Q542" s="40"/>
      <c r="R542" s="40"/>
      <c r="S542" s="40"/>
      <c r="T542" s="40"/>
      <c r="U542" s="40"/>
      <c r="V542" s="40"/>
      <c r="W542" s="40"/>
      <c r="X542" s="40"/>
      <c r="Y542" s="40"/>
      <c r="Z542" s="40"/>
      <c r="AA542" s="40"/>
      <c r="AB542" s="40"/>
      <c r="AC542" s="1428" t="s">
        <v>822</v>
      </c>
      <c r="AD542" s="1314"/>
      <c r="AE542" s="1314"/>
      <c r="AF542" s="1314"/>
      <c r="AG542" s="12" t="s">
        <v>1337</v>
      </c>
      <c r="AH542" s="1348"/>
      <c r="AI542" s="1348"/>
      <c r="AJ542" s="1348"/>
      <c r="AK542" s="1349"/>
      <c r="AZ542" s="3"/>
      <c r="BA542" s="3"/>
      <c r="BB542" s="3"/>
      <c r="BC542" s="3"/>
      <c r="BD542" s="3"/>
      <c r="BE542" s="3"/>
      <c r="BF542" s="3"/>
      <c r="BG542" s="3"/>
      <c r="BH542" s="3"/>
      <c r="BI542" s="3"/>
      <c r="BJ542" s="3"/>
      <c r="BK542" s="3"/>
      <c r="BL542" s="3"/>
      <c r="BM542" s="3"/>
      <c r="BN542" s="3" t="s">
        <v>1384</v>
      </c>
    </row>
    <row r="543" spans="2:66" ht="12.95" customHeight="1">
      <c r="B543" s="1620"/>
      <c r="C543" s="1453"/>
      <c r="D543" s="1453"/>
      <c r="E543" s="1453"/>
      <c r="F543" s="1453"/>
      <c r="G543" s="1453"/>
      <c r="H543" s="1454"/>
      <c r="I543" s="34" t="s">
        <v>1371</v>
      </c>
      <c r="J543" s="34"/>
      <c r="K543" s="34"/>
      <c r="L543" s="34"/>
      <c r="M543" s="34"/>
      <c r="N543" s="34"/>
      <c r="O543" s="1719" t="s">
        <v>1266</v>
      </c>
      <c r="P543" s="1687"/>
      <c r="Q543" s="1687"/>
      <c r="R543" s="1687"/>
      <c r="S543" s="1687"/>
      <c r="T543" s="1687"/>
      <c r="U543" s="1687"/>
      <c r="V543" s="1687"/>
      <c r="W543" s="1687"/>
      <c r="X543" s="1687"/>
      <c r="Y543" s="1687"/>
      <c r="Z543" s="1687"/>
      <c r="AA543" s="1687"/>
      <c r="AC543" s="1428" t="s">
        <v>822</v>
      </c>
      <c r="AD543" s="1314"/>
      <c r="AE543" s="1314"/>
      <c r="AF543" s="1314"/>
      <c r="AG543" s="30" t="s">
        <v>1337</v>
      </c>
      <c r="AH543" s="1348"/>
      <c r="AI543" s="1348"/>
      <c r="AJ543" s="1348"/>
      <c r="AK543" s="1349"/>
      <c r="AZ543" s="3"/>
      <c r="BA543" s="3"/>
      <c r="BB543" s="3"/>
      <c r="BC543" s="3"/>
      <c r="BD543" s="3"/>
      <c r="BE543" s="3"/>
      <c r="BF543" s="3"/>
      <c r="BG543" s="3"/>
      <c r="BH543" s="3"/>
      <c r="BI543" s="3"/>
      <c r="BJ543" s="3"/>
      <c r="BK543" s="3"/>
      <c r="BL543" s="3"/>
      <c r="BM543" s="3"/>
      <c r="BN543" s="3" t="s">
        <v>1385</v>
      </c>
    </row>
    <row r="544" spans="2:66" ht="12.95" customHeight="1">
      <c r="B544" s="1620"/>
      <c r="C544" s="1453"/>
      <c r="D544" s="1453"/>
      <c r="E544" s="1453"/>
      <c r="F544" s="1453"/>
      <c r="G544" s="1453"/>
      <c r="H544" s="1454"/>
      <c r="I544" t="s">
        <v>44</v>
      </c>
      <c r="AC544" s="1428" t="s">
        <v>822</v>
      </c>
      <c r="AD544" s="1314"/>
      <c r="AE544" s="1314"/>
      <c r="AF544" s="1314"/>
      <c r="AG544" s="12" t="s">
        <v>1337</v>
      </c>
      <c r="AH544" s="1348"/>
      <c r="AI544" s="1348"/>
      <c r="AJ544" s="1348"/>
      <c r="AK544" s="1349"/>
      <c r="AZ544" s="3"/>
      <c r="BA544" s="3"/>
      <c r="BB544" s="3"/>
      <c r="BC544" s="3"/>
      <c r="BD544" s="3"/>
      <c r="BE544" s="3"/>
      <c r="BF544" s="3"/>
      <c r="BG544" s="3"/>
      <c r="BH544" s="3"/>
      <c r="BI544" s="3"/>
      <c r="BJ544" s="3"/>
      <c r="BK544" s="3"/>
      <c r="BL544" s="3"/>
      <c r="BM544" s="3"/>
      <c r="BN544" s="3" t="s">
        <v>1386</v>
      </c>
    </row>
    <row r="545" spans="1:66" ht="12.95" customHeight="1">
      <c r="B545" s="1620"/>
      <c r="C545" s="1453"/>
      <c r="D545" s="1453"/>
      <c r="E545" s="1453"/>
      <c r="F545" s="1453"/>
      <c r="G545" s="1453"/>
      <c r="H545" s="1454"/>
      <c r="I545" s="40" t="s">
        <v>1369</v>
      </c>
      <c r="J545" s="40"/>
      <c r="K545" s="40"/>
      <c r="L545" s="40"/>
      <c r="M545" s="40"/>
      <c r="N545" s="40"/>
      <c r="O545" s="40"/>
      <c r="P545" s="40"/>
      <c r="Q545" s="40"/>
      <c r="R545" s="40"/>
      <c r="S545" s="40"/>
      <c r="T545" s="40"/>
      <c r="U545" s="40"/>
      <c r="V545" s="40"/>
      <c r="W545" s="40"/>
      <c r="X545" s="40"/>
      <c r="Y545" s="40"/>
      <c r="Z545" s="40"/>
      <c r="AA545" s="40"/>
      <c r="AB545" s="40"/>
      <c r="AC545" s="1428" t="s">
        <v>822</v>
      </c>
      <c r="AD545" s="1314"/>
      <c r="AE545" s="1314"/>
      <c r="AF545" s="1314"/>
      <c r="AG545" s="30" t="s">
        <v>1337</v>
      </c>
      <c r="AH545" s="1348"/>
      <c r="AI545" s="1348"/>
      <c r="AJ545" s="1348"/>
      <c r="AK545" s="1349"/>
      <c r="AZ545" s="3"/>
      <c r="BA545" s="3"/>
      <c r="BB545" s="3"/>
      <c r="BC545" s="3"/>
      <c r="BD545" s="3"/>
      <c r="BE545" s="3"/>
      <c r="BF545" s="3"/>
      <c r="BG545" s="3"/>
      <c r="BH545" s="3"/>
      <c r="BI545" s="3"/>
      <c r="BJ545" s="3"/>
      <c r="BK545" s="3"/>
      <c r="BL545" s="3"/>
      <c r="BM545" s="3"/>
      <c r="BN545" s="3" t="s">
        <v>1387</v>
      </c>
    </row>
    <row r="546" spans="1:66" ht="12.95" customHeight="1">
      <c r="B546" s="1620"/>
      <c r="C546" s="1453"/>
      <c r="D546" s="1453"/>
      <c r="E546" s="1453"/>
      <c r="F546" s="1453"/>
      <c r="G546" s="1453"/>
      <c r="H546" s="1454"/>
      <c r="I546" s="34" t="s">
        <v>1388</v>
      </c>
      <c r="J546" s="34"/>
      <c r="K546" s="34"/>
      <c r="L546" s="34"/>
      <c r="M546" s="34"/>
      <c r="N546" s="34"/>
      <c r="O546" s="34"/>
      <c r="P546" s="34"/>
      <c r="Q546" s="34"/>
      <c r="R546" s="34"/>
      <c r="S546" s="34"/>
      <c r="T546" s="34"/>
      <c r="U546" s="34"/>
      <c r="V546" s="34"/>
      <c r="W546" s="34"/>
      <c r="AC546" s="1428">
        <v>1</v>
      </c>
      <c r="AD546" s="1314"/>
      <c r="AE546" s="1314"/>
      <c r="AF546" s="1314"/>
      <c r="AG546" s="30" t="s">
        <v>1337</v>
      </c>
      <c r="AH546" s="1348">
        <v>2027</v>
      </c>
      <c r="AI546" s="1348"/>
      <c r="AJ546" s="1348"/>
      <c r="AK546" s="1349"/>
      <c r="AZ546" s="3"/>
      <c r="BA546" s="3"/>
      <c r="BB546" s="3"/>
      <c r="BC546" s="3"/>
      <c r="BD546" s="3"/>
      <c r="BE546" s="3"/>
      <c r="BF546" s="3"/>
      <c r="BG546" s="3"/>
      <c r="BH546" s="3"/>
      <c r="BI546" s="3"/>
      <c r="BJ546" s="3"/>
      <c r="BK546" s="3"/>
      <c r="BL546" s="3"/>
      <c r="BM546" s="3"/>
      <c r="BN546" s="3"/>
    </row>
    <row r="547" spans="1:66" ht="12.95" customHeight="1">
      <c r="B547" s="1620"/>
      <c r="C547" s="1453"/>
      <c r="D547" s="1453"/>
      <c r="E547" s="1453"/>
      <c r="F547" s="1453"/>
      <c r="G547" s="1453"/>
      <c r="H547" s="1454"/>
      <c r="I547" t="s">
        <v>1389</v>
      </c>
      <c r="AC547" s="1428">
        <v>11</v>
      </c>
      <c r="AD547" s="1314"/>
      <c r="AE547" s="1314"/>
      <c r="AF547" s="1314"/>
      <c r="AG547" s="12" t="s">
        <v>1337</v>
      </c>
      <c r="AH547" s="1348">
        <v>2026</v>
      </c>
      <c r="AI547" s="1348"/>
      <c r="AJ547" s="1348"/>
      <c r="AK547" s="1349"/>
      <c r="AZ547" s="3"/>
      <c r="BA547" s="3"/>
      <c r="BB547" s="3"/>
      <c r="BC547" s="3"/>
      <c r="BD547" s="3"/>
      <c r="BE547" s="3"/>
      <c r="BF547" s="3"/>
      <c r="BG547" s="3"/>
      <c r="BH547" s="3"/>
      <c r="BI547" s="3"/>
      <c r="BJ547" s="3"/>
      <c r="BK547" s="3"/>
      <c r="BL547" s="3"/>
      <c r="BM547" s="3"/>
      <c r="BN547" s="3"/>
    </row>
    <row r="548" spans="1:66" ht="12.95" customHeight="1">
      <c r="B548" s="1620"/>
      <c r="C548" s="1453"/>
      <c r="D548" s="1453"/>
      <c r="E548" s="1453"/>
      <c r="F548" s="1453"/>
      <c r="G548" s="1453"/>
      <c r="H548" s="1454"/>
      <c r="I548" t="s">
        <v>1390</v>
      </c>
      <c r="AC548" s="1428">
        <v>7</v>
      </c>
      <c r="AD548" s="1314"/>
      <c r="AE548" s="1314"/>
      <c r="AF548" s="1314"/>
      <c r="AG548" s="30" t="s">
        <v>1337</v>
      </c>
      <c r="AH548" s="1348">
        <v>2028</v>
      </c>
      <c r="AI548" s="1348"/>
      <c r="AJ548" s="1348"/>
      <c r="AK548" s="1349"/>
      <c r="AZ548" s="3"/>
      <c r="BA548" s="3"/>
      <c r="BB548" s="3"/>
      <c r="BC548" s="3"/>
      <c r="BD548" s="3"/>
      <c r="BE548" s="3"/>
      <c r="BF548" s="3"/>
      <c r="BG548" s="3"/>
      <c r="BH548" s="3"/>
      <c r="BI548" s="3"/>
      <c r="BJ548" s="3"/>
      <c r="BK548" s="3"/>
      <c r="BL548" s="3"/>
      <c r="BM548" s="3"/>
      <c r="BN548" s="3"/>
    </row>
    <row r="549" spans="1:66" ht="12.95" customHeight="1">
      <c r="B549" s="1620"/>
      <c r="C549" s="1453"/>
      <c r="D549" s="1453"/>
      <c r="E549" s="1453"/>
      <c r="F549" s="1453"/>
      <c r="G549" s="1453"/>
      <c r="H549" s="1454"/>
      <c r="I549" t="s">
        <v>1391</v>
      </c>
      <c r="AC549" s="1428">
        <v>7</v>
      </c>
      <c r="AD549" s="1314"/>
      <c r="AE549" s="1314"/>
      <c r="AF549" s="1314"/>
      <c r="AG549" s="30" t="s">
        <v>1337</v>
      </c>
      <c r="AH549" s="1348">
        <v>2028</v>
      </c>
      <c r="AI549" s="1348"/>
      <c r="AJ549" s="1348"/>
      <c r="AK549" s="1349"/>
      <c r="AZ549" s="3"/>
      <c r="BA549" s="3"/>
      <c r="BB549" s="3"/>
      <c r="BC549" s="3"/>
      <c r="BD549" s="3"/>
      <c r="BE549" s="3"/>
      <c r="BF549" s="3"/>
      <c r="BG549" s="3"/>
      <c r="BH549" s="3"/>
      <c r="BI549" s="3"/>
      <c r="BJ549" s="3"/>
      <c r="BK549" s="3"/>
      <c r="BL549" s="3"/>
      <c r="BM549" s="3"/>
      <c r="BN549" s="3"/>
    </row>
    <row r="550" spans="1:66" ht="12.95" customHeight="1">
      <c r="B550" s="1621"/>
      <c r="C550" s="1455"/>
      <c r="D550" s="1455"/>
      <c r="E550" s="1455"/>
      <c r="F550" s="1455"/>
      <c r="G550" s="1455"/>
      <c r="H550" s="1456"/>
      <c r="I550" s="40" t="s">
        <v>1392</v>
      </c>
      <c r="J550" s="40"/>
      <c r="K550" s="40"/>
      <c r="L550" s="40"/>
      <c r="M550" s="40"/>
      <c r="N550" s="40"/>
      <c r="O550" s="40"/>
      <c r="P550" s="40"/>
      <c r="Q550" s="40"/>
      <c r="R550" s="40"/>
      <c r="S550" s="40"/>
      <c r="T550" s="40"/>
      <c r="U550" s="40"/>
      <c r="V550" s="40"/>
      <c r="W550" s="40"/>
      <c r="X550" s="40"/>
      <c r="Y550" s="40"/>
      <c r="Z550" s="40"/>
      <c r="AA550" s="40"/>
      <c r="AB550" s="40"/>
      <c r="AC550" s="1428">
        <v>11</v>
      </c>
      <c r="AD550" s="1314"/>
      <c r="AE550" s="1314"/>
      <c r="AF550" s="1314"/>
      <c r="AG550" s="30" t="s">
        <v>1337</v>
      </c>
      <c r="AH550" s="1348">
        <v>2028</v>
      </c>
      <c r="AI550" s="1348"/>
      <c r="AJ550" s="1348"/>
      <c r="AK550" s="1349"/>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28" t="s">
        <v>1393</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1394</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619" t="s">
        <v>1395</v>
      </c>
      <c r="C559" s="1451"/>
      <c r="D559" s="1451"/>
      <c r="E559" s="1451"/>
      <c r="F559" s="1451"/>
      <c r="G559" s="1451"/>
      <c r="H559" s="1451"/>
      <c r="I559" s="1451"/>
      <c r="J559" s="1451"/>
      <c r="K559" s="1451"/>
      <c r="L559" s="1452"/>
      <c r="M559" s="1619" t="s">
        <v>1396</v>
      </c>
      <c r="N559" s="1451"/>
      <c r="O559" s="1451"/>
      <c r="P559" s="1452"/>
      <c r="Q559" s="1619" t="s">
        <v>1397</v>
      </c>
      <c r="R559" s="1451"/>
      <c r="S559" s="1452"/>
      <c r="T559" s="1619" t="s">
        <v>1398</v>
      </c>
      <c r="U559" s="1451"/>
      <c r="V559" s="1452"/>
      <c r="W559" s="1619" t="s">
        <v>1399</v>
      </c>
      <c r="X559" s="1451"/>
      <c r="Y559" s="1452"/>
      <c r="Z559" s="1619" t="s">
        <v>1400</v>
      </c>
      <c r="AA559" s="1451"/>
      <c r="AB559" s="1451"/>
      <c r="AC559" s="1451"/>
      <c r="AD559" s="1452"/>
      <c r="AE559" s="1619" t="s">
        <v>1401</v>
      </c>
      <c r="AF559" s="1451"/>
      <c r="AG559" s="1451"/>
      <c r="AH559" s="1452"/>
      <c r="AI559" s="1619" t="s">
        <v>1402</v>
      </c>
      <c r="AJ559" s="1451"/>
      <c r="AK559" s="1451"/>
      <c r="AL559" s="1452"/>
      <c r="AM559" s="1619" t="s">
        <v>1403</v>
      </c>
      <c r="AN559" s="1451"/>
      <c r="AO559" s="1451"/>
      <c r="AP559" s="1451"/>
      <c r="AQ559" s="1451"/>
      <c r="AR559" s="1451"/>
      <c r="AS559" s="1452"/>
      <c r="BB559" s="3"/>
      <c r="BC559" s="3"/>
      <c r="BD559" s="3"/>
      <c r="BE559" s="3"/>
      <c r="BF559" s="3"/>
      <c r="BG559" s="3"/>
      <c r="BH559" s="3" t="s">
        <v>82</v>
      </c>
      <c r="BI559" s="3" t="str">
        <f>AG665</f>
        <v>Yes</v>
      </c>
    </row>
    <row r="560" spans="1:66" ht="12.95" customHeight="1">
      <c r="B560" s="1620"/>
      <c r="C560" s="1453"/>
      <c r="D560" s="1453"/>
      <c r="E560" s="1453"/>
      <c r="F560" s="1453"/>
      <c r="G560" s="1453"/>
      <c r="H560" s="1453"/>
      <c r="I560" s="1453"/>
      <c r="J560" s="1453"/>
      <c r="K560" s="1453"/>
      <c r="L560" s="1454"/>
      <c r="M560" s="1620"/>
      <c r="N560" s="1453"/>
      <c r="O560" s="1453"/>
      <c r="P560" s="1454"/>
      <c r="Q560" s="1620"/>
      <c r="R560" s="1453"/>
      <c r="S560" s="1454"/>
      <c r="T560" s="1620"/>
      <c r="U560" s="1453"/>
      <c r="V560" s="1454"/>
      <c r="W560" s="1620"/>
      <c r="X560" s="1453"/>
      <c r="Y560" s="1454"/>
      <c r="Z560" s="1620"/>
      <c r="AA560" s="1453"/>
      <c r="AB560" s="1453"/>
      <c r="AC560" s="1453"/>
      <c r="AD560" s="1454"/>
      <c r="AE560" s="1620"/>
      <c r="AF560" s="1453"/>
      <c r="AG560" s="1453"/>
      <c r="AH560" s="1454"/>
      <c r="AI560" s="1620"/>
      <c r="AJ560" s="1453"/>
      <c r="AK560" s="1453"/>
      <c r="AL560" s="1454"/>
      <c r="AM560" s="1620"/>
      <c r="AN560" s="1453"/>
      <c r="AO560" s="1453"/>
      <c r="AP560" s="1453"/>
      <c r="AQ560" s="1453"/>
      <c r="AR560" s="1453"/>
      <c r="AS560" s="1454"/>
      <c r="AU560" s="1030"/>
      <c r="BB560" s="3"/>
      <c r="BC560" s="3"/>
      <c r="BD560" s="3"/>
      <c r="BE560" s="3"/>
      <c r="BF560" s="3"/>
      <c r="BG560" s="3"/>
      <c r="BH560" s="3"/>
      <c r="BI560" s="3"/>
    </row>
    <row r="561" spans="1:61" ht="12.95" customHeight="1">
      <c r="B561" s="1621"/>
      <c r="C561" s="1455"/>
      <c r="D561" s="1455"/>
      <c r="E561" s="1455"/>
      <c r="F561" s="1455"/>
      <c r="G561" s="1455"/>
      <c r="H561" s="1455"/>
      <c r="I561" s="1455"/>
      <c r="J561" s="1455"/>
      <c r="K561" s="1455"/>
      <c r="L561" s="1456"/>
      <c r="M561" s="1621"/>
      <c r="N561" s="1455"/>
      <c r="O561" s="1455"/>
      <c r="P561" s="1456"/>
      <c r="Q561" s="1621"/>
      <c r="R561" s="1455"/>
      <c r="S561" s="1456"/>
      <c r="T561" s="1621"/>
      <c r="U561" s="1455"/>
      <c r="V561" s="1456"/>
      <c r="W561" s="1621"/>
      <c r="X561" s="1455"/>
      <c r="Y561" s="1456"/>
      <c r="Z561" s="1621"/>
      <c r="AA561" s="1455"/>
      <c r="AB561" s="1455"/>
      <c r="AC561" s="1455"/>
      <c r="AD561" s="1456"/>
      <c r="AE561" s="1621"/>
      <c r="AF561" s="1455"/>
      <c r="AG561" s="1455"/>
      <c r="AH561" s="1456"/>
      <c r="AI561" s="1621"/>
      <c r="AJ561" s="1455"/>
      <c r="AK561" s="1455"/>
      <c r="AL561" s="1456"/>
      <c r="AM561" s="1621"/>
      <c r="AN561" s="1455"/>
      <c r="AO561" s="1455"/>
      <c r="AP561" s="1455"/>
      <c r="AQ561" s="1455"/>
      <c r="AR561" s="1455"/>
      <c r="AS561" s="1456"/>
      <c r="AU561" s="1030"/>
      <c r="BB561" s="3"/>
      <c r="BC561" s="3"/>
      <c r="BD561" s="3"/>
      <c r="BE561" s="3"/>
      <c r="BF561" s="3"/>
      <c r="BG561" s="3"/>
      <c r="BH561" s="3"/>
      <c r="BI561" s="3"/>
    </row>
    <row r="562" spans="1:61" ht="12.95" customHeight="1">
      <c r="B562" s="43" t="s">
        <v>18</v>
      </c>
      <c r="C562" s="1634" t="s">
        <v>1404</v>
      </c>
      <c r="D562" s="1634"/>
      <c r="E562" s="1634"/>
      <c r="F562" s="1634"/>
      <c r="G562" s="1634"/>
      <c r="H562" s="1634"/>
      <c r="I562" s="1634"/>
      <c r="J562" s="1634"/>
      <c r="K562" s="1634"/>
      <c r="L562" s="1634"/>
      <c r="M562" s="1634" t="s">
        <v>1378</v>
      </c>
      <c r="N562" s="1634"/>
      <c r="O562" s="1634"/>
      <c r="P562" s="1634"/>
      <c r="Q562" s="1617">
        <v>27</v>
      </c>
      <c r="R562" s="1617"/>
      <c r="S562" s="1618"/>
      <c r="T562" s="1616"/>
      <c r="U562" s="1617"/>
      <c r="V562" s="1618"/>
      <c r="W562" s="1457">
        <v>5.9499999999999997E-2</v>
      </c>
      <c r="X562" s="1458"/>
      <c r="Y562" s="1459"/>
      <c r="Z562" s="1624" t="s">
        <v>1405</v>
      </c>
      <c r="AA562" s="1624"/>
      <c r="AB562" s="1624"/>
      <c r="AC562" s="1624"/>
      <c r="AD562" s="1624"/>
      <c r="AE562" s="1418">
        <v>1</v>
      </c>
      <c r="AF562" s="1419"/>
      <c r="AG562" s="1419"/>
      <c r="AH562" s="1420"/>
      <c r="AI562" s="1425"/>
      <c r="AJ562" s="1426"/>
      <c r="AK562" s="1426"/>
      <c r="AL562" s="1427"/>
      <c r="AM562" s="1415">
        <v>17490897</v>
      </c>
      <c r="AN562" s="1416"/>
      <c r="AO562" s="1416"/>
      <c r="AP562" s="1416"/>
      <c r="AQ562" s="1416"/>
      <c r="AR562" s="1416"/>
      <c r="AS562" s="1417"/>
      <c r="AT562" s="1031"/>
      <c r="AU562" s="1030"/>
      <c r="BB562" s="3"/>
      <c r="BC562" s="3"/>
      <c r="BD562" s="3"/>
      <c r="BE562" s="3"/>
      <c r="BF562" s="3"/>
      <c r="BG562" s="3"/>
      <c r="BH562" s="3"/>
      <c r="BI562" s="3"/>
    </row>
    <row r="563" spans="1:61" ht="12.95" customHeight="1">
      <c r="B563" s="44" t="s">
        <v>31</v>
      </c>
      <c r="C563" s="1607" t="s">
        <v>1406</v>
      </c>
      <c r="D563" s="1607"/>
      <c r="E563" s="1607"/>
      <c r="F563" s="1607"/>
      <c r="G563" s="1607"/>
      <c r="H563" s="1607"/>
      <c r="I563" s="1607"/>
      <c r="J563" s="1607"/>
      <c r="K563" s="1607"/>
      <c r="L563" s="1607"/>
      <c r="M563" s="1634" t="s">
        <v>1377</v>
      </c>
      <c r="N563" s="1634"/>
      <c r="O563" s="1634"/>
      <c r="P563" s="1634"/>
      <c r="Q563" s="1616">
        <v>27</v>
      </c>
      <c r="R563" s="1617"/>
      <c r="S563" s="1618"/>
      <c r="T563" s="1616"/>
      <c r="U563" s="1617"/>
      <c r="V563" s="1618"/>
      <c r="W563" s="1457">
        <v>6.1499999999999999E-2</v>
      </c>
      <c r="X563" s="1458"/>
      <c r="Y563" s="1459"/>
      <c r="Z563" s="1624" t="s">
        <v>1405</v>
      </c>
      <c r="AA563" s="1624"/>
      <c r="AB563" s="1624"/>
      <c r="AC563" s="1624"/>
      <c r="AD563" s="1624"/>
      <c r="AE563" s="1418">
        <v>1</v>
      </c>
      <c r="AF563" s="1419"/>
      <c r="AG563" s="1419"/>
      <c r="AH563" s="1420"/>
      <c r="AI563" s="1425"/>
      <c r="AJ563" s="1426"/>
      <c r="AK563" s="1426"/>
      <c r="AL563" s="1427"/>
      <c r="AM563" s="1415">
        <v>37347782</v>
      </c>
      <c r="AN563" s="1416"/>
      <c r="AO563" s="1416"/>
      <c r="AP563" s="1416"/>
      <c r="AQ563" s="1416"/>
      <c r="AR563" s="1416"/>
      <c r="AS563" s="1417"/>
      <c r="AT563" s="1031" t="str">
        <f>IF(AND(NOT(C562=""),C563="",NOT(C564="")),"!","")</f>
        <v/>
      </c>
      <c r="AU563" s="1030"/>
      <c r="BB563" s="3"/>
      <c r="BC563" s="3"/>
      <c r="BD563" s="3"/>
      <c r="BE563" s="3"/>
      <c r="BF563" s="3"/>
      <c r="BG563" s="3"/>
      <c r="BH563" s="3"/>
      <c r="BI563" s="3"/>
    </row>
    <row r="564" spans="1:61" ht="12.95" customHeight="1">
      <c r="B564" s="44" t="s">
        <v>39</v>
      </c>
      <c r="C564" s="1607" t="s">
        <v>1372</v>
      </c>
      <c r="D564" s="1607"/>
      <c r="E564" s="1607"/>
      <c r="F564" s="1607"/>
      <c r="G564" s="1607"/>
      <c r="H564" s="1607"/>
      <c r="I564" s="1607"/>
      <c r="J564" s="1607"/>
      <c r="K564" s="1607"/>
      <c r="L564" s="1607"/>
      <c r="M564" s="1634" t="s">
        <v>1374</v>
      </c>
      <c r="N564" s="1634"/>
      <c r="O564" s="1634"/>
      <c r="P564" s="1634"/>
      <c r="Q564" s="1616">
        <v>27</v>
      </c>
      <c r="R564" s="1617"/>
      <c r="S564" s="1618"/>
      <c r="T564" s="1616"/>
      <c r="U564" s="1617"/>
      <c r="V564" s="1618"/>
      <c r="W564" s="1457">
        <v>0.03</v>
      </c>
      <c r="X564" s="1458"/>
      <c r="Y564" s="1459"/>
      <c r="Z564" s="1624" t="s">
        <v>1407</v>
      </c>
      <c r="AA564" s="1624"/>
      <c r="AB564" s="1624"/>
      <c r="AC564" s="1624"/>
      <c r="AD564" s="1624"/>
      <c r="AE564" s="1418">
        <v>2</v>
      </c>
      <c r="AF564" s="1419"/>
      <c r="AG564" s="1419"/>
      <c r="AH564" s="1420"/>
      <c r="AI564" s="1425"/>
      <c r="AJ564" s="1426"/>
      <c r="AK564" s="1426"/>
      <c r="AL564" s="1427"/>
      <c r="AM564" s="1415">
        <v>1800000</v>
      </c>
      <c r="AN564" s="1416"/>
      <c r="AO564" s="1416"/>
      <c r="AP564" s="1416"/>
      <c r="AQ564" s="1416"/>
      <c r="AR564" s="1416"/>
      <c r="AS564" s="1417"/>
      <c r="AT564" s="1031" t="str">
        <f>IF(AND(NOT(C563=""),C564="",NOT(C565="")),"!","")</f>
        <v/>
      </c>
      <c r="AU564" s="1030"/>
      <c r="BB564" s="3"/>
      <c r="BC564" s="3"/>
      <c r="BD564" s="3"/>
      <c r="BE564" s="3"/>
      <c r="BF564" s="3"/>
      <c r="BG564" s="3"/>
      <c r="BH564" s="3"/>
      <c r="BI564" s="3"/>
    </row>
    <row r="565" spans="1:61" ht="12.95" customHeight="1">
      <c r="B565" s="44" t="s">
        <v>82</v>
      </c>
      <c r="C565" s="1607" t="s">
        <v>1408</v>
      </c>
      <c r="D565" s="1607"/>
      <c r="E565" s="1607"/>
      <c r="F565" s="1607"/>
      <c r="G565" s="1607"/>
      <c r="H565" s="1607"/>
      <c r="I565" s="1607"/>
      <c r="J565" s="1607"/>
      <c r="K565" s="1607"/>
      <c r="L565" s="1607"/>
      <c r="M565" s="1634" t="s">
        <v>1355</v>
      </c>
      <c r="N565" s="1634"/>
      <c r="O565" s="1634"/>
      <c r="P565" s="1634"/>
      <c r="Q565" s="1616"/>
      <c r="R565" s="1617"/>
      <c r="S565" s="1618"/>
      <c r="T565" s="1616"/>
      <c r="U565" s="1617"/>
      <c r="V565" s="1618"/>
      <c r="W565" s="1457"/>
      <c r="X565" s="1458"/>
      <c r="Y565" s="1459"/>
      <c r="Z565" s="1624" t="s">
        <v>822</v>
      </c>
      <c r="AA565" s="1624"/>
      <c r="AB565" s="1624"/>
      <c r="AC565" s="1624"/>
      <c r="AD565" s="1624"/>
      <c r="AE565" s="1418"/>
      <c r="AF565" s="1419"/>
      <c r="AG565" s="1419"/>
      <c r="AH565" s="1420"/>
      <c r="AI565" s="1425"/>
      <c r="AJ565" s="1426"/>
      <c r="AK565" s="1426"/>
      <c r="AL565" s="1427"/>
      <c r="AM565" s="1415">
        <v>2335462</v>
      </c>
      <c r="AN565" s="1416"/>
      <c r="AO565" s="1416"/>
      <c r="AP565" s="1416"/>
      <c r="AQ565" s="1416"/>
      <c r="AR565" s="1416"/>
      <c r="AS565" s="1417"/>
      <c r="AT565" s="1031" t="str">
        <f>IF(AND(NOT(C564=""),C565="",NOT(C566="")),"!","")</f>
        <v/>
      </c>
      <c r="AU565" s="1030"/>
      <c r="BB565" s="3"/>
      <c r="BC565" s="3"/>
      <c r="BD565" s="3"/>
      <c r="BE565" s="3"/>
      <c r="BF565" s="3"/>
      <c r="BG565" s="3"/>
      <c r="BH565" s="3"/>
      <c r="BI565" s="3"/>
    </row>
    <row r="566" spans="1:61" ht="12.95" customHeight="1">
      <c r="B566" s="44" t="s">
        <v>86</v>
      </c>
      <c r="C566" s="1607" t="s">
        <v>1409</v>
      </c>
      <c r="D566" s="1607"/>
      <c r="E566" s="1607"/>
      <c r="F566" s="1607"/>
      <c r="G566" s="1607"/>
      <c r="H566" s="1607"/>
      <c r="I566" s="1607"/>
      <c r="J566" s="1607"/>
      <c r="K566" s="1607"/>
      <c r="L566" s="1607"/>
      <c r="M566" s="1634" t="s">
        <v>1357</v>
      </c>
      <c r="N566" s="1634"/>
      <c r="O566" s="1634"/>
      <c r="P566" s="1634"/>
      <c r="Q566" s="1616"/>
      <c r="R566" s="1617"/>
      <c r="S566" s="1618"/>
      <c r="T566" s="1616"/>
      <c r="U566" s="1617"/>
      <c r="V566" s="1618"/>
      <c r="W566" s="1457"/>
      <c r="X566" s="1458"/>
      <c r="Y566" s="1459"/>
      <c r="Z566" s="1624" t="s">
        <v>822</v>
      </c>
      <c r="AA566" s="1624"/>
      <c r="AB566" s="1624"/>
      <c r="AC566" s="1624"/>
      <c r="AD566" s="1624"/>
      <c r="AE566" s="1418"/>
      <c r="AF566" s="1419"/>
      <c r="AG566" s="1419"/>
      <c r="AH566" s="1420"/>
      <c r="AI566" s="1425"/>
      <c r="AJ566" s="1426"/>
      <c r="AK566" s="1426"/>
      <c r="AL566" s="1427"/>
      <c r="AM566" s="1415">
        <v>4601752</v>
      </c>
      <c r="AN566" s="1416"/>
      <c r="AO566" s="1416"/>
      <c r="AP566" s="1416"/>
      <c r="AQ566" s="1416"/>
      <c r="AR566" s="1416"/>
      <c r="AS566" s="1417"/>
      <c r="AT566" s="1031" t="str">
        <f t="shared" ref="AT566:AT573" si="2">IF(AND(NOT(C565=""),C566="",NOT(C567="")),"!","")</f>
        <v/>
      </c>
      <c r="AU566" s="1030"/>
      <c r="BB566" s="3"/>
      <c r="BC566" s="3"/>
      <c r="BD566" s="3"/>
      <c r="BE566" s="3"/>
      <c r="BF566" s="3"/>
      <c r="BG566" s="3"/>
      <c r="BH566" s="3" t="s">
        <v>86</v>
      </c>
      <c r="BI566" s="3" t="str">
        <f>N673</f>
        <v>No</v>
      </c>
    </row>
    <row r="567" spans="1:61" ht="12.95" customHeight="1">
      <c r="B567" s="44" t="s">
        <v>1410</v>
      </c>
      <c r="C567" s="1607" t="s">
        <v>1411</v>
      </c>
      <c r="D567" s="1607"/>
      <c r="E567" s="1607"/>
      <c r="F567" s="1607"/>
      <c r="G567" s="1607"/>
      <c r="H567" s="1607"/>
      <c r="I567" s="1607"/>
      <c r="J567" s="1607"/>
      <c r="K567" s="1607"/>
      <c r="L567" s="1607"/>
      <c r="M567" s="1634" t="s">
        <v>1363</v>
      </c>
      <c r="N567" s="1634"/>
      <c r="O567" s="1634"/>
      <c r="P567" s="1634"/>
      <c r="Q567" s="1616"/>
      <c r="R567" s="1617"/>
      <c r="S567" s="1618"/>
      <c r="T567" s="1616"/>
      <c r="U567" s="1617"/>
      <c r="V567" s="1618"/>
      <c r="W567" s="1457"/>
      <c r="X567" s="1458"/>
      <c r="Y567" s="1459"/>
      <c r="Z567" s="1624" t="s">
        <v>822</v>
      </c>
      <c r="AA567" s="1624"/>
      <c r="AB567" s="1624"/>
      <c r="AC567" s="1624"/>
      <c r="AD567" s="1624"/>
      <c r="AE567" s="1418"/>
      <c r="AF567" s="1419"/>
      <c r="AG567" s="1419"/>
      <c r="AH567" s="1420"/>
      <c r="AI567" s="1425"/>
      <c r="AJ567" s="1426"/>
      <c r="AK567" s="1426"/>
      <c r="AL567" s="1427"/>
      <c r="AM567" s="1415">
        <f>3160479</f>
        <v>3160479</v>
      </c>
      <c r="AN567" s="1416"/>
      <c r="AO567" s="1416"/>
      <c r="AP567" s="1416"/>
      <c r="AQ567" s="1416"/>
      <c r="AR567" s="1416"/>
      <c r="AS567" s="1417"/>
      <c r="AT567" s="1031" t="str">
        <f t="shared" si="2"/>
        <v/>
      </c>
      <c r="AU567" s="1030"/>
      <c r="BB567" s="3"/>
      <c r="BC567" s="3"/>
      <c r="BD567" s="3"/>
      <c r="BE567" s="3"/>
      <c r="BF567" s="3"/>
      <c r="BG567" s="3"/>
      <c r="BH567" s="3" t="s">
        <v>1410</v>
      </c>
      <c r="BI567" s="3" t="str">
        <f>AG673</f>
        <v>No</v>
      </c>
    </row>
    <row r="568" spans="1:61" ht="12.95" customHeight="1">
      <c r="B568" s="44" t="s">
        <v>1412</v>
      </c>
      <c r="C568" s="1607"/>
      <c r="D568" s="1607"/>
      <c r="E568" s="1607"/>
      <c r="F568" s="1607"/>
      <c r="G568" s="1607"/>
      <c r="H568" s="1607"/>
      <c r="I568" s="1607"/>
      <c r="J568" s="1607"/>
      <c r="K568" s="1607"/>
      <c r="L568" s="1607"/>
      <c r="M568" s="1634" t="s">
        <v>1038</v>
      </c>
      <c r="N568" s="1634"/>
      <c r="O568" s="1634"/>
      <c r="P568" s="1634"/>
      <c r="Q568" s="1616"/>
      <c r="R568" s="1617"/>
      <c r="S568" s="1618"/>
      <c r="T568" s="1616"/>
      <c r="U568" s="1617"/>
      <c r="V568" s="1618"/>
      <c r="W568" s="1457"/>
      <c r="X568" s="1458"/>
      <c r="Y568" s="1459"/>
      <c r="Z568" s="1624" t="s">
        <v>1038</v>
      </c>
      <c r="AA568" s="1624"/>
      <c r="AB568" s="1624"/>
      <c r="AC568" s="1624"/>
      <c r="AD568" s="1624"/>
      <c r="AE568" s="1418"/>
      <c r="AF568" s="1419"/>
      <c r="AG568" s="1419"/>
      <c r="AH568" s="1420"/>
      <c r="AI568" s="1425"/>
      <c r="AJ568" s="1426"/>
      <c r="AK568" s="1426"/>
      <c r="AL568" s="1427"/>
      <c r="AM568" s="1415"/>
      <c r="AN568" s="1416"/>
      <c r="AO568" s="1416"/>
      <c r="AP568" s="1416"/>
      <c r="AQ568" s="1416"/>
      <c r="AR568" s="1416"/>
      <c r="AS568" s="1417"/>
      <c r="AT568" s="1031" t="str">
        <f t="shared" si="2"/>
        <v/>
      </c>
      <c r="AU568" s="1030"/>
      <c r="BB568" s="3"/>
      <c r="BC568" s="3"/>
      <c r="BD568" s="3"/>
      <c r="BE568" s="3"/>
      <c r="BF568" s="3"/>
      <c r="BG568" s="3"/>
      <c r="BH568" s="3"/>
      <c r="BI568" s="3"/>
    </row>
    <row r="569" spans="1:61" ht="12.95" customHeight="1">
      <c r="B569" s="44" t="s">
        <v>1413</v>
      </c>
      <c r="C569" s="1607"/>
      <c r="D569" s="1607"/>
      <c r="E569" s="1607"/>
      <c r="F569" s="1607"/>
      <c r="G569" s="1607"/>
      <c r="H569" s="1607"/>
      <c r="I569" s="1607"/>
      <c r="J569" s="1607"/>
      <c r="K569" s="1607"/>
      <c r="L569" s="1607"/>
      <c r="M569" s="1634" t="s">
        <v>1038</v>
      </c>
      <c r="N569" s="1634"/>
      <c r="O569" s="1634"/>
      <c r="P569" s="1634"/>
      <c r="Q569" s="1616"/>
      <c r="R569" s="1617"/>
      <c r="S569" s="1618"/>
      <c r="T569" s="1616"/>
      <c r="U569" s="1617"/>
      <c r="V569" s="1618"/>
      <c r="W569" s="1457"/>
      <c r="X569" s="1458"/>
      <c r="Y569" s="1459"/>
      <c r="Z569" s="1624" t="s">
        <v>1038</v>
      </c>
      <c r="AA569" s="1624"/>
      <c r="AB569" s="1624"/>
      <c r="AC569" s="1624"/>
      <c r="AD569" s="1624"/>
      <c r="AE569" s="1418"/>
      <c r="AF569" s="1419"/>
      <c r="AG569" s="1419"/>
      <c r="AH569" s="1420"/>
      <c r="AI569" s="1425"/>
      <c r="AJ569" s="1426"/>
      <c r="AK569" s="1426"/>
      <c r="AL569" s="1427"/>
      <c r="AM569" s="1415"/>
      <c r="AN569" s="1416"/>
      <c r="AO569" s="1416"/>
      <c r="AP569" s="1416"/>
      <c r="AQ569" s="1416"/>
      <c r="AR569" s="1416"/>
      <c r="AS569" s="1417"/>
      <c r="AT569" s="1031" t="str">
        <f t="shared" si="2"/>
        <v/>
      </c>
      <c r="AU569" s="1030"/>
      <c r="BB569" s="3"/>
      <c r="BC569" s="3"/>
      <c r="BD569" s="3"/>
      <c r="BE569" s="3"/>
      <c r="BF569" s="3"/>
      <c r="BG569" s="3"/>
      <c r="BH569" s="3"/>
      <c r="BI569" s="3"/>
    </row>
    <row r="570" spans="1:61" ht="12.95" customHeight="1">
      <c r="B570" s="44" t="s">
        <v>1414</v>
      </c>
      <c r="C570" s="1607"/>
      <c r="D570" s="1607"/>
      <c r="E570" s="1607"/>
      <c r="F570" s="1607"/>
      <c r="G570" s="1607"/>
      <c r="H570" s="1607"/>
      <c r="I570" s="1607"/>
      <c r="J570" s="1607"/>
      <c r="K570" s="1607"/>
      <c r="L570" s="1607"/>
      <c r="M570" s="1634" t="s">
        <v>1038</v>
      </c>
      <c r="N570" s="1634"/>
      <c r="O570" s="1634"/>
      <c r="P570" s="1634"/>
      <c r="Q570" s="1616"/>
      <c r="R570" s="1617"/>
      <c r="S570" s="1618"/>
      <c r="T570" s="1616"/>
      <c r="U570" s="1617"/>
      <c r="V570" s="1618"/>
      <c r="W570" s="1457"/>
      <c r="X570" s="1458"/>
      <c r="Y570" s="1459"/>
      <c r="Z570" s="1624" t="s">
        <v>1038</v>
      </c>
      <c r="AA570" s="1624"/>
      <c r="AB570" s="1624"/>
      <c r="AC570" s="1624"/>
      <c r="AD570" s="1624"/>
      <c r="AE570" s="1418"/>
      <c r="AF570" s="1419"/>
      <c r="AG570" s="1419"/>
      <c r="AH570" s="1420"/>
      <c r="AI570" s="1425"/>
      <c r="AJ570" s="1426"/>
      <c r="AK570" s="1426"/>
      <c r="AL570" s="1427"/>
      <c r="AM570" s="1415"/>
      <c r="AN570" s="1416"/>
      <c r="AO570" s="1416"/>
      <c r="AP570" s="1416"/>
      <c r="AQ570" s="1416"/>
      <c r="AR570" s="1416"/>
      <c r="AS570" s="1417"/>
      <c r="AT570" s="1031" t="str">
        <f t="shared" si="2"/>
        <v/>
      </c>
      <c r="AU570" s="1030"/>
      <c r="BB570" s="3"/>
      <c r="BC570" s="3"/>
      <c r="BD570" s="3"/>
      <c r="BE570" s="3"/>
      <c r="BF570" s="3"/>
      <c r="BG570" s="3"/>
      <c r="BH570" s="3"/>
      <c r="BI570" s="3"/>
    </row>
    <row r="571" spans="1:61" ht="12.95" customHeight="1">
      <c r="B571" s="44" t="s">
        <v>1415</v>
      </c>
      <c r="C571" s="1607"/>
      <c r="D571" s="1607"/>
      <c r="E571" s="1607"/>
      <c r="F571" s="1607"/>
      <c r="G571" s="1607"/>
      <c r="H571" s="1607"/>
      <c r="I571" s="1607"/>
      <c r="J571" s="1607"/>
      <c r="K571" s="1607"/>
      <c r="L571" s="1607"/>
      <c r="M571" s="1634" t="s">
        <v>1038</v>
      </c>
      <c r="N571" s="1634"/>
      <c r="O571" s="1634"/>
      <c r="P571" s="1634"/>
      <c r="Q571" s="1616"/>
      <c r="R571" s="1617"/>
      <c r="S571" s="1618"/>
      <c r="T571" s="1616"/>
      <c r="U571" s="1617"/>
      <c r="V571" s="1618"/>
      <c r="W571" s="1457"/>
      <c r="X571" s="1458"/>
      <c r="Y571" s="1459"/>
      <c r="Z571" s="1624" t="s">
        <v>1038</v>
      </c>
      <c r="AA571" s="1624"/>
      <c r="AB571" s="1624"/>
      <c r="AC571" s="1624"/>
      <c r="AD571" s="1624"/>
      <c r="AE571" s="1418"/>
      <c r="AF571" s="1419"/>
      <c r="AG571" s="1419"/>
      <c r="AH571" s="1420"/>
      <c r="AI571" s="1425"/>
      <c r="AJ571" s="1426"/>
      <c r="AK571" s="1426"/>
      <c r="AL571" s="1427"/>
      <c r="AM571" s="1415"/>
      <c r="AN571" s="1416"/>
      <c r="AO571" s="1416"/>
      <c r="AP571" s="1416"/>
      <c r="AQ571" s="1416"/>
      <c r="AR571" s="1416"/>
      <c r="AS571" s="1417"/>
      <c r="AT571" s="1031" t="str">
        <f t="shared" si="2"/>
        <v/>
      </c>
      <c r="BB571" s="3"/>
      <c r="BC571" s="3"/>
      <c r="BD571" s="3"/>
      <c r="BE571" s="3"/>
      <c r="BF571" s="3"/>
      <c r="BG571" s="3"/>
      <c r="BH571" s="3"/>
      <c r="BI571" s="3"/>
    </row>
    <row r="572" spans="1:61" ht="12.95" customHeight="1">
      <c r="B572" s="44" t="s">
        <v>1416</v>
      </c>
      <c r="C572" s="1607"/>
      <c r="D572" s="1607"/>
      <c r="E572" s="1607"/>
      <c r="F572" s="1607"/>
      <c r="G572" s="1607"/>
      <c r="H572" s="1607"/>
      <c r="I572" s="1607"/>
      <c r="J572" s="1607"/>
      <c r="K572" s="1607"/>
      <c r="L572" s="1607"/>
      <c r="M572" s="1634" t="s">
        <v>1038</v>
      </c>
      <c r="N572" s="1634"/>
      <c r="O572" s="1634"/>
      <c r="P572" s="1634"/>
      <c r="Q572" s="1616"/>
      <c r="R572" s="1617"/>
      <c r="S572" s="1618"/>
      <c r="T572" s="1616"/>
      <c r="U572" s="1617"/>
      <c r="V572" s="1618"/>
      <c r="W572" s="1457"/>
      <c r="X572" s="1458"/>
      <c r="Y572" s="1459"/>
      <c r="Z572" s="1624" t="s">
        <v>1038</v>
      </c>
      <c r="AA572" s="1624"/>
      <c r="AB572" s="1624"/>
      <c r="AC572" s="1624"/>
      <c r="AD572" s="1624"/>
      <c r="AE572" s="1418"/>
      <c r="AF572" s="1419"/>
      <c r="AG572" s="1419"/>
      <c r="AH572" s="1420"/>
      <c r="AI572" s="1425"/>
      <c r="AJ572" s="1426"/>
      <c r="AK572" s="1426"/>
      <c r="AL572" s="1427"/>
      <c r="AM572" s="1415"/>
      <c r="AN572" s="1416"/>
      <c r="AO572" s="1416"/>
      <c r="AP572" s="1416"/>
      <c r="AQ572" s="1416"/>
      <c r="AR572" s="1416"/>
      <c r="AS572" s="1417"/>
      <c r="AT572" s="1031" t="str">
        <f t="shared" si="2"/>
        <v/>
      </c>
      <c r="BB572" s="3"/>
      <c r="BC572" s="3"/>
      <c r="BD572" s="3"/>
      <c r="BE572" s="3"/>
      <c r="BF572" s="3"/>
      <c r="BG572" s="3"/>
      <c r="BH572" s="3"/>
      <c r="BI572" s="3"/>
    </row>
    <row r="573" spans="1:61" ht="12.95" customHeight="1">
      <c r="B573" s="44" t="s">
        <v>1417</v>
      </c>
      <c r="C573" s="1607"/>
      <c r="D573" s="1607"/>
      <c r="E573" s="1607"/>
      <c r="F573" s="1607"/>
      <c r="G573" s="1607"/>
      <c r="H573" s="1607"/>
      <c r="I573" s="1607"/>
      <c r="J573" s="1607"/>
      <c r="K573" s="1607"/>
      <c r="L573" s="1607"/>
      <c r="M573" s="1634" t="s">
        <v>1038</v>
      </c>
      <c r="N573" s="1634"/>
      <c r="O573" s="1634"/>
      <c r="P573" s="1634"/>
      <c r="Q573" s="1616"/>
      <c r="R573" s="1617"/>
      <c r="S573" s="1618"/>
      <c r="T573" s="1616"/>
      <c r="U573" s="1617"/>
      <c r="V573" s="1618"/>
      <c r="W573" s="1457"/>
      <c r="X573" s="1458"/>
      <c r="Y573" s="1459"/>
      <c r="Z573" s="1624" t="s">
        <v>1038</v>
      </c>
      <c r="AA573" s="1624"/>
      <c r="AB573" s="1624"/>
      <c r="AC573" s="1624"/>
      <c r="AD573" s="1624"/>
      <c r="AE573" s="1418"/>
      <c r="AF573" s="1419"/>
      <c r="AG573" s="1419"/>
      <c r="AH573" s="1420"/>
      <c r="AI573" s="1425"/>
      <c r="AJ573" s="1426"/>
      <c r="AK573" s="1426"/>
      <c r="AL573" s="1427"/>
      <c r="AM573" s="1415"/>
      <c r="AN573" s="1416"/>
      <c r="AO573" s="1416"/>
      <c r="AP573" s="1416"/>
      <c r="AQ573" s="1416"/>
      <c r="AR573" s="1416"/>
      <c r="AS573" s="1417"/>
      <c r="AT573" s="1031" t="str">
        <f t="shared" si="2"/>
        <v/>
      </c>
      <c r="BB573" s="3"/>
      <c r="BC573" s="3"/>
      <c r="BD573" s="3"/>
      <c r="BE573" s="3"/>
      <c r="BF573" s="3"/>
      <c r="BG573" s="3"/>
      <c r="BH573" s="3"/>
      <c r="BI573" s="3"/>
    </row>
    <row r="574" spans="1:61" ht="12.95" customHeight="1">
      <c r="B574" s="1469" t="s">
        <v>1418</v>
      </c>
      <c r="C574" s="1470"/>
      <c r="D574" s="1470"/>
      <c r="E574" s="1470"/>
      <c r="F574" s="1470"/>
      <c r="G574" s="1470"/>
      <c r="H574" s="1470"/>
      <c r="I574" s="1470"/>
      <c r="J574" s="1470"/>
      <c r="K574" s="1470"/>
      <c r="L574" s="1470"/>
      <c r="M574" s="1470"/>
      <c r="N574" s="1470"/>
      <c r="O574" s="1470"/>
      <c r="P574" s="1470"/>
      <c r="Q574" s="1470"/>
      <c r="R574" s="1470"/>
      <c r="S574" s="1470"/>
      <c r="T574" s="1470"/>
      <c r="U574" s="1614"/>
      <c r="V574" s="1470"/>
      <c r="W574" s="1470"/>
      <c r="X574" s="1470"/>
      <c r="Y574" s="1470"/>
      <c r="Z574" s="1470"/>
      <c r="AA574" s="1470"/>
      <c r="AB574" s="1470"/>
      <c r="AC574" s="1470"/>
      <c r="AD574" s="1470"/>
      <c r="AE574" s="1470"/>
      <c r="AF574" s="1470"/>
      <c r="AG574" s="1470"/>
      <c r="AH574" s="1470"/>
      <c r="AI574" s="1470"/>
      <c r="AJ574" s="1470"/>
      <c r="AK574" s="1470"/>
      <c r="AL574" s="1471"/>
      <c r="AM574" s="1460">
        <f>SUM(AM562:AS573)</f>
        <v>66736372</v>
      </c>
      <c r="AN574" s="1461"/>
      <c r="AO574" s="1461"/>
      <c r="AP574" s="1461"/>
      <c r="AQ574" s="1461"/>
      <c r="AR574" s="1461"/>
      <c r="AS574" s="1462"/>
      <c r="BB574" s="3"/>
      <c r="BC574" s="3"/>
      <c r="BD574" s="3"/>
      <c r="BE574" s="3"/>
      <c r="BF574" s="3"/>
      <c r="BG574" s="3"/>
      <c r="BH574" s="3" t="s">
        <v>1412</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1413</v>
      </c>
      <c r="BI575" s="3" t="str">
        <f>AG681</f>
        <v>No</v>
      </c>
    </row>
    <row r="576" spans="1:61" ht="12.95" customHeight="1">
      <c r="A576" s="47" t="s">
        <v>18</v>
      </c>
      <c r="B576" t="s">
        <v>1419</v>
      </c>
      <c r="G576" s="1408" t="str">
        <f>C562</f>
        <v>US Bank</v>
      </c>
      <c r="H576" s="1408"/>
      <c r="I576" s="1408"/>
      <c r="J576" s="1408"/>
      <c r="K576" s="1408"/>
      <c r="L576" s="1408"/>
      <c r="M576" s="1408"/>
      <c r="N576" s="1408"/>
      <c r="O576" s="1408"/>
      <c r="P576" s="1408"/>
      <c r="Q576" s="1408"/>
      <c r="R576" s="1408"/>
      <c r="S576" s="7"/>
      <c r="T576" s="47" t="s">
        <v>31</v>
      </c>
      <c r="U576" t="s">
        <v>1419</v>
      </c>
      <c r="Z576" s="1408" t="str">
        <f>C563</f>
        <v xml:space="preserve">US Bank </v>
      </c>
      <c r="AA576" s="1408"/>
      <c r="AB576" s="1408"/>
      <c r="AC576" s="1408"/>
      <c r="AD576" s="1408"/>
      <c r="AE576" s="1408"/>
      <c r="AF576" s="1408"/>
      <c r="AG576" s="1408"/>
      <c r="AH576" s="1408"/>
      <c r="AI576" s="1408"/>
      <c r="AJ576" s="1408"/>
      <c r="AK576" s="1408"/>
      <c r="BB576" s="3"/>
      <c r="BC576" s="3"/>
      <c r="BD576" s="3"/>
      <c r="BE576" s="3"/>
      <c r="BF576" s="3"/>
      <c r="BG576" s="3"/>
      <c r="BH576" s="3"/>
      <c r="BI576" s="3"/>
    </row>
    <row r="577" spans="1:61" ht="12.95" customHeight="1">
      <c r="A577" s="19"/>
      <c r="B577" t="s">
        <v>1076</v>
      </c>
      <c r="G577" s="1450" t="s">
        <v>1420</v>
      </c>
      <c r="H577" s="1450"/>
      <c r="I577" s="1450"/>
      <c r="J577" s="1450"/>
      <c r="K577" s="1450"/>
      <c r="L577" s="1450"/>
      <c r="M577" s="1450"/>
      <c r="N577" s="1450"/>
      <c r="O577" s="1450"/>
      <c r="P577" s="1450"/>
      <c r="Q577" s="1450"/>
      <c r="R577" s="1450"/>
      <c r="S577" s="7"/>
      <c r="T577" s="19"/>
      <c r="U577" t="s">
        <v>1076</v>
      </c>
      <c r="Z577" s="1450" t="s">
        <v>1420</v>
      </c>
      <c r="AA577" s="1450"/>
      <c r="AB577" s="1450"/>
      <c r="AC577" s="1450"/>
      <c r="AD577" s="1450"/>
      <c r="AE577" s="1450"/>
      <c r="AF577" s="1450"/>
      <c r="AG577" s="1450"/>
      <c r="AH577" s="1450"/>
      <c r="AI577" s="1450"/>
      <c r="AJ577" s="1450"/>
      <c r="AK577" s="1450"/>
      <c r="BB577" s="3"/>
      <c r="BC577" s="3"/>
      <c r="BD577" s="3"/>
      <c r="BE577" s="3"/>
      <c r="BF577" s="3"/>
      <c r="BG577" s="3"/>
      <c r="BH577" s="3"/>
      <c r="BI577" s="3"/>
    </row>
    <row r="578" spans="1:61" ht="12.95" customHeight="1">
      <c r="A578" s="19"/>
      <c r="B578" t="s">
        <v>942</v>
      </c>
      <c r="G578" s="1450" t="s">
        <v>963</v>
      </c>
      <c r="H578" s="1450"/>
      <c r="I578" s="1450"/>
      <c r="J578" s="1450"/>
      <c r="K578" s="1450"/>
      <c r="L578" s="1450"/>
      <c r="M578" s="1450"/>
      <c r="N578" s="1450"/>
      <c r="O578" s="1450"/>
      <c r="P578" s="1450"/>
      <c r="Q578" s="1450"/>
      <c r="R578" s="1450"/>
      <c r="T578" s="19"/>
      <c r="U578" t="s">
        <v>942</v>
      </c>
      <c r="Z578" s="1431" t="s">
        <v>963</v>
      </c>
      <c r="AA578" s="1431"/>
      <c r="AB578" s="1431"/>
      <c r="AC578" s="1431"/>
      <c r="AD578" s="1431"/>
      <c r="AE578" s="1431"/>
      <c r="AF578" s="1431"/>
      <c r="AG578" s="1431"/>
      <c r="AH578" s="1431"/>
      <c r="AI578" s="1431"/>
      <c r="AJ578" s="1431"/>
      <c r="AK578" s="1431"/>
      <c r="BB578" s="3"/>
      <c r="BC578" s="3"/>
      <c r="BD578" s="3"/>
      <c r="BE578" s="3"/>
      <c r="BF578" s="3"/>
      <c r="BG578" s="3"/>
      <c r="BH578" s="3"/>
      <c r="BI578" s="3"/>
    </row>
    <row r="579" spans="1:61" ht="12.95" customHeight="1">
      <c r="A579" s="19"/>
      <c r="B579" t="s">
        <v>1421</v>
      </c>
      <c r="G579" s="1450" t="s">
        <v>1422</v>
      </c>
      <c r="H579" s="1450"/>
      <c r="I579" s="1450"/>
      <c r="J579" s="1450"/>
      <c r="K579" s="1450"/>
      <c r="L579" s="1450"/>
      <c r="M579" s="1450"/>
      <c r="N579" s="1450"/>
      <c r="O579" s="1450"/>
      <c r="P579" s="1450"/>
      <c r="Q579" s="1450"/>
      <c r="R579" s="1450"/>
      <c r="S579" s="7"/>
      <c r="T579" s="19"/>
      <c r="U579" t="s">
        <v>1421</v>
      </c>
      <c r="Z579" s="1431" t="s">
        <v>1422</v>
      </c>
      <c r="AA579" s="1431"/>
      <c r="AB579" s="1431"/>
      <c r="AC579" s="1431"/>
      <c r="AD579" s="1431"/>
      <c r="AE579" s="1431"/>
      <c r="AF579" s="1431"/>
      <c r="AG579" s="1431"/>
      <c r="AH579" s="1431"/>
      <c r="AI579" s="1431"/>
      <c r="AJ579" s="1431"/>
      <c r="AK579" s="1431"/>
      <c r="BB579" s="3"/>
      <c r="BC579" s="3"/>
      <c r="BD579" s="3"/>
      <c r="BE579" s="3"/>
      <c r="BF579" s="3"/>
      <c r="BG579" s="3"/>
      <c r="BH579" s="3"/>
      <c r="BI579" s="3"/>
    </row>
    <row r="580" spans="1:61" ht="12.95" customHeight="1">
      <c r="A580" s="19"/>
      <c r="B580" t="s">
        <v>836</v>
      </c>
      <c r="G580" s="1564" t="s">
        <v>1423</v>
      </c>
      <c r="H580" s="1564"/>
      <c r="I580" s="1564"/>
      <c r="J580" s="1564"/>
      <c r="K580" s="1564"/>
      <c r="L580" s="1564"/>
      <c r="O580" s="918" t="s">
        <v>1084</v>
      </c>
      <c r="P580" s="1354"/>
      <c r="Q580" s="1354"/>
      <c r="R580" s="1354"/>
      <c r="S580" s="9"/>
      <c r="T580" s="19"/>
      <c r="U580" t="s">
        <v>836</v>
      </c>
      <c r="Z580" s="1564" t="s">
        <v>1423</v>
      </c>
      <c r="AA580" s="1564"/>
      <c r="AB580" s="1564"/>
      <c r="AC580" s="1564"/>
      <c r="AD580" s="1564"/>
      <c r="AE580" s="1564"/>
      <c r="AH580" s="918" t="s">
        <v>1084</v>
      </c>
      <c r="AI580" s="1354"/>
      <c r="AJ580" s="1354"/>
      <c r="AK580" s="1354"/>
      <c r="BB580" s="3"/>
      <c r="BC580" s="3"/>
      <c r="BD580" s="3"/>
      <c r="BE580" s="3"/>
      <c r="BF580" s="3"/>
      <c r="BG580" s="3"/>
      <c r="BH580" s="3"/>
      <c r="BI580" s="3"/>
    </row>
    <row r="581" spans="1:61" ht="12.95" customHeight="1">
      <c r="A581" s="19"/>
      <c r="B581" t="s">
        <v>1424</v>
      </c>
      <c r="H581" s="1444" t="str">
        <f>M562</f>
        <v>Loan, Tax-Exempt</v>
      </c>
      <c r="I581" s="1450"/>
      <c r="J581" s="1450"/>
      <c r="K581" s="1450"/>
      <c r="L581" s="1450"/>
      <c r="M581" s="1450"/>
      <c r="N581" s="1450"/>
      <c r="O581" s="1450"/>
      <c r="P581" s="1450"/>
      <c r="Q581" s="1450"/>
      <c r="R581" s="1450"/>
      <c r="S581" s="7"/>
      <c r="T581" s="19"/>
      <c r="U581" t="s">
        <v>1424</v>
      </c>
      <c r="AA581" s="1444" t="str">
        <f>M563</f>
        <v>Loan, Taxable</v>
      </c>
      <c r="AB581" s="1450"/>
      <c r="AC581" s="1450"/>
      <c r="AD581" s="1450"/>
      <c r="AE581" s="1450"/>
      <c r="AF581" s="1450"/>
      <c r="AG581" s="1450"/>
      <c r="AH581" s="1450"/>
      <c r="AI581" s="1450"/>
      <c r="AJ581" s="1450"/>
      <c r="AK581" s="1450"/>
      <c r="BB581" s="3"/>
      <c r="BC581" s="3"/>
      <c r="BD581" s="3"/>
      <c r="BE581" s="3"/>
      <c r="BF581" s="3"/>
      <c r="BG581" s="3"/>
      <c r="BH581" s="3"/>
      <c r="BI581" s="3"/>
    </row>
    <row r="582" spans="1:61" ht="12.95" customHeight="1">
      <c r="A582" s="19"/>
      <c r="B582" s="225" t="s">
        <v>1425</v>
      </c>
      <c r="H582" s="7"/>
      <c r="I582" s="7"/>
      <c r="J582" s="7"/>
      <c r="K582" s="7"/>
      <c r="L582" s="7"/>
      <c r="M582" s="1588" t="s">
        <v>1426</v>
      </c>
      <c r="N582" s="1588"/>
      <c r="O582" s="1588"/>
      <c r="P582" s="1588"/>
      <c r="Q582" s="1588"/>
      <c r="R582" s="1588"/>
      <c r="S582" s="7"/>
      <c r="T582" s="19"/>
      <c r="U582" s="225" t="s">
        <v>1425</v>
      </c>
      <c r="AA582" s="7"/>
      <c r="AB582" s="7"/>
      <c r="AC582" s="7"/>
      <c r="AD582" s="7"/>
      <c r="AE582" s="7"/>
      <c r="AF582" s="1588" t="s">
        <v>1426</v>
      </c>
      <c r="AG582" s="1588"/>
      <c r="AH582" s="1588"/>
      <c r="AI582" s="1588"/>
      <c r="AJ582" s="1588"/>
      <c r="AK582" s="1588"/>
      <c r="BB582" s="3"/>
      <c r="BC582" s="3"/>
      <c r="BD582" s="3"/>
      <c r="BE582" s="3"/>
      <c r="BF582" s="3"/>
      <c r="BG582" s="3"/>
      <c r="BH582" s="3"/>
      <c r="BI582" s="3"/>
    </row>
    <row r="583" spans="1:61" ht="12.95" customHeight="1">
      <c r="A583" s="19"/>
      <c r="B583" t="s">
        <v>1427</v>
      </c>
      <c r="N583" s="1310" t="s">
        <v>857</v>
      </c>
      <c r="O583" s="1310"/>
      <c r="T583" s="19"/>
      <c r="U583" t="s">
        <v>1427</v>
      </c>
      <c r="AG583" s="1310" t="s">
        <v>857</v>
      </c>
      <c r="AH583" s="1310"/>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1419</v>
      </c>
      <c r="G585" s="1408" t="str">
        <f>C564</f>
        <v>SHRA PLHA Loan</v>
      </c>
      <c r="H585" s="1408"/>
      <c r="I585" s="1408"/>
      <c r="J585" s="1408"/>
      <c r="K585" s="1408"/>
      <c r="L585" s="1408"/>
      <c r="M585" s="1408"/>
      <c r="N585" s="1408"/>
      <c r="O585" s="1408"/>
      <c r="P585" s="1408"/>
      <c r="Q585" s="1408"/>
      <c r="R585" s="1408"/>
      <c r="T585" s="47" t="s">
        <v>82</v>
      </c>
      <c r="U585" t="s">
        <v>1419</v>
      </c>
      <c r="Z585" s="1408" t="str">
        <f>C565</f>
        <v>Cost Deferred Until Conversion</v>
      </c>
      <c r="AA585" s="1408"/>
      <c r="AB585" s="1408"/>
      <c r="AC585" s="1408"/>
      <c r="AD585" s="1408"/>
      <c r="AE585" s="1408"/>
      <c r="AF585" s="1408"/>
      <c r="AG585" s="1408"/>
      <c r="AH585" s="1408"/>
      <c r="AI585" s="1408"/>
      <c r="AJ585" s="1408"/>
      <c r="AK585" s="1408"/>
      <c r="BB585" s="3"/>
      <c r="BC585" s="3"/>
    </row>
    <row r="586" spans="1:61" ht="12.95" customHeight="1">
      <c r="A586" s="19"/>
      <c r="B586" t="s">
        <v>1076</v>
      </c>
      <c r="G586" s="1444" t="s">
        <v>1186</v>
      </c>
      <c r="H586" s="1450"/>
      <c r="I586" s="1450"/>
      <c r="J586" s="1450"/>
      <c r="K586" s="1450"/>
      <c r="L586" s="1450"/>
      <c r="M586" s="1450"/>
      <c r="N586" s="1450"/>
      <c r="O586" s="1450"/>
      <c r="P586" s="1450"/>
      <c r="Q586" s="1450"/>
      <c r="R586" s="1450"/>
      <c r="T586" s="19"/>
      <c r="U586" t="s">
        <v>1076</v>
      </c>
      <c r="Z586" s="1444" t="s">
        <v>1077</v>
      </c>
      <c r="AA586" s="1450"/>
      <c r="AB586" s="1450"/>
      <c r="AC586" s="1450"/>
      <c r="AD586" s="1450"/>
      <c r="AE586" s="1450"/>
      <c r="AF586" s="1450"/>
      <c r="AG586" s="1450"/>
      <c r="AH586" s="1450"/>
      <c r="AI586" s="1450"/>
      <c r="AJ586" s="1450"/>
      <c r="AK586" s="1450"/>
      <c r="BB586" s="3"/>
      <c r="BC586" s="3"/>
    </row>
    <row r="587" spans="1:61" ht="12.95" customHeight="1">
      <c r="A587" s="19"/>
      <c r="B587" t="s">
        <v>942</v>
      </c>
      <c r="G587" s="1354" t="s">
        <v>828</v>
      </c>
      <c r="H587" s="1431"/>
      <c r="I587" s="1431"/>
      <c r="J587" s="1431"/>
      <c r="K587" s="1431"/>
      <c r="L587" s="1431"/>
      <c r="M587" s="1431"/>
      <c r="N587" s="1431"/>
      <c r="O587" s="1431"/>
      <c r="P587" s="1431"/>
      <c r="Q587" s="1431"/>
      <c r="R587" s="1431"/>
      <c r="T587" s="19"/>
      <c r="U587" t="s">
        <v>942</v>
      </c>
      <c r="Z587" s="1354" t="s">
        <v>963</v>
      </c>
      <c r="AA587" s="1431"/>
      <c r="AB587" s="1431"/>
      <c r="AC587" s="1431"/>
      <c r="AD587" s="1431"/>
      <c r="AE587" s="1431"/>
      <c r="AF587" s="1431"/>
      <c r="AG587" s="1431"/>
      <c r="AH587" s="1431"/>
      <c r="AI587" s="1431"/>
      <c r="AJ587" s="1431"/>
      <c r="AK587" s="1431"/>
      <c r="BB587" s="3"/>
      <c r="BC587" s="3"/>
    </row>
    <row r="588" spans="1:61" ht="12.95" customHeight="1">
      <c r="A588" s="19"/>
      <c r="B588" t="s">
        <v>1421</v>
      </c>
      <c r="G588" s="1354" t="s">
        <v>1190</v>
      </c>
      <c r="H588" s="1431"/>
      <c r="I588" s="1431"/>
      <c r="J588" s="1431"/>
      <c r="K588" s="1431"/>
      <c r="L588" s="1431"/>
      <c r="M588" s="1431"/>
      <c r="N588" s="1431"/>
      <c r="O588" s="1431"/>
      <c r="P588" s="1431"/>
      <c r="Q588" s="1431"/>
      <c r="R588" s="1431"/>
      <c r="T588" s="19"/>
      <c r="U588" t="s">
        <v>1421</v>
      </c>
      <c r="Z588" s="1354" t="s">
        <v>1081</v>
      </c>
      <c r="AA588" s="1431"/>
      <c r="AB588" s="1431"/>
      <c r="AC588" s="1431"/>
      <c r="AD588" s="1431"/>
      <c r="AE588" s="1431"/>
      <c r="AF588" s="1431"/>
      <c r="AG588" s="1431"/>
      <c r="AH588" s="1431"/>
      <c r="AI588" s="1431"/>
      <c r="AJ588" s="1431"/>
      <c r="AK588" s="1431"/>
      <c r="BB588" s="3"/>
      <c r="BC588" s="3"/>
    </row>
    <row r="589" spans="1:61" ht="12.95" customHeight="1">
      <c r="A589" s="19"/>
      <c r="B589" t="s">
        <v>836</v>
      </c>
      <c r="G589" s="1564" t="s">
        <v>1192</v>
      </c>
      <c r="H589" s="1564"/>
      <c r="I589" s="1564"/>
      <c r="J589" s="1564"/>
      <c r="K589" s="1564"/>
      <c r="L589" s="1564"/>
      <c r="O589" s="918" t="s">
        <v>1084</v>
      </c>
      <c r="P589" s="1354"/>
      <c r="Q589" s="1354"/>
      <c r="R589" s="1354"/>
      <c r="T589" s="19"/>
      <c r="U589" t="s">
        <v>836</v>
      </c>
      <c r="Z589" s="1564" t="s">
        <v>1083</v>
      </c>
      <c r="AA589" s="1564"/>
      <c r="AB589" s="1564"/>
      <c r="AC589" s="1564"/>
      <c r="AD589" s="1564"/>
      <c r="AE589" s="1564"/>
      <c r="AH589" s="918" t="s">
        <v>1084</v>
      </c>
      <c r="AI589" s="1354"/>
      <c r="AJ589" s="1354"/>
      <c r="AK589" s="1354"/>
      <c r="BB589" s="3"/>
      <c r="BC589" s="3"/>
    </row>
    <row r="590" spans="1:61" ht="12.95" customHeight="1">
      <c r="A590" s="19"/>
      <c r="B590" t="s">
        <v>1424</v>
      </c>
      <c r="H590" s="1444" t="str">
        <f>M564</f>
        <v>Loan, Residual Receipts</v>
      </c>
      <c r="I590" s="1450"/>
      <c r="J590" s="1450"/>
      <c r="K590" s="1450"/>
      <c r="L590" s="1450"/>
      <c r="M590" s="1450"/>
      <c r="N590" s="1450"/>
      <c r="O590" s="1450"/>
      <c r="P590" s="1450"/>
      <c r="Q590" s="1450"/>
      <c r="R590" s="1450"/>
      <c r="T590" s="19"/>
      <c r="U590" t="s">
        <v>1424</v>
      </c>
      <c r="AA590" s="1444" t="str">
        <f>M565</f>
        <v>Cost Deferral</v>
      </c>
      <c r="AB590" s="1450"/>
      <c r="AC590" s="1450"/>
      <c r="AD590" s="1450"/>
      <c r="AE590" s="1450"/>
      <c r="AF590" s="1450"/>
      <c r="AG590" s="1450"/>
      <c r="AH590" s="1450"/>
      <c r="AI590" s="1450"/>
      <c r="AJ590" s="1450"/>
      <c r="AK590" s="1450"/>
      <c r="BB590" s="3"/>
      <c r="BC590" s="3"/>
    </row>
    <row r="591" spans="1:61" ht="12.95" customHeight="1">
      <c r="A591" s="19"/>
      <c r="B591" t="s">
        <v>1427</v>
      </c>
      <c r="N591" s="1310" t="s">
        <v>857</v>
      </c>
      <c r="O591" s="1310"/>
      <c r="T591" s="19"/>
      <c r="U591" t="s">
        <v>1427</v>
      </c>
      <c r="AG591" s="1310" t="s">
        <v>857</v>
      </c>
      <c r="AH591" s="1310"/>
      <c r="BB591" s="3"/>
      <c r="BC591" s="3"/>
    </row>
    <row r="592" spans="1:61" ht="12.95" customHeight="1">
      <c r="A592" s="19"/>
      <c r="T592" s="19"/>
      <c r="BB592" s="3"/>
      <c r="BC592" s="3"/>
    </row>
    <row r="593" spans="1:55" ht="12.95" customHeight="1">
      <c r="A593" s="47" t="s">
        <v>86</v>
      </c>
      <c r="B593" t="s">
        <v>1419</v>
      </c>
      <c r="G593" s="1408" t="str">
        <f>C566</f>
        <v>Deferred Developer Fee</v>
      </c>
      <c r="H593" s="1408"/>
      <c r="I593" s="1408"/>
      <c r="J593" s="1408"/>
      <c r="K593" s="1408"/>
      <c r="L593" s="1408"/>
      <c r="M593" s="1408"/>
      <c r="N593" s="1408"/>
      <c r="O593" s="1408"/>
      <c r="P593" s="1408"/>
      <c r="Q593" s="1408"/>
      <c r="R593" s="1408"/>
      <c r="T593" s="47" t="s">
        <v>1410</v>
      </c>
      <c r="U593" t="s">
        <v>1419</v>
      </c>
      <c r="Z593" s="1408" t="str">
        <f>C567</f>
        <v>Tax Credit Equity</v>
      </c>
      <c r="AA593" s="1408"/>
      <c r="AB593" s="1408"/>
      <c r="AC593" s="1408"/>
      <c r="AD593" s="1408"/>
      <c r="AE593" s="1408"/>
      <c r="AF593" s="1408"/>
      <c r="AG593" s="1408"/>
      <c r="AH593" s="1408"/>
      <c r="AI593" s="1408"/>
      <c r="AJ593" s="1408"/>
      <c r="AK593" s="1408"/>
      <c r="BB593" s="3"/>
      <c r="BC593" s="3"/>
    </row>
    <row r="594" spans="1:55" ht="12.95" customHeight="1">
      <c r="A594" s="19"/>
      <c r="B594" t="s">
        <v>1076</v>
      </c>
      <c r="G594" s="1450" t="s">
        <v>1077</v>
      </c>
      <c r="H594" s="1450"/>
      <c r="I594" s="1450"/>
      <c r="J594" s="1450"/>
      <c r="K594" s="1450"/>
      <c r="L594" s="1450"/>
      <c r="M594" s="1450"/>
      <c r="N594" s="1450"/>
      <c r="O594" s="1450"/>
      <c r="P594" s="1450"/>
      <c r="Q594" s="1450"/>
      <c r="R594" s="1450"/>
      <c r="T594" s="19"/>
      <c r="U594" t="s">
        <v>1076</v>
      </c>
      <c r="Z594" s="1444" t="s">
        <v>1154</v>
      </c>
      <c r="AA594" s="1450"/>
      <c r="AB594" s="1450"/>
      <c r="AC594" s="1450"/>
      <c r="AD594" s="1450"/>
      <c r="AE594" s="1450"/>
      <c r="AF594" s="1450"/>
      <c r="AG594" s="1450"/>
      <c r="AH594" s="1450"/>
      <c r="AI594" s="1450"/>
      <c r="AJ594" s="1450"/>
      <c r="AK594" s="1450"/>
      <c r="BB594" s="3"/>
      <c r="BC594" s="3"/>
    </row>
    <row r="595" spans="1:55" ht="12.95" customHeight="1">
      <c r="A595" s="19"/>
      <c r="B595" t="s">
        <v>942</v>
      </c>
      <c r="G595" s="1450" t="s">
        <v>963</v>
      </c>
      <c r="H595" s="1450"/>
      <c r="I595" s="1450"/>
      <c r="J595" s="1450"/>
      <c r="K595" s="1450"/>
      <c r="L595" s="1450"/>
      <c r="M595" s="1450"/>
      <c r="N595" s="1450"/>
      <c r="O595" s="1450"/>
      <c r="P595" s="1450"/>
      <c r="Q595" s="1450"/>
      <c r="R595" s="1450"/>
      <c r="T595" s="19"/>
      <c r="U595" t="s">
        <v>942</v>
      </c>
      <c r="Z595" s="1431"/>
      <c r="AA595" s="1431"/>
      <c r="AB595" s="1431"/>
      <c r="AC595" s="1431"/>
      <c r="AD595" s="1431"/>
      <c r="AE595" s="1431"/>
      <c r="AF595" s="1431"/>
      <c r="AG595" s="1431"/>
      <c r="AH595" s="1431"/>
      <c r="AI595" s="1431"/>
      <c r="AJ595" s="1431"/>
      <c r="AK595" s="1431"/>
      <c r="BB595" s="3"/>
      <c r="BC595" s="3"/>
    </row>
    <row r="596" spans="1:55" ht="12.95" customHeight="1">
      <c r="A596" s="19"/>
      <c r="B596" t="s">
        <v>1421</v>
      </c>
      <c r="G596" s="1450" t="s">
        <v>1081</v>
      </c>
      <c r="H596" s="1450"/>
      <c r="I596" s="1450"/>
      <c r="J596" s="1450"/>
      <c r="K596" s="1450"/>
      <c r="L596" s="1450"/>
      <c r="M596" s="1450"/>
      <c r="N596" s="1450"/>
      <c r="O596" s="1450"/>
      <c r="P596" s="1450"/>
      <c r="Q596" s="1450"/>
      <c r="R596" s="1450"/>
      <c r="T596" s="19"/>
      <c r="U596" t="s">
        <v>1421</v>
      </c>
      <c r="Z596" s="1431"/>
      <c r="AA596" s="1431"/>
      <c r="AB596" s="1431"/>
      <c r="AC596" s="1431"/>
      <c r="AD596" s="1431"/>
      <c r="AE596" s="1431"/>
      <c r="AF596" s="1431"/>
      <c r="AG596" s="1431"/>
      <c r="AH596" s="1431"/>
      <c r="AI596" s="1431"/>
      <c r="AJ596" s="1431"/>
      <c r="AK596" s="1431"/>
    </row>
    <row r="597" spans="1:55" ht="12.95" customHeight="1">
      <c r="A597" s="19"/>
      <c r="B597" t="s">
        <v>836</v>
      </c>
      <c r="G597" s="1564" t="s">
        <v>1083</v>
      </c>
      <c r="H597" s="1564"/>
      <c r="I597" s="1564"/>
      <c r="J597" s="1564"/>
      <c r="K597" s="1564"/>
      <c r="L597" s="1564"/>
      <c r="O597" s="918" t="s">
        <v>1084</v>
      </c>
      <c r="P597" s="1354"/>
      <c r="Q597" s="1354"/>
      <c r="R597" s="1354"/>
      <c r="T597" s="19"/>
      <c r="U597" t="s">
        <v>836</v>
      </c>
      <c r="Z597" s="1564"/>
      <c r="AA597" s="1564"/>
      <c r="AB597" s="1564"/>
      <c r="AC597" s="1564"/>
      <c r="AD597" s="1564"/>
      <c r="AE597" s="1564"/>
      <c r="AH597" s="918" t="s">
        <v>1084</v>
      </c>
      <c r="AI597" s="1354"/>
      <c r="AJ597" s="1354"/>
      <c r="AK597" s="1354"/>
      <c r="AZ597" s="3"/>
      <c r="BA597" s="3"/>
      <c r="BB597" s="3"/>
      <c r="BC597" s="3"/>
    </row>
    <row r="598" spans="1:55" ht="12.95" customHeight="1">
      <c r="A598" s="19"/>
      <c r="B598" t="s">
        <v>1424</v>
      </c>
      <c r="H598" s="1444" t="str">
        <f>M566</f>
        <v>Developer Fee, Deferral</v>
      </c>
      <c r="I598" s="1450"/>
      <c r="J598" s="1450"/>
      <c r="K598" s="1450"/>
      <c r="L598" s="1450"/>
      <c r="M598" s="1450"/>
      <c r="N598" s="1450"/>
      <c r="O598" s="1450"/>
      <c r="P598" s="1450"/>
      <c r="Q598" s="1450"/>
      <c r="R598" s="1450"/>
      <c r="T598" s="19"/>
      <c r="U598" t="s">
        <v>1424</v>
      </c>
      <c r="AA598" s="1450"/>
      <c r="AB598" s="1450"/>
      <c r="AC598" s="1450"/>
      <c r="AD598" s="1450"/>
      <c r="AE598" s="1450"/>
      <c r="AF598" s="1450"/>
      <c r="AG598" s="1450"/>
      <c r="AH598" s="1450"/>
      <c r="AI598" s="1450"/>
      <c r="AJ598" s="1450"/>
      <c r="AK598" s="1450"/>
      <c r="AZ598" s="3"/>
      <c r="BA598" s="3"/>
      <c r="BB598" s="3"/>
      <c r="BC598" s="3"/>
    </row>
    <row r="599" spans="1:55" ht="12.95" customHeight="1">
      <c r="A599" s="19"/>
      <c r="B599" t="s">
        <v>1427</v>
      </c>
      <c r="N599" s="1310" t="s">
        <v>857</v>
      </c>
      <c r="O599" s="1310"/>
      <c r="T599" s="19"/>
      <c r="U599" t="s">
        <v>1427</v>
      </c>
      <c r="AG599" s="1310" t="s">
        <v>857</v>
      </c>
      <c r="AH599" s="1310"/>
      <c r="AZ599" s="3"/>
      <c r="BA599" s="3"/>
      <c r="BB599" s="3"/>
      <c r="BC599" s="3"/>
    </row>
    <row r="600" spans="1:55" ht="12.95" customHeight="1">
      <c r="A600" s="19"/>
      <c r="T600" s="19"/>
      <c r="AZ600" s="3"/>
      <c r="BA600" s="3"/>
      <c r="BB600" s="3"/>
      <c r="BC600" s="3"/>
    </row>
    <row r="601" spans="1:55" ht="12.95" customHeight="1">
      <c r="A601" s="47" t="s">
        <v>1412</v>
      </c>
      <c r="B601" t="s">
        <v>1419</v>
      </c>
      <c r="G601" s="1408">
        <f>C568</f>
        <v>0</v>
      </c>
      <c r="H601" s="1408"/>
      <c r="I601" s="1408"/>
      <c r="J601" s="1408"/>
      <c r="K601" s="1408"/>
      <c r="L601" s="1408"/>
      <c r="M601" s="1408"/>
      <c r="N601" s="1408"/>
      <c r="O601" s="1408"/>
      <c r="P601" s="1408"/>
      <c r="Q601" s="1408"/>
      <c r="R601" s="1408"/>
      <c r="T601" s="47" t="s">
        <v>1413</v>
      </c>
      <c r="U601" t="s">
        <v>1419</v>
      </c>
      <c r="Z601" s="1408">
        <f>C569</f>
        <v>0</v>
      </c>
      <c r="AA601" s="1408"/>
      <c r="AB601" s="1408"/>
      <c r="AC601" s="1408"/>
      <c r="AD601" s="1408"/>
      <c r="AE601" s="1408"/>
      <c r="AF601" s="1408"/>
      <c r="AG601" s="1408"/>
      <c r="AH601" s="1408"/>
      <c r="AI601" s="1408"/>
      <c r="AJ601" s="1408"/>
      <c r="AK601" s="1408"/>
      <c r="AZ601" s="3"/>
      <c r="BA601" s="3"/>
      <c r="BB601" s="3"/>
      <c r="BC601" s="3"/>
    </row>
    <row r="602" spans="1:55" s="4" customFormat="1" ht="12.95" customHeight="1">
      <c r="A602" s="19"/>
      <c r="B602" t="s">
        <v>1076</v>
      </c>
      <c r="C602"/>
      <c r="D602"/>
      <c r="E602"/>
      <c r="F602"/>
      <c r="G602" s="1450"/>
      <c r="H602" s="1450"/>
      <c r="I602" s="1450"/>
      <c r="J602" s="1450"/>
      <c r="K602" s="1450"/>
      <c r="L602" s="1450"/>
      <c r="M602" s="1450"/>
      <c r="N602" s="1450"/>
      <c r="O602" s="1450"/>
      <c r="P602" s="1450"/>
      <c r="Q602" s="1450"/>
      <c r="R602" s="1450"/>
      <c r="S602"/>
      <c r="T602" s="19"/>
      <c r="U602" t="s">
        <v>1076</v>
      </c>
      <c r="V602"/>
      <c r="W602"/>
      <c r="X602"/>
      <c r="Y602"/>
      <c r="Z602" s="1450"/>
      <c r="AA602" s="1450"/>
      <c r="AB602" s="1450"/>
      <c r="AC602" s="1450"/>
      <c r="AD602" s="1450"/>
      <c r="AE602" s="1450"/>
      <c r="AF602" s="1450"/>
      <c r="AG602" s="1450"/>
      <c r="AH602" s="1450"/>
      <c r="AI602" s="1450"/>
      <c r="AJ602" s="1450"/>
      <c r="AK602" s="1450"/>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450"/>
      <c r="H603" s="1450"/>
      <c r="I603" s="1450"/>
      <c r="J603" s="1450"/>
      <c r="K603" s="1450"/>
      <c r="L603" s="1450"/>
      <c r="M603" s="1450"/>
      <c r="N603" s="1450"/>
      <c r="O603" s="1450"/>
      <c r="P603" s="1450"/>
      <c r="Q603" s="1450"/>
      <c r="R603" s="1450"/>
      <c r="S603"/>
      <c r="T603" s="19"/>
      <c r="U603" t="s">
        <v>942</v>
      </c>
      <c r="V603"/>
      <c r="W603"/>
      <c r="X603"/>
      <c r="Y603"/>
      <c r="Z603" s="1431"/>
      <c r="AA603" s="1431"/>
      <c r="AB603" s="1431"/>
      <c r="AC603" s="1431"/>
      <c r="AD603" s="1431"/>
      <c r="AE603" s="1431"/>
      <c r="AF603" s="1431"/>
      <c r="AG603" s="1431"/>
      <c r="AH603" s="1431"/>
      <c r="AI603" s="1431"/>
      <c r="AJ603" s="1431"/>
      <c r="AK603" s="1431"/>
      <c r="AL603"/>
      <c r="AM603"/>
      <c r="AN603"/>
      <c r="AO603"/>
      <c r="AP603"/>
      <c r="AQ603"/>
      <c r="AR603"/>
      <c r="AS603"/>
      <c r="AT603"/>
      <c r="AU603"/>
      <c r="AV603"/>
      <c r="AW603"/>
      <c r="AX603"/>
      <c r="AY603"/>
      <c r="AZ603" s="3"/>
      <c r="BA603" s="3"/>
      <c r="BB603" s="3"/>
      <c r="BC603" s="3"/>
    </row>
    <row r="604" spans="1:55" s="4" customFormat="1" ht="12.95" customHeight="1">
      <c r="A604" s="19"/>
      <c r="B604" t="s">
        <v>1421</v>
      </c>
      <c r="C604"/>
      <c r="D604"/>
      <c r="E604"/>
      <c r="F604"/>
      <c r="G604" s="1450"/>
      <c r="H604" s="1450"/>
      <c r="I604" s="1450"/>
      <c r="J604" s="1450"/>
      <c r="K604" s="1450"/>
      <c r="L604" s="1450"/>
      <c r="M604" s="1450"/>
      <c r="N604" s="1450"/>
      <c r="O604" s="1450"/>
      <c r="P604" s="1450"/>
      <c r="Q604" s="1450"/>
      <c r="R604" s="1450"/>
      <c r="S604"/>
      <c r="T604" s="19"/>
      <c r="U604" t="s">
        <v>1421</v>
      </c>
      <c r="V604"/>
      <c r="W604"/>
      <c r="X604"/>
      <c r="Y604"/>
      <c r="Z604" s="1431"/>
      <c r="AA604" s="1431"/>
      <c r="AB604" s="1431"/>
      <c r="AC604" s="1431"/>
      <c r="AD604" s="1431"/>
      <c r="AE604" s="1431"/>
      <c r="AF604" s="1431"/>
      <c r="AG604" s="1431"/>
      <c r="AH604" s="1431"/>
      <c r="AI604" s="1431"/>
      <c r="AJ604" s="1431"/>
      <c r="AK604" s="1431"/>
      <c r="AL604"/>
      <c r="AM604"/>
      <c r="AN604"/>
      <c r="AO604"/>
      <c r="AP604"/>
      <c r="AQ604"/>
      <c r="AR604"/>
      <c r="AS604"/>
      <c r="AT604"/>
      <c r="AU604"/>
      <c r="AV604"/>
      <c r="AW604"/>
      <c r="AX604"/>
      <c r="AY604"/>
      <c r="AZ604" s="3"/>
      <c r="BA604" s="3"/>
      <c r="BB604" s="3"/>
      <c r="BC604" s="3"/>
    </row>
    <row r="605" spans="1:55" s="4" customFormat="1" ht="12.95" customHeight="1">
      <c r="A605" s="19"/>
      <c r="B605" t="s">
        <v>836</v>
      </c>
      <c r="C605"/>
      <c r="D605"/>
      <c r="E605"/>
      <c r="F605"/>
      <c r="G605" s="1564"/>
      <c r="H605" s="1564"/>
      <c r="I605" s="1564"/>
      <c r="J605" s="1564"/>
      <c r="K605" s="1564"/>
      <c r="L605" s="1564"/>
      <c r="M605"/>
      <c r="N605"/>
      <c r="O605" s="918" t="s">
        <v>1084</v>
      </c>
      <c r="P605" s="1354"/>
      <c r="Q605" s="1354"/>
      <c r="R605" s="1354"/>
      <c r="S605"/>
      <c r="T605" s="19"/>
      <c r="U605" t="s">
        <v>836</v>
      </c>
      <c r="V605"/>
      <c r="W605"/>
      <c r="X605"/>
      <c r="Y605"/>
      <c r="Z605" s="1564"/>
      <c r="AA605" s="1564"/>
      <c r="AB605" s="1564"/>
      <c r="AC605" s="1564"/>
      <c r="AD605" s="1564"/>
      <c r="AE605" s="1564"/>
      <c r="AF605"/>
      <c r="AG605"/>
      <c r="AH605" s="918" t="s">
        <v>1084</v>
      </c>
      <c r="AI605" s="1354"/>
      <c r="AJ605" s="1354"/>
      <c r="AK605" s="1354"/>
      <c r="AL605"/>
      <c r="AM605"/>
      <c r="AN605"/>
      <c r="AO605"/>
      <c r="AP605"/>
      <c r="AQ605"/>
      <c r="AR605"/>
      <c r="AS605"/>
      <c r="AT605"/>
      <c r="AU605"/>
      <c r="AV605"/>
      <c r="AW605"/>
      <c r="AX605"/>
      <c r="AY605"/>
      <c r="AZ605" s="3"/>
      <c r="BA605" s="3"/>
      <c r="BB605" s="3"/>
      <c r="BC605" s="3"/>
    </row>
    <row r="606" spans="1:55" s="4" customFormat="1" ht="12.95" customHeight="1">
      <c r="A606" s="19"/>
      <c r="B606" t="s">
        <v>1424</v>
      </c>
      <c r="C606"/>
      <c r="D606"/>
      <c r="E606"/>
      <c r="F606"/>
      <c r="G606"/>
      <c r="H606" s="1450"/>
      <c r="I606" s="1450"/>
      <c r="J606" s="1450"/>
      <c r="K606" s="1450"/>
      <c r="L606" s="1450"/>
      <c r="M606" s="1450"/>
      <c r="N606" s="1450"/>
      <c r="O606" s="1450"/>
      <c r="P606" s="1450"/>
      <c r="Q606" s="1450"/>
      <c r="R606" s="1450"/>
      <c r="S606"/>
      <c r="T606" s="19"/>
      <c r="U606" t="s">
        <v>1424</v>
      </c>
      <c r="V606"/>
      <c r="W606"/>
      <c r="X606"/>
      <c r="Y606"/>
      <c r="Z606"/>
      <c r="AA606" s="1450"/>
      <c r="AB606" s="1450"/>
      <c r="AC606" s="1450"/>
      <c r="AD606" s="1450"/>
      <c r="AE606" s="1450"/>
      <c r="AF606" s="1450"/>
      <c r="AG606" s="1450"/>
      <c r="AH606" s="1450"/>
      <c r="AI606" s="1450"/>
      <c r="AJ606" s="1450"/>
      <c r="AK606" s="1450"/>
      <c r="AL606"/>
      <c r="AM606"/>
      <c r="AN606"/>
      <c r="AO606"/>
      <c r="AP606"/>
      <c r="AQ606"/>
      <c r="AR606"/>
      <c r="AS606"/>
      <c r="AT606"/>
      <c r="AU606"/>
      <c r="AV606"/>
      <c r="AW606"/>
      <c r="AX606"/>
      <c r="AY606"/>
      <c r="AZ606" s="3"/>
      <c r="BA606" s="3"/>
      <c r="BB606" s="3"/>
      <c r="BC606" s="3"/>
    </row>
    <row r="607" spans="1:55" ht="12.95" customHeight="1">
      <c r="A607" s="19"/>
      <c r="B607" t="s">
        <v>1427</v>
      </c>
      <c r="N607" s="1310" t="s">
        <v>700</v>
      </c>
      <c r="O607" s="1310"/>
      <c r="T607" s="19"/>
      <c r="U607" t="s">
        <v>1427</v>
      </c>
      <c r="AG607" s="1310" t="s">
        <v>700</v>
      </c>
      <c r="AH607" s="1310"/>
      <c r="BB607" s="3"/>
      <c r="BC607" s="3"/>
    </row>
    <row r="608" spans="1:55" ht="12.95" customHeight="1">
      <c r="A608" s="19"/>
      <c r="T608" s="19"/>
      <c r="BB608" s="3"/>
      <c r="BC608" s="3"/>
    </row>
    <row r="609" spans="1:55" ht="12.95" customHeight="1">
      <c r="A609" s="47" t="s">
        <v>1414</v>
      </c>
      <c r="B609" t="s">
        <v>1419</v>
      </c>
      <c r="G609" s="1408">
        <f>C570</f>
        <v>0</v>
      </c>
      <c r="H609" s="1408"/>
      <c r="I609" s="1408"/>
      <c r="J609" s="1408"/>
      <c r="K609" s="1408"/>
      <c r="L609" s="1408"/>
      <c r="M609" s="1408"/>
      <c r="N609" s="1408"/>
      <c r="O609" s="1408"/>
      <c r="P609" s="1408"/>
      <c r="Q609" s="1408"/>
      <c r="R609" s="1408"/>
      <c r="T609" s="47" t="s">
        <v>1415</v>
      </c>
      <c r="U609" t="s">
        <v>1419</v>
      </c>
      <c r="Z609" s="1408">
        <f>C571</f>
        <v>0</v>
      </c>
      <c r="AA609" s="1408"/>
      <c r="AB609" s="1408"/>
      <c r="AC609" s="1408"/>
      <c r="AD609" s="1408"/>
      <c r="AE609" s="1408"/>
      <c r="AF609" s="1408"/>
      <c r="AG609" s="1408"/>
      <c r="AH609" s="1408"/>
      <c r="AI609" s="1408"/>
      <c r="AJ609" s="1408"/>
      <c r="AK609" s="1408"/>
      <c r="BB609" s="3"/>
      <c r="BC609" s="3"/>
    </row>
    <row r="610" spans="1:55" ht="12.95" customHeight="1">
      <c r="A610" s="19"/>
      <c r="B610" t="s">
        <v>1076</v>
      </c>
      <c r="G610" s="1450"/>
      <c r="H610" s="1450"/>
      <c r="I610" s="1450"/>
      <c r="J610" s="1450"/>
      <c r="K610" s="1450"/>
      <c r="L610" s="1450"/>
      <c r="M610" s="1450"/>
      <c r="N610" s="1450"/>
      <c r="O610" s="1450"/>
      <c r="P610" s="1450"/>
      <c r="Q610" s="1450"/>
      <c r="R610" s="1450"/>
      <c r="T610" s="19"/>
      <c r="U610" t="s">
        <v>1076</v>
      </c>
      <c r="Z610" s="1450"/>
      <c r="AA610" s="1450"/>
      <c r="AB610" s="1450"/>
      <c r="AC610" s="1450"/>
      <c r="AD610" s="1450"/>
      <c r="AE610" s="1450"/>
      <c r="AF610" s="1450"/>
      <c r="AG610" s="1450"/>
      <c r="AH610" s="1450"/>
      <c r="AI610" s="1450"/>
      <c r="AJ610" s="1450"/>
      <c r="AK610" s="1450"/>
      <c r="AZ610" s="3"/>
      <c r="BA610" s="3"/>
      <c r="BB610" s="3"/>
      <c r="BC610" s="3"/>
    </row>
    <row r="611" spans="1:55" ht="12.95" customHeight="1">
      <c r="A611" s="19"/>
      <c r="B611" t="s">
        <v>942</v>
      </c>
      <c r="G611" s="1450"/>
      <c r="H611" s="1450"/>
      <c r="I611" s="1450"/>
      <c r="J611" s="1450"/>
      <c r="K611" s="1450"/>
      <c r="L611" s="1450"/>
      <c r="M611" s="1450"/>
      <c r="N611" s="1450"/>
      <c r="O611" s="1450"/>
      <c r="P611" s="1450"/>
      <c r="Q611" s="1450"/>
      <c r="R611" s="1450"/>
      <c r="T611" s="19"/>
      <c r="U611" t="s">
        <v>942</v>
      </c>
      <c r="Z611" s="1431"/>
      <c r="AA611" s="1431"/>
      <c r="AB611" s="1431"/>
      <c r="AC611" s="1431"/>
      <c r="AD611" s="1431"/>
      <c r="AE611" s="1431"/>
      <c r="AF611" s="1431"/>
      <c r="AG611" s="1431"/>
      <c r="AH611" s="1431"/>
      <c r="AI611" s="1431"/>
      <c r="AJ611" s="1431"/>
      <c r="AK611" s="1431"/>
      <c r="AZ611" s="3"/>
      <c r="BA611" s="3"/>
      <c r="BB611" s="3"/>
      <c r="BC611" s="3"/>
    </row>
    <row r="612" spans="1:55" ht="12.95" customHeight="1">
      <c r="A612" s="19"/>
      <c r="B612" t="s">
        <v>1421</v>
      </c>
      <c r="G612" s="1450"/>
      <c r="H612" s="1450"/>
      <c r="I612" s="1450"/>
      <c r="J612" s="1450"/>
      <c r="K612" s="1450"/>
      <c r="L612" s="1450"/>
      <c r="M612" s="1450"/>
      <c r="N612" s="1450"/>
      <c r="O612" s="1450"/>
      <c r="P612" s="1450"/>
      <c r="Q612" s="1450"/>
      <c r="R612" s="1450"/>
      <c r="T612" s="19"/>
      <c r="U612" t="s">
        <v>1421</v>
      </c>
      <c r="Z612" s="1431"/>
      <c r="AA612" s="1431"/>
      <c r="AB612" s="1431"/>
      <c r="AC612" s="1431"/>
      <c r="AD612" s="1431"/>
      <c r="AE612" s="1431"/>
      <c r="AF612" s="1431"/>
      <c r="AG612" s="1431"/>
      <c r="AH612" s="1431"/>
      <c r="AI612" s="1431"/>
      <c r="AJ612" s="1431"/>
      <c r="AK612" s="1431"/>
      <c r="AZ612" s="3"/>
      <c r="BA612" s="3"/>
      <c r="BB612" s="3"/>
      <c r="BC612" s="3"/>
    </row>
    <row r="613" spans="1:55" s="4" customFormat="1" ht="12.95" customHeight="1">
      <c r="A613" s="19"/>
      <c r="B613" t="s">
        <v>836</v>
      </c>
      <c r="C613"/>
      <c r="D613"/>
      <c r="E613"/>
      <c r="F613"/>
      <c r="G613" s="1564"/>
      <c r="H613" s="1564"/>
      <c r="I613" s="1564"/>
      <c r="J613" s="1564"/>
      <c r="K613" s="1564"/>
      <c r="L613" s="1564"/>
      <c r="M613"/>
      <c r="N613"/>
      <c r="O613" s="918" t="s">
        <v>1084</v>
      </c>
      <c r="P613" s="1354"/>
      <c r="Q613" s="1354"/>
      <c r="R613" s="1354"/>
      <c r="S613"/>
      <c r="T613" s="19"/>
      <c r="U613" t="s">
        <v>836</v>
      </c>
      <c r="V613"/>
      <c r="W613"/>
      <c r="X613"/>
      <c r="Y613"/>
      <c r="Z613" s="1564"/>
      <c r="AA613" s="1564"/>
      <c r="AB613" s="1564"/>
      <c r="AC613" s="1564"/>
      <c r="AD613" s="1564"/>
      <c r="AE613" s="1564"/>
      <c r="AF613"/>
      <c r="AG613"/>
      <c r="AH613" s="918" t="s">
        <v>1084</v>
      </c>
      <c r="AI613" s="1354"/>
      <c r="AJ613" s="1354"/>
      <c r="AK613" s="1354"/>
      <c r="AL613"/>
      <c r="AM613"/>
      <c r="AN613"/>
      <c r="AO613"/>
      <c r="AP613"/>
      <c r="AQ613"/>
      <c r="AR613"/>
      <c r="AS613"/>
      <c r="AT613"/>
      <c r="AU613"/>
      <c r="AV613"/>
      <c r="AW613"/>
      <c r="AX613"/>
      <c r="AY613"/>
      <c r="AZ613" s="3"/>
      <c r="BA613" s="3"/>
      <c r="BB613" s="3"/>
      <c r="BC613" s="3"/>
    </row>
    <row r="614" spans="1:55" s="4" customFormat="1" ht="12.95" customHeight="1">
      <c r="A614" s="19"/>
      <c r="B614" t="s">
        <v>1424</v>
      </c>
      <c r="C614"/>
      <c r="D614"/>
      <c r="E614"/>
      <c r="F614"/>
      <c r="G614"/>
      <c r="H614" s="1450"/>
      <c r="I614" s="1450"/>
      <c r="J614" s="1450"/>
      <c r="K614" s="1450"/>
      <c r="L614" s="1450"/>
      <c r="M614" s="1450"/>
      <c r="N614" s="1450"/>
      <c r="O614" s="1450"/>
      <c r="P614" s="1450"/>
      <c r="Q614" s="1450"/>
      <c r="R614" s="1450"/>
      <c r="S614"/>
      <c r="T614" s="19"/>
      <c r="U614" t="s">
        <v>1424</v>
      </c>
      <c r="V614"/>
      <c r="W614"/>
      <c r="X614"/>
      <c r="Y614"/>
      <c r="Z614"/>
      <c r="AA614" s="1450"/>
      <c r="AB614" s="1450"/>
      <c r="AC614" s="1450"/>
      <c r="AD614" s="1450"/>
      <c r="AE614" s="1450"/>
      <c r="AF614" s="1450"/>
      <c r="AG614" s="1450"/>
      <c r="AH614" s="1450"/>
      <c r="AI614" s="1450"/>
      <c r="AJ614" s="1450"/>
      <c r="AK614" s="1450"/>
      <c r="AL614"/>
      <c r="AM614"/>
      <c r="AN614"/>
      <c r="AO614"/>
      <c r="AP614"/>
      <c r="AQ614"/>
      <c r="AR614"/>
      <c r="AS614"/>
      <c r="AT614"/>
      <c r="AU614"/>
      <c r="AV614"/>
      <c r="AW614"/>
      <c r="AX614"/>
      <c r="AY614"/>
      <c r="AZ614" s="3"/>
      <c r="BA614" s="3"/>
      <c r="BB614" s="3"/>
      <c r="BC614" s="3"/>
    </row>
    <row r="615" spans="1:55" s="4" customFormat="1" ht="12.95" customHeight="1">
      <c r="A615" s="19"/>
      <c r="B615" t="s">
        <v>1427</v>
      </c>
      <c r="C615"/>
      <c r="D615"/>
      <c r="E615"/>
      <c r="F615"/>
      <c r="G615"/>
      <c r="H615"/>
      <c r="I615"/>
      <c r="J615"/>
      <c r="K615"/>
      <c r="L615"/>
      <c r="M615"/>
      <c r="N615" s="1310" t="s">
        <v>700</v>
      </c>
      <c r="O615" s="1310"/>
      <c r="P615"/>
      <c r="Q615"/>
      <c r="R615"/>
      <c r="S615"/>
      <c r="T615" s="19"/>
      <c r="U615" t="s">
        <v>1427</v>
      </c>
      <c r="V615"/>
      <c r="W615"/>
      <c r="X615"/>
      <c r="Y615"/>
      <c r="Z615"/>
      <c r="AA615"/>
      <c r="AB615"/>
      <c r="AC615"/>
      <c r="AD615"/>
      <c r="AE615"/>
      <c r="AF615"/>
      <c r="AG615" s="1310" t="s">
        <v>700</v>
      </c>
      <c r="AH615" s="1310"/>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1416</v>
      </c>
      <c r="B617" t="s">
        <v>1419</v>
      </c>
      <c r="G617" s="1408">
        <f>C572</f>
        <v>0</v>
      </c>
      <c r="H617" s="1408"/>
      <c r="I617" s="1408"/>
      <c r="J617" s="1408"/>
      <c r="K617" s="1408"/>
      <c r="L617" s="1408"/>
      <c r="M617" s="1408"/>
      <c r="N617" s="1408"/>
      <c r="O617" s="1408"/>
      <c r="P617" s="1408"/>
      <c r="Q617" s="1408"/>
      <c r="R617" s="1408"/>
      <c r="T617" s="47" t="s">
        <v>1417</v>
      </c>
      <c r="U617" t="s">
        <v>1419</v>
      </c>
      <c r="Z617" s="1408">
        <f>C573</f>
        <v>0</v>
      </c>
      <c r="AA617" s="1408"/>
      <c r="AB617" s="1408"/>
      <c r="AC617" s="1408"/>
      <c r="AD617" s="1408"/>
      <c r="AE617" s="1408"/>
      <c r="AF617" s="1408"/>
      <c r="AG617" s="1408"/>
      <c r="AH617" s="1408"/>
      <c r="AI617" s="1408"/>
      <c r="AJ617" s="1408"/>
      <c r="AK617" s="1408"/>
      <c r="AZ617" s="3"/>
      <c r="BA617" s="3"/>
      <c r="BB617" s="3"/>
      <c r="BC617" s="3"/>
    </row>
    <row r="618" spans="1:55" ht="12.95" customHeight="1">
      <c r="B618" t="s">
        <v>1076</v>
      </c>
      <c r="G618" s="1450"/>
      <c r="H618" s="1450"/>
      <c r="I618" s="1450"/>
      <c r="J618" s="1450"/>
      <c r="K618" s="1450"/>
      <c r="L618" s="1450"/>
      <c r="M618" s="1450"/>
      <c r="N618" s="1450"/>
      <c r="O618" s="1450"/>
      <c r="P618" s="1450"/>
      <c r="Q618" s="1450"/>
      <c r="R618" s="1450"/>
      <c r="U618" t="s">
        <v>1076</v>
      </c>
      <c r="Z618" s="1450"/>
      <c r="AA618" s="1450"/>
      <c r="AB618" s="1450"/>
      <c r="AC618" s="1450"/>
      <c r="AD618" s="1450"/>
      <c r="AE618" s="1450"/>
      <c r="AF618" s="1450"/>
      <c r="AG618" s="1450"/>
      <c r="AH618" s="1450"/>
      <c r="AI618" s="1450"/>
      <c r="AJ618" s="1450"/>
      <c r="AK618" s="1450"/>
      <c r="AZ618" s="3"/>
      <c r="BA618" s="3"/>
      <c r="BB618" s="3"/>
      <c r="BC618" s="3"/>
    </row>
    <row r="619" spans="1:55" ht="12.95" customHeight="1">
      <c r="B619" t="s">
        <v>942</v>
      </c>
      <c r="G619" s="1450"/>
      <c r="H619" s="1450"/>
      <c r="I619" s="1450"/>
      <c r="J619" s="1450"/>
      <c r="K619" s="1450"/>
      <c r="L619" s="1450"/>
      <c r="M619" s="1450"/>
      <c r="N619" s="1450"/>
      <c r="O619" s="1450"/>
      <c r="P619" s="1450"/>
      <c r="Q619" s="1450"/>
      <c r="R619" s="1450"/>
      <c r="U619" t="s">
        <v>942</v>
      </c>
      <c r="Z619" s="1431"/>
      <c r="AA619" s="1431"/>
      <c r="AB619" s="1431"/>
      <c r="AC619" s="1431"/>
      <c r="AD619" s="1431"/>
      <c r="AE619" s="1431"/>
      <c r="AF619" s="1431"/>
      <c r="AG619" s="1431"/>
      <c r="AH619" s="1431"/>
      <c r="AI619" s="1431"/>
      <c r="AJ619" s="1431"/>
      <c r="AK619" s="1431"/>
      <c r="AZ619" s="3"/>
      <c r="BA619" s="3"/>
      <c r="BB619" s="3"/>
      <c r="BC619" s="3"/>
    </row>
    <row r="620" spans="1:55" ht="12.95" customHeight="1">
      <c r="B620" t="s">
        <v>1421</v>
      </c>
      <c r="G620" s="1450"/>
      <c r="H620" s="1450"/>
      <c r="I620" s="1450"/>
      <c r="J620" s="1450"/>
      <c r="K620" s="1450"/>
      <c r="L620" s="1450"/>
      <c r="M620" s="1450"/>
      <c r="N620" s="1450"/>
      <c r="O620" s="1450"/>
      <c r="P620" s="1450"/>
      <c r="Q620" s="1450"/>
      <c r="R620" s="1450"/>
      <c r="U620" t="s">
        <v>1421</v>
      </c>
      <c r="Z620" s="1431"/>
      <c r="AA620" s="1431"/>
      <c r="AB620" s="1431"/>
      <c r="AC620" s="1431"/>
      <c r="AD620" s="1431"/>
      <c r="AE620" s="1431"/>
      <c r="AF620" s="1431"/>
      <c r="AG620" s="1431"/>
      <c r="AH620" s="1431"/>
      <c r="AI620" s="1431"/>
      <c r="AJ620" s="1431"/>
      <c r="AK620" s="1431"/>
      <c r="AZ620" s="3"/>
      <c r="BA620" s="3"/>
      <c r="BB620" s="3"/>
      <c r="BC620" s="3"/>
    </row>
    <row r="621" spans="1:55" ht="12.95" customHeight="1">
      <c r="B621" t="s">
        <v>836</v>
      </c>
      <c r="G621" s="1564"/>
      <c r="H621" s="1564"/>
      <c r="I621" s="1564"/>
      <c r="J621" s="1564"/>
      <c r="K621" s="1564"/>
      <c r="L621" s="1564"/>
      <c r="O621" s="918" t="s">
        <v>1084</v>
      </c>
      <c r="P621" s="1354"/>
      <c r="Q621" s="1354"/>
      <c r="R621" s="1354"/>
      <c r="U621" t="s">
        <v>836</v>
      </c>
      <c r="Z621" s="1564"/>
      <c r="AA621" s="1564"/>
      <c r="AB621" s="1564"/>
      <c r="AC621" s="1564"/>
      <c r="AD621" s="1564"/>
      <c r="AE621" s="1564"/>
      <c r="AH621" s="918" t="s">
        <v>1084</v>
      </c>
      <c r="AI621" s="1354"/>
      <c r="AJ621" s="1354"/>
      <c r="AK621" s="1354"/>
      <c r="AZ621" s="3"/>
      <c r="BA621" s="3"/>
      <c r="BB621" s="3"/>
      <c r="BC621" s="3"/>
    </row>
    <row r="622" spans="1:55" ht="12.95" customHeight="1">
      <c r="B622" t="s">
        <v>1424</v>
      </c>
      <c r="H622" s="1450"/>
      <c r="I622" s="1450"/>
      <c r="J622" s="1450"/>
      <c r="K622" s="1450"/>
      <c r="L622" s="1450"/>
      <c r="M622" s="1450"/>
      <c r="N622" s="1450"/>
      <c r="O622" s="1450"/>
      <c r="P622" s="1450"/>
      <c r="Q622" s="1450"/>
      <c r="R622" s="1450"/>
      <c r="U622" t="s">
        <v>1424</v>
      </c>
      <c r="AA622" s="1450"/>
      <c r="AB622" s="1450"/>
      <c r="AC622" s="1450"/>
      <c r="AD622" s="1450"/>
      <c r="AE622" s="1450"/>
      <c r="AF622" s="1450"/>
      <c r="AG622" s="1450"/>
      <c r="AH622" s="1450"/>
      <c r="AI622" s="1450"/>
      <c r="AJ622" s="1450"/>
      <c r="AK622" s="1450"/>
      <c r="AU622" s="791"/>
      <c r="AV622" s="791"/>
      <c r="AW622" s="791"/>
      <c r="AX622" s="791"/>
      <c r="AY622" s="791"/>
      <c r="AZ622" s="3"/>
      <c r="BA622" s="3"/>
      <c r="BB622" s="3"/>
      <c r="BC622" s="3"/>
    </row>
    <row r="623" spans="1:55" ht="12.95" customHeight="1">
      <c r="B623" t="s">
        <v>1427</v>
      </c>
      <c r="N623" s="1310" t="s">
        <v>700</v>
      </c>
      <c r="O623" s="1310"/>
      <c r="U623" t="s">
        <v>1427</v>
      </c>
      <c r="AG623" s="1310" t="s">
        <v>700</v>
      </c>
      <c r="AH623" s="1310"/>
      <c r="AU623" s="791"/>
      <c r="AV623" s="791"/>
      <c r="AW623" s="791"/>
      <c r="AX623" s="791"/>
      <c r="AY623" s="791"/>
      <c r="AZ623" s="3"/>
      <c r="BA623" s="3"/>
      <c r="BB623" s="3"/>
      <c r="BC623" s="3"/>
    </row>
    <row r="624" spans="1:55" ht="12.95" customHeight="1">
      <c r="AZ624" s="3"/>
      <c r="BA624" s="3"/>
      <c r="BB624" s="3"/>
      <c r="BC624" s="3"/>
    </row>
    <row r="625" spans="1:56" ht="12.95" customHeight="1">
      <c r="A625" s="1228" t="s">
        <v>1428</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3"/>
      <c r="BA625" s="3"/>
      <c r="BB625" s="3"/>
      <c r="BC625" s="3"/>
    </row>
    <row r="626" spans="1:56" ht="12.95"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1394</v>
      </c>
      <c r="AZ630" s="3"/>
      <c r="BA630" s="3"/>
      <c r="BB630" s="3"/>
      <c r="BC630" s="3"/>
    </row>
    <row r="631" spans="1:56" ht="12.95" customHeight="1">
      <c r="B631" s="412"/>
      <c r="C631" s="2"/>
      <c r="AU631" s="3"/>
      <c r="AZ631" s="3"/>
      <c r="BA631" s="3"/>
      <c r="BB631" s="3"/>
      <c r="BC631" s="3"/>
    </row>
    <row r="632" spans="1:56" ht="12.95" customHeight="1">
      <c r="B632" s="1608" t="s">
        <v>1395</v>
      </c>
      <c r="C632" s="1608"/>
      <c r="D632" s="1608"/>
      <c r="E632" s="1608"/>
      <c r="F632" s="1608"/>
      <c r="G632" s="1608"/>
      <c r="H632" s="1608"/>
      <c r="I632" s="1608"/>
      <c r="J632" s="1608"/>
      <c r="K632" s="1608"/>
      <c r="L632" s="1608"/>
      <c r="M632" s="1421" t="s">
        <v>1396</v>
      </c>
      <c r="N632" s="1421"/>
      <c r="O632" s="1421"/>
      <c r="P632" s="1421"/>
      <c r="Q632" s="1421" t="s">
        <v>1429</v>
      </c>
      <c r="R632" s="1421"/>
      <c r="S632" s="1421"/>
      <c r="T632" s="1421" t="s">
        <v>1430</v>
      </c>
      <c r="U632" s="1421"/>
      <c r="V632" s="1421"/>
      <c r="W632" s="1635" t="s">
        <v>1399</v>
      </c>
      <c r="X632" s="1635"/>
      <c r="Y632" s="1635"/>
      <c r="Z632" s="1451" t="s">
        <v>1431</v>
      </c>
      <c r="AA632" s="1451"/>
      <c r="AB632" s="1452"/>
      <c r="AC632" s="1625" t="s">
        <v>1401</v>
      </c>
      <c r="AD632" s="1626"/>
      <c r="AE632" s="1627"/>
      <c r="AF632" s="1619" t="s">
        <v>1432</v>
      </c>
      <c r="AG632" s="1451"/>
      <c r="AH632" s="1451"/>
      <c r="AI632" s="1451"/>
      <c r="AJ632" s="1452"/>
      <c r="AK632" s="1636" t="s">
        <v>1433</v>
      </c>
      <c r="AL632" s="1637"/>
      <c r="AM632" s="1637"/>
      <c r="AN632" s="1638"/>
      <c r="AO632" s="1421" t="s">
        <v>1403</v>
      </c>
      <c r="AP632" s="1421"/>
      <c r="AQ632" s="1421"/>
      <c r="AR632" s="1421"/>
      <c r="AS632" s="1421"/>
      <c r="AU632" s="3"/>
      <c r="AZ632" s="3"/>
      <c r="BA632" s="3"/>
      <c r="BB632" s="3"/>
      <c r="BC632" s="3"/>
    </row>
    <row r="633" spans="1:56" ht="12.95" customHeight="1">
      <c r="B633" s="1608"/>
      <c r="C633" s="1608"/>
      <c r="D633" s="1608"/>
      <c r="E633" s="1608"/>
      <c r="F633" s="1608"/>
      <c r="G633" s="1608"/>
      <c r="H633" s="1608"/>
      <c r="I633" s="1608"/>
      <c r="J633" s="1608"/>
      <c r="K633" s="1608"/>
      <c r="L633" s="1608"/>
      <c r="M633" s="1421"/>
      <c r="N633" s="1421"/>
      <c r="O633" s="1421"/>
      <c r="P633" s="1421"/>
      <c r="Q633" s="1421"/>
      <c r="R633" s="1421"/>
      <c r="S633" s="1421"/>
      <c r="T633" s="1421"/>
      <c r="U633" s="1421"/>
      <c r="V633" s="1421"/>
      <c r="W633" s="1635"/>
      <c r="X633" s="1635"/>
      <c r="Y633" s="1635"/>
      <c r="Z633" s="1453"/>
      <c r="AA633" s="1453"/>
      <c r="AB633" s="1454"/>
      <c r="AC633" s="1628"/>
      <c r="AD633" s="1629"/>
      <c r="AE633" s="1630"/>
      <c r="AF633" s="1620"/>
      <c r="AG633" s="1453"/>
      <c r="AH633" s="1453"/>
      <c r="AI633" s="1453"/>
      <c r="AJ633" s="1454"/>
      <c r="AK633" s="1639"/>
      <c r="AL633" s="1640"/>
      <c r="AM633" s="1640"/>
      <c r="AN633" s="1641"/>
      <c r="AO633" s="1421"/>
      <c r="AP633" s="1421"/>
      <c r="AQ633" s="1421"/>
      <c r="AR633" s="1421"/>
      <c r="AS633" s="1421"/>
      <c r="AU633" s="3"/>
      <c r="AZ633" s="3"/>
      <c r="BA633" s="3"/>
      <c r="BB633" s="3"/>
      <c r="BC633" s="3"/>
      <c r="BD633" s="3"/>
    </row>
    <row r="634" spans="1:56" ht="12.95" customHeight="1">
      <c r="B634" s="1608"/>
      <c r="C634" s="1608"/>
      <c r="D634" s="1608"/>
      <c r="E634" s="1608"/>
      <c r="F634" s="1608"/>
      <c r="G634" s="1608"/>
      <c r="H634" s="1608"/>
      <c r="I634" s="1608"/>
      <c r="J634" s="1608"/>
      <c r="K634" s="1608"/>
      <c r="L634" s="1608"/>
      <c r="M634" s="1421"/>
      <c r="N634" s="1421"/>
      <c r="O634" s="1421"/>
      <c r="P634" s="1421"/>
      <c r="Q634" s="1421"/>
      <c r="R634" s="1421"/>
      <c r="S634" s="1421"/>
      <c r="T634" s="1421"/>
      <c r="U634" s="1421"/>
      <c r="V634" s="1421"/>
      <c r="W634" s="1635"/>
      <c r="X634" s="1635"/>
      <c r="Y634" s="1635"/>
      <c r="Z634" s="1455"/>
      <c r="AA634" s="1455"/>
      <c r="AB634" s="1456"/>
      <c r="AC634" s="1631"/>
      <c r="AD634" s="1632"/>
      <c r="AE634" s="1633"/>
      <c r="AF634" s="1621"/>
      <c r="AG634" s="1455"/>
      <c r="AH634" s="1455"/>
      <c r="AI634" s="1455"/>
      <c r="AJ634" s="1456"/>
      <c r="AK634" s="1642"/>
      <c r="AL634" s="1643"/>
      <c r="AM634" s="1643"/>
      <c r="AN634" s="1644"/>
      <c r="AO634" s="1421"/>
      <c r="AP634" s="1421"/>
      <c r="AQ634" s="1421"/>
      <c r="AR634" s="1421"/>
      <c r="AS634" s="1421"/>
      <c r="AT634" s="3"/>
      <c r="AU634" s="3"/>
      <c r="AZ634" s="3"/>
      <c r="BA634" s="3"/>
      <c r="BB634" s="3"/>
      <c r="BC634" s="3"/>
      <c r="BD634" s="3"/>
    </row>
    <row r="635" spans="1:56" ht="12.95" customHeight="1">
      <c r="B635" s="43" t="s">
        <v>18</v>
      </c>
      <c r="C635" s="1612" t="s">
        <v>1404</v>
      </c>
      <c r="D635" s="1612"/>
      <c r="E635" s="1612"/>
      <c r="F635" s="1612"/>
      <c r="G635" s="1612"/>
      <c r="H635" s="1612"/>
      <c r="I635" s="1612"/>
      <c r="J635" s="1612"/>
      <c r="K635" s="1612"/>
      <c r="L635" s="1612"/>
      <c r="M635" s="1467" t="s">
        <v>1378</v>
      </c>
      <c r="N635" s="1467"/>
      <c r="O635" s="1467"/>
      <c r="P635" s="1467"/>
      <c r="Q635" s="1434">
        <f>17*12</f>
        <v>204</v>
      </c>
      <c r="R635" s="1434"/>
      <c r="S635" s="1435"/>
      <c r="T635" s="1433">
        <f>40*12</f>
        <v>480</v>
      </c>
      <c r="U635" s="1434"/>
      <c r="V635" s="1435"/>
      <c r="W635" s="1609">
        <v>5.9499999999999997E-2</v>
      </c>
      <c r="X635" s="1610"/>
      <c r="Y635" s="1611"/>
      <c r="Z635" s="1595" t="s">
        <v>1434</v>
      </c>
      <c r="AA635" s="1596"/>
      <c r="AB635" s="1597"/>
      <c r="AC635" s="1422">
        <v>1</v>
      </c>
      <c r="AD635" s="1423"/>
      <c r="AE635" s="1424"/>
      <c r="AF635" s="1477">
        <f>PMT(W635/12,T635,-AO635)*12</f>
        <v>267155.20658552786</v>
      </c>
      <c r="AG635" s="1478"/>
      <c r="AH635" s="1478"/>
      <c r="AI635" s="1478"/>
      <c r="AJ635" s="1479"/>
      <c r="AK635" s="1412"/>
      <c r="AL635" s="1413"/>
      <c r="AM635" s="1413"/>
      <c r="AN635" s="1414"/>
      <c r="AO635" s="1432">
        <v>4072000</v>
      </c>
      <c r="AP635" s="1432"/>
      <c r="AQ635" s="1432"/>
      <c r="AR635" s="1432"/>
      <c r="AS635" s="1432"/>
      <c r="AT635" s="3"/>
      <c r="AU635" s="3"/>
      <c r="AZ635" s="3"/>
      <c r="BA635" s="3"/>
      <c r="BB635" s="3"/>
      <c r="BC635" s="3"/>
      <c r="BD635" s="3"/>
    </row>
    <row r="636" spans="1:56" ht="12.95" customHeight="1">
      <c r="B636" s="44" t="s">
        <v>31</v>
      </c>
      <c r="C636" s="1612" t="s">
        <v>1366</v>
      </c>
      <c r="D636" s="1612"/>
      <c r="E636" s="1612"/>
      <c r="F636" s="1612"/>
      <c r="G636" s="1612"/>
      <c r="H636" s="1612"/>
      <c r="I636" s="1612"/>
      <c r="J636" s="1612"/>
      <c r="K636" s="1612"/>
      <c r="L636" s="1612"/>
      <c r="M636" s="1467" t="s">
        <v>1374</v>
      </c>
      <c r="N636" s="1467"/>
      <c r="O636" s="1467"/>
      <c r="P636" s="1467"/>
      <c r="Q636" s="1433">
        <f>55*12</f>
        <v>660</v>
      </c>
      <c r="R636" s="1434"/>
      <c r="S636" s="1435"/>
      <c r="T636" s="1433"/>
      <c r="U636" s="1434"/>
      <c r="V636" s="1435"/>
      <c r="W636" s="1609">
        <v>0.03</v>
      </c>
      <c r="X636" s="1610"/>
      <c r="Y636" s="1611"/>
      <c r="Z636" s="1595" t="s">
        <v>1435</v>
      </c>
      <c r="AA636" s="1596"/>
      <c r="AB636" s="1597"/>
      <c r="AC636" s="1422">
        <v>2</v>
      </c>
      <c r="AD636" s="1423"/>
      <c r="AE636" s="1424"/>
      <c r="AF636" s="1477">
        <v>91819</v>
      </c>
      <c r="AG636" s="1478"/>
      <c r="AH636" s="1478"/>
      <c r="AI636" s="1478"/>
      <c r="AJ636" s="1479"/>
      <c r="AK636" s="1412"/>
      <c r="AL636" s="1413"/>
      <c r="AM636" s="1413"/>
      <c r="AN636" s="1414"/>
      <c r="AO636" s="1405">
        <v>21861776</v>
      </c>
      <c r="AP636" s="1406"/>
      <c r="AQ636" s="1406"/>
      <c r="AR636" s="1406"/>
      <c r="AS636" s="1407"/>
      <c r="AT636" s="1031" t="str">
        <f>IF(AND(NOT(C635=""),C636="",NOT(C637="")),"!","")</f>
        <v/>
      </c>
      <c r="AU636" s="3"/>
      <c r="AZ636" s="3"/>
      <c r="BA636" s="3"/>
      <c r="BB636" s="3"/>
      <c r="BC636" s="3"/>
      <c r="BD636" s="3"/>
    </row>
    <row r="637" spans="1:56" ht="12.95" customHeight="1">
      <c r="B637" s="44" t="s">
        <v>39</v>
      </c>
      <c r="C637" s="1612" t="s">
        <v>1436</v>
      </c>
      <c r="D637" s="1612"/>
      <c r="E637" s="1612"/>
      <c r="F637" s="1612"/>
      <c r="G637" s="1612"/>
      <c r="H637" s="1612"/>
      <c r="I637" s="1612"/>
      <c r="J637" s="1612"/>
      <c r="K637" s="1612"/>
      <c r="L637" s="1612"/>
      <c r="M637" s="1467" t="s">
        <v>1374</v>
      </c>
      <c r="N637" s="1467"/>
      <c r="O637" s="1467"/>
      <c r="P637" s="1467"/>
      <c r="Q637" s="1433">
        <f>40*12</f>
        <v>480</v>
      </c>
      <c r="R637" s="1434"/>
      <c r="S637" s="1435"/>
      <c r="T637" s="1433"/>
      <c r="U637" s="1434"/>
      <c r="V637" s="1435"/>
      <c r="W637" s="1609">
        <v>0.03</v>
      </c>
      <c r="X637" s="1610"/>
      <c r="Y637" s="1611"/>
      <c r="Z637" s="1595" t="s">
        <v>1435</v>
      </c>
      <c r="AA637" s="1596"/>
      <c r="AB637" s="1597"/>
      <c r="AC637" s="1422">
        <v>3</v>
      </c>
      <c r="AD637" s="1423"/>
      <c r="AE637" s="1424"/>
      <c r="AF637" s="1477"/>
      <c r="AG637" s="1478"/>
      <c r="AH637" s="1478"/>
      <c r="AI637" s="1478"/>
      <c r="AJ637" s="1479"/>
      <c r="AK637" s="1412"/>
      <c r="AL637" s="1413"/>
      <c r="AM637" s="1413"/>
      <c r="AN637" s="1414"/>
      <c r="AO637" s="1405">
        <v>2000000</v>
      </c>
      <c r="AP637" s="1406"/>
      <c r="AQ637" s="1406"/>
      <c r="AR637" s="1406"/>
      <c r="AS637" s="1407"/>
      <c r="AT637" s="1031" t="str">
        <f t="shared" ref="AT637:AT646" si="3">IF(AND(NOT(C636=""),C637="",NOT(C638="")),"!","")</f>
        <v/>
      </c>
      <c r="AU637" s="3"/>
      <c r="AZ637" s="3"/>
      <c r="BA637" s="3"/>
      <c r="BB637" s="3"/>
      <c r="BC637" s="3"/>
      <c r="BD637" s="3"/>
    </row>
    <row r="638" spans="1:56" ht="12.95" customHeight="1">
      <c r="B638" s="44" t="s">
        <v>82</v>
      </c>
      <c r="C638" s="1612" t="s">
        <v>1409</v>
      </c>
      <c r="D638" s="1612"/>
      <c r="E638" s="1612"/>
      <c r="F638" s="1612"/>
      <c r="G638" s="1612"/>
      <c r="H638" s="1612"/>
      <c r="I638" s="1612"/>
      <c r="J638" s="1612"/>
      <c r="K638" s="1612"/>
      <c r="L638" s="1612"/>
      <c r="M638" s="1467" t="s">
        <v>1357</v>
      </c>
      <c r="N638" s="1467"/>
      <c r="O638" s="1467"/>
      <c r="P638" s="1467"/>
      <c r="Q638" s="1433"/>
      <c r="R638" s="1434"/>
      <c r="S638" s="1435"/>
      <c r="T638" s="1433"/>
      <c r="U638" s="1434"/>
      <c r="V638" s="1435"/>
      <c r="W638" s="1609"/>
      <c r="X638" s="1610"/>
      <c r="Y638" s="1611"/>
      <c r="Z638" s="1595" t="s">
        <v>1437</v>
      </c>
      <c r="AA638" s="1596"/>
      <c r="AB638" s="1597"/>
      <c r="AC638" s="1422"/>
      <c r="AD638" s="1423"/>
      <c r="AE638" s="1424"/>
      <c r="AF638" s="1477"/>
      <c r="AG638" s="1478"/>
      <c r="AH638" s="1478"/>
      <c r="AI638" s="1478"/>
      <c r="AJ638" s="1479"/>
      <c r="AK638" s="1412"/>
      <c r="AL638" s="1413"/>
      <c r="AM638" s="1413"/>
      <c r="AN638" s="1414"/>
      <c r="AO638" s="1405">
        <v>4601752</v>
      </c>
      <c r="AP638" s="1406"/>
      <c r="AQ638" s="1406"/>
      <c r="AR638" s="1406"/>
      <c r="AS638" s="1407"/>
      <c r="AT638" s="1031" t="str">
        <f t="shared" si="3"/>
        <v/>
      </c>
      <c r="AU638" s="3"/>
      <c r="AZ638" s="3"/>
      <c r="BA638" s="3"/>
      <c r="BB638" s="3"/>
      <c r="BC638" s="3"/>
      <c r="BD638" s="3"/>
    </row>
    <row r="639" spans="1:56" ht="12.95" customHeight="1">
      <c r="B639" s="44" t="s">
        <v>86</v>
      </c>
      <c r="C639" s="1612"/>
      <c r="D639" s="1612"/>
      <c r="E639" s="1612"/>
      <c r="F639" s="1612"/>
      <c r="G639" s="1612"/>
      <c r="H639" s="1612"/>
      <c r="I639" s="1612"/>
      <c r="J639" s="1612"/>
      <c r="K639" s="1612"/>
      <c r="L639" s="1612"/>
      <c r="M639" s="1467" t="s">
        <v>1038</v>
      </c>
      <c r="N639" s="1467"/>
      <c r="O639" s="1467"/>
      <c r="P639" s="1467"/>
      <c r="Q639" s="1433"/>
      <c r="R639" s="1434"/>
      <c r="S639" s="1435"/>
      <c r="T639" s="1433"/>
      <c r="U639" s="1434"/>
      <c r="V639" s="1435"/>
      <c r="W639" s="1609"/>
      <c r="X639" s="1610"/>
      <c r="Y639" s="1611"/>
      <c r="Z639" s="1595" t="s">
        <v>1038</v>
      </c>
      <c r="AA639" s="1596"/>
      <c r="AB639" s="1597"/>
      <c r="AC639" s="1422"/>
      <c r="AD639" s="1423"/>
      <c r="AE639" s="1424"/>
      <c r="AF639" s="1477"/>
      <c r="AG639" s="1478"/>
      <c r="AH639" s="1478"/>
      <c r="AI639" s="1478"/>
      <c r="AJ639" s="1479"/>
      <c r="AK639" s="1412"/>
      <c r="AL639" s="1413"/>
      <c r="AM639" s="1413"/>
      <c r="AN639" s="1414"/>
      <c r="AO639" s="1405"/>
      <c r="AP639" s="1406"/>
      <c r="AQ639" s="1406"/>
      <c r="AR639" s="1406"/>
      <c r="AS639" s="1407"/>
      <c r="AT639" s="1031" t="str">
        <f t="shared" si="3"/>
        <v/>
      </c>
      <c r="AU639" s="3"/>
      <c r="AZ639" s="3"/>
      <c r="BA639" s="3"/>
      <c r="BB639" s="3"/>
      <c r="BC639" s="3"/>
      <c r="BD639" s="3"/>
    </row>
    <row r="640" spans="1:56" ht="12.95" customHeight="1">
      <c r="B640" s="44" t="s">
        <v>1410</v>
      </c>
      <c r="C640" s="1612"/>
      <c r="D640" s="1612"/>
      <c r="E640" s="1612"/>
      <c r="F640" s="1612"/>
      <c r="G640" s="1612"/>
      <c r="H640" s="1612"/>
      <c r="I640" s="1612"/>
      <c r="J640" s="1612"/>
      <c r="K640" s="1612"/>
      <c r="L640" s="1612"/>
      <c r="M640" s="1467" t="s">
        <v>1038</v>
      </c>
      <c r="N640" s="1467"/>
      <c r="O640" s="1467"/>
      <c r="P640" s="1467"/>
      <c r="Q640" s="1433"/>
      <c r="R640" s="1434"/>
      <c r="S640" s="1435"/>
      <c r="T640" s="1433"/>
      <c r="U640" s="1434"/>
      <c r="V640" s="1435"/>
      <c r="W640" s="1609"/>
      <c r="X640" s="1610"/>
      <c r="Y640" s="1611"/>
      <c r="Z640" s="1595" t="s">
        <v>1038</v>
      </c>
      <c r="AA640" s="1596"/>
      <c r="AB640" s="1597"/>
      <c r="AC640" s="1422"/>
      <c r="AD640" s="1423"/>
      <c r="AE640" s="1424"/>
      <c r="AF640" s="1477"/>
      <c r="AG640" s="1478"/>
      <c r="AH640" s="1478"/>
      <c r="AI640" s="1478"/>
      <c r="AJ640" s="1479"/>
      <c r="AK640" s="1412"/>
      <c r="AL640" s="1413"/>
      <c r="AM640" s="1413"/>
      <c r="AN640" s="1414"/>
      <c r="AO640" s="1405"/>
      <c r="AP640" s="1406"/>
      <c r="AQ640" s="1406"/>
      <c r="AR640" s="1406"/>
      <c r="AS640" s="1407"/>
      <c r="AT640" s="1031" t="str">
        <f t="shared" si="3"/>
        <v/>
      </c>
      <c r="AU640" s="3"/>
      <c r="AZ640" s="3"/>
      <c r="BA640" s="3"/>
      <c r="BB640" s="3"/>
      <c r="BC640" s="3"/>
      <c r="BD640" s="3"/>
    </row>
    <row r="641" spans="1:157" ht="12.95" customHeight="1">
      <c r="B641" s="44" t="s">
        <v>1412</v>
      </c>
      <c r="C641" s="1612"/>
      <c r="D641" s="1612"/>
      <c r="E641" s="1612"/>
      <c r="F641" s="1612"/>
      <c r="G641" s="1612"/>
      <c r="H641" s="1612"/>
      <c r="I641" s="1612"/>
      <c r="J641" s="1612"/>
      <c r="K641" s="1612"/>
      <c r="L641" s="1612"/>
      <c r="M641" s="1467" t="s">
        <v>1038</v>
      </c>
      <c r="N641" s="1467"/>
      <c r="O641" s="1467"/>
      <c r="P641" s="1467"/>
      <c r="Q641" s="1433"/>
      <c r="R641" s="1434"/>
      <c r="S641" s="1435"/>
      <c r="T641" s="1433"/>
      <c r="U641" s="1434"/>
      <c r="V641" s="1435"/>
      <c r="W641" s="1609"/>
      <c r="X641" s="1610"/>
      <c r="Y641" s="1611"/>
      <c r="Z641" s="1595" t="s">
        <v>1038</v>
      </c>
      <c r="AA641" s="1596"/>
      <c r="AB641" s="1597"/>
      <c r="AC641" s="1422"/>
      <c r="AD641" s="1423"/>
      <c r="AE641" s="1424"/>
      <c r="AF641" s="1477"/>
      <c r="AG641" s="1478"/>
      <c r="AH641" s="1478"/>
      <c r="AI641" s="1478"/>
      <c r="AJ641" s="1479"/>
      <c r="AK641" s="1412"/>
      <c r="AL641" s="1413"/>
      <c r="AM641" s="1413"/>
      <c r="AN641" s="1414"/>
      <c r="AO641" s="1405"/>
      <c r="AP641" s="1406"/>
      <c r="AQ641" s="1406"/>
      <c r="AR641" s="1406"/>
      <c r="AS641" s="1407"/>
      <c r="AT641" s="1031" t="str">
        <f t="shared" si="3"/>
        <v/>
      </c>
      <c r="AU641" s="3"/>
      <c r="AV641" s="3"/>
      <c r="AW641" s="3"/>
      <c r="AX641" s="3"/>
      <c r="AY641" s="3"/>
      <c r="AZ641" s="3"/>
      <c r="BA641" s="3"/>
      <c r="BB641" s="3"/>
      <c r="BC641" s="3"/>
      <c r="BD641" s="3"/>
    </row>
    <row r="642" spans="1:157" ht="12.95" customHeight="1">
      <c r="B642" s="44" t="s">
        <v>1413</v>
      </c>
      <c r="C642" s="1612"/>
      <c r="D642" s="1612"/>
      <c r="E642" s="1612"/>
      <c r="F642" s="1612"/>
      <c r="G642" s="1612"/>
      <c r="H642" s="1612"/>
      <c r="I642" s="1612"/>
      <c r="J642" s="1612"/>
      <c r="K642" s="1612"/>
      <c r="L642" s="1612"/>
      <c r="M642" s="1467" t="s">
        <v>1038</v>
      </c>
      <c r="N642" s="1467"/>
      <c r="O642" s="1467"/>
      <c r="P642" s="1467"/>
      <c r="Q642" s="1433"/>
      <c r="R642" s="1434"/>
      <c r="S642" s="1435"/>
      <c r="T642" s="1433"/>
      <c r="U642" s="1434"/>
      <c r="V642" s="1435"/>
      <c r="W642" s="1609"/>
      <c r="X642" s="1610"/>
      <c r="Y642" s="1611"/>
      <c r="Z642" s="1595" t="s">
        <v>1038</v>
      </c>
      <c r="AA642" s="1596"/>
      <c r="AB642" s="1597"/>
      <c r="AC642" s="1422"/>
      <c r="AD642" s="1423"/>
      <c r="AE642" s="1424"/>
      <c r="AF642" s="1477"/>
      <c r="AG642" s="1478"/>
      <c r="AH642" s="1478"/>
      <c r="AI642" s="1478"/>
      <c r="AJ642" s="1479"/>
      <c r="AK642" s="1412"/>
      <c r="AL642" s="1413"/>
      <c r="AM642" s="1413"/>
      <c r="AN642" s="1414"/>
      <c r="AO642" s="1405"/>
      <c r="AP642" s="1406"/>
      <c r="AQ642" s="1406"/>
      <c r="AR642" s="1406"/>
      <c r="AS642" s="1407"/>
      <c r="AT642" s="1031" t="str">
        <f t="shared" si="3"/>
        <v/>
      </c>
      <c r="AU642" s="3"/>
      <c r="AV642" s="3"/>
      <c r="AW642" s="3"/>
      <c r="AX642" s="3"/>
      <c r="AY642" s="3"/>
      <c r="AZ642" s="3"/>
      <c r="BA642" s="3" t="s">
        <v>1038</v>
      </c>
      <c r="BB642" s="3"/>
      <c r="BC642" s="3"/>
      <c r="BD642" s="3"/>
    </row>
    <row r="643" spans="1:157" ht="12.95" customHeight="1">
      <c r="B643" s="44" t="s">
        <v>1414</v>
      </c>
      <c r="C643" s="1612"/>
      <c r="D643" s="1612"/>
      <c r="E643" s="1612"/>
      <c r="F643" s="1612"/>
      <c r="G643" s="1612"/>
      <c r="H643" s="1612"/>
      <c r="I643" s="1612"/>
      <c r="J643" s="1612"/>
      <c r="K643" s="1612"/>
      <c r="L643" s="1612"/>
      <c r="M643" s="1467" t="s">
        <v>1038</v>
      </c>
      <c r="N643" s="1467"/>
      <c r="O643" s="1467"/>
      <c r="P643" s="1467"/>
      <c r="Q643" s="1433"/>
      <c r="R643" s="1434"/>
      <c r="S643" s="1435"/>
      <c r="T643" s="1433"/>
      <c r="U643" s="1434"/>
      <c r="V643" s="1435"/>
      <c r="W643" s="1609"/>
      <c r="X643" s="1610"/>
      <c r="Y643" s="1611"/>
      <c r="Z643" s="1595" t="s">
        <v>1038</v>
      </c>
      <c r="AA643" s="1596"/>
      <c r="AB643" s="1597"/>
      <c r="AC643" s="1422"/>
      <c r="AD643" s="1423"/>
      <c r="AE643" s="1424"/>
      <c r="AF643" s="1477"/>
      <c r="AG643" s="1478"/>
      <c r="AH643" s="1478"/>
      <c r="AI643" s="1478"/>
      <c r="AJ643" s="1479"/>
      <c r="AK643" s="1412"/>
      <c r="AL643" s="1413"/>
      <c r="AM643" s="1413"/>
      <c r="AN643" s="1414"/>
      <c r="AO643" s="1405"/>
      <c r="AP643" s="1406"/>
      <c r="AQ643" s="1406"/>
      <c r="AR643" s="1406"/>
      <c r="AS643" s="1407"/>
      <c r="AT643" s="1031" t="str">
        <f t="shared" si="3"/>
        <v/>
      </c>
      <c r="AU643" s="3"/>
      <c r="AV643" s="3"/>
      <c r="AW643" s="3"/>
      <c r="AX643" s="3"/>
      <c r="AY643" s="3"/>
      <c r="AZ643" s="3"/>
      <c r="BA643" s="3" t="s">
        <v>1437</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68" t="e">
        <f t="shared" ref="DX643:DX677" si="4">EZ726*(CP726/$CP$761)</f>
        <v>#VALUE!</v>
      </c>
      <c r="DY643" s="1468"/>
      <c r="DZ643" s="1468"/>
      <c r="EA643" s="1468"/>
      <c r="EB643" s="1468"/>
      <c r="EC643" s="1468">
        <f t="shared" ref="EC643:EC677" si="5">FE726*(CU726/$CU$761)</f>
        <v>208.31428571428572</v>
      </c>
      <c r="ED643" s="1468"/>
      <c r="EE643" s="1468"/>
      <c r="EF643" s="1468"/>
      <c r="EG643" s="1468"/>
      <c r="EH643" s="1468" t="e">
        <f t="shared" ref="EH643:EH677" si="6">FJ726*(CZ726/$CZ$761)</f>
        <v>#VALUE!</v>
      </c>
      <c r="EI643" s="1468"/>
      <c r="EJ643" s="1468"/>
      <c r="EK643" s="1468"/>
      <c r="EL643" s="1468"/>
      <c r="EM643" s="1468" t="e">
        <f t="shared" ref="EM643:EM677" si="7">FO726*(DE726/$DE$761)</f>
        <v>#VALUE!</v>
      </c>
      <c r="EN643" s="1468"/>
      <c r="EO643" s="1468"/>
      <c r="EP643" s="1468"/>
      <c r="EQ643" s="1468"/>
      <c r="ER643" s="1468" t="e">
        <f t="shared" ref="ER643:ER677" si="8">FT726*(DJ726/$DJ$761)</f>
        <v>#VALUE!</v>
      </c>
      <c r="ES643" s="1468"/>
      <c r="ET643" s="1468"/>
      <c r="EU643" s="1468"/>
      <c r="EV643" s="1468"/>
      <c r="EW643" s="1468" t="e">
        <f t="shared" ref="EW643:EW677" si="9">FY726*(DO726/$DO$761)</f>
        <v>#VALUE!</v>
      </c>
      <c r="EX643" s="1468"/>
      <c r="EY643" s="1468"/>
      <c r="EZ643" s="1468"/>
      <c r="FA643" s="1468"/>
    </row>
    <row r="644" spans="1:157" ht="12.95" customHeight="1">
      <c r="B644" s="44" t="s">
        <v>1415</v>
      </c>
      <c r="C644" s="1612"/>
      <c r="D644" s="1612"/>
      <c r="E644" s="1612"/>
      <c r="F644" s="1612"/>
      <c r="G644" s="1612"/>
      <c r="H644" s="1612"/>
      <c r="I644" s="1612"/>
      <c r="J644" s="1612"/>
      <c r="K644" s="1612"/>
      <c r="L644" s="1612"/>
      <c r="M644" s="1467" t="s">
        <v>1038</v>
      </c>
      <c r="N644" s="1467"/>
      <c r="O644" s="1467"/>
      <c r="P644" s="1467"/>
      <c r="Q644" s="1433"/>
      <c r="R644" s="1434"/>
      <c r="S644" s="1435"/>
      <c r="T644" s="1433"/>
      <c r="U644" s="1434"/>
      <c r="V644" s="1435"/>
      <c r="W644" s="1609"/>
      <c r="X644" s="1610"/>
      <c r="Y644" s="1611"/>
      <c r="Z644" s="1595" t="s">
        <v>1038</v>
      </c>
      <c r="AA644" s="1596"/>
      <c r="AB644" s="1597"/>
      <c r="AC644" s="1422"/>
      <c r="AD644" s="1423"/>
      <c r="AE644" s="1424"/>
      <c r="AF644" s="1477"/>
      <c r="AG644" s="1478"/>
      <c r="AH644" s="1478"/>
      <c r="AI644" s="1478"/>
      <c r="AJ644" s="1479"/>
      <c r="AK644" s="1412"/>
      <c r="AL644" s="1413"/>
      <c r="AM644" s="1413"/>
      <c r="AN644" s="1414"/>
      <c r="AO644" s="1405"/>
      <c r="AP644" s="1406"/>
      <c r="AQ644" s="1406"/>
      <c r="AR644" s="1406"/>
      <c r="AS644" s="1407"/>
      <c r="AT644" s="1031" t="str">
        <f t="shared" si="3"/>
        <v/>
      </c>
      <c r="AV644" s="3"/>
      <c r="AW644" s="3"/>
      <c r="AX644" s="3"/>
      <c r="AY644" s="3"/>
      <c r="AZ644" s="3"/>
      <c r="BA644" s="3" t="s">
        <v>1435</v>
      </c>
      <c r="BB644" s="3"/>
      <c r="BC644" s="3"/>
      <c r="BD644" s="3"/>
      <c r="BE644" s="3"/>
      <c r="BF644" s="3"/>
      <c r="BG644" s="3"/>
      <c r="BH644" s="3"/>
      <c r="BI644" s="3"/>
      <c r="BJ644" s="3"/>
      <c r="BK644" s="3"/>
      <c r="BL644" s="3"/>
      <c r="BM644" s="3"/>
      <c r="DA644" s="3"/>
      <c r="DB644" s="3"/>
      <c r="DC644" s="3"/>
      <c r="DD644" s="3"/>
      <c r="DE644" s="3"/>
      <c r="DF644" s="3"/>
      <c r="DX644" s="1468" t="e">
        <f t="shared" si="4"/>
        <v>#VALUE!</v>
      </c>
      <c r="DY644" s="1468"/>
      <c r="DZ644" s="1468"/>
      <c r="EA644" s="1468"/>
      <c r="EB644" s="1468"/>
      <c r="EC644" s="1468" t="e">
        <f t="shared" si="5"/>
        <v>#VALUE!</v>
      </c>
      <c r="ED644" s="1468"/>
      <c r="EE644" s="1468"/>
      <c r="EF644" s="1468"/>
      <c r="EG644" s="1468"/>
      <c r="EH644" s="1468">
        <f t="shared" si="6"/>
        <v>174</v>
      </c>
      <c r="EI644" s="1468"/>
      <c r="EJ644" s="1468"/>
      <c r="EK644" s="1468"/>
      <c r="EL644" s="1468"/>
      <c r="EM644" s="1468" t="e">
        <f t="shared" si="7"/>
        <v>#VALUE!</v>
      </c>
      <c r="EN644" s="1468"/>
      <c r="EO644" s="1468"/>
      <c r="EP644" s="1468"/>
      <c r="EQ644" s="1468"/>
      <c r="ER644" s="1468" t="e">
        <f t="shared" si="8"/>
        <v>#VALUE!</v>
      </c>
      <c r="ES644" s="1468"/>
      <c r="ET644" s="1468"/>
      <c r="EU644" s="1468"/>
      <c r="EV644" s="1468"/>
      <c r="EW644" s="1468" t="e">
        <f t="shared" si="9"/>
        <v>#VALUE!</v>
      </c>
      <c r="EX644" s="1468"/>
      <c r="EY644" s="1468"/>
      <c r="EZ644" s="1468"/>
      <c r="FA644" s="1468"/>
    </row>
    <row r="645" spans="1:157" ht="12.95" customHeight="1">
      <c r="B645" s="44" t="s">
        <v>1416</v>
      </c>
      <c r="C645" s="1612"/>
      <c r="D645" s="1612"/>
      <c r="E645" s="1612"/>
      <c r="F645" s="1612"/>
      <c r="G645" s="1612"/>
      <c r="H645" s="1612"/>
      <c r="I645" s="1612"/>
      <c r="J645" s="1612"/>
      <c r="K645" s="1612"/>
      <c r="L645" s="1612"/>
      <c r="M645" s="1467" t="s">
        <v>1038</v>
      </c>
      <c r="N645" s="1467"/>
      <c r="O645" s="1467"/>
      <c r="P645" s="1467"/>
      <c r="Q645" s="1433"/>
      <c r="R645" s="1434"/>
      <c r="S645" s="1435"/>
      <c r="T645" s="1433"/>
      <c r="U645" s="1434"/>
      <c r="V645" s="1435"/>
      <c r="W645" s="1609"/>
      <c r="X645" s="1610"/>
      <c r="Y645" s="1611"/>
      <c r="Z645" s="1595" t="s">
        <v>1038</v>
      </c>
      <c r="AA645" s="1596"/>
      <c r="AB645" s="1597"/>
      <c r="AC645" s="1422"/>
      <c r="AD645" s="1423"/>
      <c r="AE645" s="1424"/>
      <c r="AF645" s="1477"/>
      <c r="AG645" s="1478"/>
      <c r="AH645" s="1478"/>
      <c r="AI645" s="1478"/>
      <c r="AJ645" s="1479"/>
      <c r="AK645" s="1412"/>
      <c r="AL645" s="1413"/>
      <c r="AM645" s="1413"/>
      <c r="AN645" s="1414"/>
      <c r="AO645" s="1405"/>
      <c r="AP645" s="1406"/>
      <c r="AQ645" s="1406"/>
      <c r="AR645" s="1406"/>
      <c r="AS645" s="1407"/>
      <c r="AT645" s="1031" t="str">
        <f t="shared" si="3"/>
        <v/>
      </c>
      <c r="AV645" s="3"/>
      <c r="AW645" s="3"/>
      <c r="AX645" s="3"/>
      <c r="AY645" s="3"/>
      <c r="AZ645" s="3"/>
      <c r="BA645" s="3" t="s">
        <v>1434</v>
      </c>
      <c r="BB645" s="3"/>
      <c r="BC645" s="3"/>
      <c r="BD645" s="3"/>
      <c r="BE645" s="3"/>
      <c r="BF645" s="3"/>
      <c r="BG645" s="3"/>
      <c r="BH645" s="3"/>
      <c r="BI645" s="3"/>
      <c r="BJ645" s="3"/>
      <c r="BK645" s="3"/>
      <c r="BL645" s="3"/>
      <c r="BM645" s="3"/>
      <c r="DA645" s="3"/>
      <c r="DB645" s="3"/>
      <c r="DC645" s="3"/>
      <c r="DD645" s="3"/>
      <c r="DE645" s="3"/>
      <c r="DF645" s="3"/>
      <c r="DX645" s="1468" t="e">
        <f t="shared" si="4"/>
        <v>#VALUE!</v>
      </c>
      <c r="DY645" s="1468"/>
      <c r="DZ645" s="1468"/>
      <c r="EA645" s="1468"/>
      <c r="EB645" s="1468"/>
      <c r="EC645" s="1468">
        <f t="shared" si="5"/>
        <v>335.09999999999997</v>
      </c>
      <c r="ED645" s="1468"/>
      <c r="EE645" s="1468"/>
      <c r="EF645" s="1468"/>
      <c r="EG645" s="1468"/>
      <c r="EH645" s="1468" t="e">
        <f t="shared" si="6"/>
        <v>#VALUE!</v>
      </c>
      <c r="EI645" s="1468"/>
      <c r="EJ645" s="1468"/>
      <c r="EK645" s="1468"/>
      <c r="EL645" s="1468"/>
      <c r="EM645" s="1468" t="e">
        <f t="shared" si="7"/>
        <v>#VALUE!</v>
      </c>
      <c r="EN645" s="1468"/>
      <c r="EO645" s="1468"/>
      <c r="EP645" s="1468"/>
      <c r="EQ645" s="1468"/>
      <c r="ER645" s="1468" t="e">
        <f t="shared" si="8"/>
        <v>#VALUE!</v>
      </c>
      <c r="ES645" s="1468"/>
      <c r="ET645" s="1468"/>
      <c r="EU645" s="1468"/>
      <c r="EV645" s="1468"/>
      <c r="EW645" s="1468" t="e">
        <f t="shared" si="9"/>
        <v>#VALUE!</v>
      </c>
      <c r="EX645" s="1468"/>
      <c r="EY645" s="1468"/>
      <c r="EZ645" s="1468"/>
      <c r="FA645" s="1468"/>
    </row>
    <row r="646" spans="1:157" ht="12.95" customHeight="1">
      <c r="B646" s="44" t="s">
        <v>1417</v>
      </c>
      <c r="C646" s="1612"/>
      <c r="D646" s="1612"/>
      <c r="E646" s="1612"/>
      <c r="F646" s="1612"/>
      <c r="G646" s="1612"/>
      <c r="H646" s="1612"/>
      <c r="I646" s="1612"/>
      <c r="J646" s="1612"/>
      <c r="K646" s="1612"/>
      <c r="L646" s="1612"/>
      <c r="M646" s="1467" t="s">
        <v>1038</v>
      </c>
      <c r="N646" s="1467"/>
      <c r="O646" s="1467"/>
      <c r="P646" s="1467"/>
      <c r="Q646" s="1433"/>
      <c r="R646" s="1434"/>
      <c r="S646" s="1435"/>
      <c r="T646" s="1433"/>
      <c r="U646" s="1434"/>
      <c r="V646" s="1435"/>
      <c r="W646" s="1609"/>
      <c r="X646" s="1610"/>
      <c r="Y646" s="1611"/>
      <c r="Z646" s="1595" t="s">
        <v>1038</v>
      </c>
      <c r="AA646" s="1596"/>
      <c r="AB646" s="1597"/>
      <c r="AC646" s="1422"/>
      <c r="AD646" s="1423"/>
      <c r="AE646" s="1424"/>
      <c r="AF646" s="1477"/>
      <c r="AG646" s="1478"/>
      <c r="AH646" s="1478"/>
      <c r="AI646" s="1478"/>
      <c r="AJ646" s="1479"/>
      <c r="AK646" s="1412"/>
      <c r="AL646" s="1413"/>
      <c r="AM646" s="1413"/>
      <c r="AN646" s="1414"/>
      <c r="AO646" s="1405"/>
      <c r="AP646" s="1406"/>
      <c r="AQ646" s="1406"/>
      <c r="AR646" s="1406"/>
      <c r="AS646" s="1407"/>
      <c r="AT646" s="1031" t="str">
        <f t="shared" si="3"/>
        <v/>
      </c>
      <c r="AV646" s="3"/>
      <c r="AW646" s="3"/>
      <c r="AX646" s="3"/>
      <c r="AY646" s="3"/>
      <c r="AZ646" s="3"/>
      <c r="BA646" s="3" t="s">
        <v>1063</v>
      </c>
      <c r="BB646" s="3"/>
      <c r="BC646" s="3"/>
      <c r="BD646" s="3"/>
      <c r="BE646" s="3"/>
      <c r="BF646" s="3"/>
      <c r="BG646" s="3"/>
      <c r="BH646" s="3"/>
      <c r="BI646" s="3"/>
      <c r="BJ646" s="3"/>
      <c r="BK646" s="3"/>
      <c r="BL646" s="3"/>
      <c r="BM646" s="3"/>
      <c r="DA646" s="3"/>
      <c r="DB646" s="3"/>
      <c r="DC646" s="3"/>
      <c r="DD646" s="3"/>
      <c r="DE646" s="3"/>
      <c r="DF646" s="3"/>
      <c r="DX646" s="1468" t="e">
        <f t="shared" si="4"/>
        <v>#VALUE!</v>
      </c>
      <c r="DY646" s="1468"/>
      <c r="DZ646" s="1468"/>
      <c r="EA646" s="1468"/>
      <c r="EB646" s="1468"/>
      <c r="EC646" s="1468" t="e">
        <f t="shared" si="5"/>
        <v>#VALUE!</v>
      </c>
      <c r="ED646" s="1468"/>
      <c r="EE646" s="1468"/>
      <c r="EF646" s="1468"/>
      <c r="EG646" s="1468"/>
      <c r="EH646" s="1468">
        <f t="shared" si="6"/>
        <v>410.15384615384619</v>
      </c>
      <c r="EI646" s="1468"/>
      <c r="EJ646" s="1468"/>
      <c r="EK646" s="1468"/>
      <c r="EL646" s="1468"/>
      <c r="EM646" s="1468" t="e">
        <f t="shared" si="7"/>
        <v>#VALUE!</v>
      </c>
      <c r="EN646" s="1468"/>
      <c r="EO646" s="1468"/>
      <c r="EP646" s="1468"/>
      <c r="EQ646" s="1468"/>
      <c r="ER646" s="1468" t="e">
        <f t="shared" si="8"/>
        <v>#VALUE!</v>
      </c>
      <c r="ES646" s="1468"/>
      <c r="ET646" s="1468"/>
      <c r="EU646" s="1468"/>
      <c r="EV646" s="1468"/>
      <c r="EW646" s="1468" t="e">
        <f t="shared" si="9"/>
        <v>#VALUE!</v>
      </c>
      <c r="EX646" s="1468"/>
      <c r="EY646" s="1468"/>
      <c r="EZ646" s="1468"/>
      <c r="FA646" s="1468"/>
    </row>
    <row r="647" spans="1:157" ht="12.95" customHeight="1">
      <c r="B647" s="1469" t="s">
        <v>1438</v>
      </c>
      <c r="C647" s="1470"/>
      <c r="D647" s="1470"/>
      <c r="E647" s="1470"/>
      <c r="F647" s="1470"/>
      <c r="G647" s="1470"/>
      <c r="H647" s="1470"/>
      <c r="I647" s="1470"/>
      <c r="J647" s="1470"/>
      <c r="K647" s="1470"/>
      <c r="L647" s="1470"/>
      <c r="M647" s="1470"/>
      <c r="N647" s="1470"/>
      <c r="O647" s="1470"/>
      <c r="P647" s="1470"/>
      <c r="Q647" s="1470"/>
      <c r="R647" s="1470"/>
      <c r="S647" s="1470"/>
      <c r="T647" s="1470"/>
      <c r="U647" s="1470"/>
      <c r="V647" s="1470"/>
      <c r="W647" s="1470"/>
      <c r="X647" s="1470"/>
      <c r="Y647" s="1470"/>
      <c r="Z647" s="1470"/>
      <c r="AA647" s="1470"/>
      <c r="AB647" s="1470"/>
      <c r="AC647" s="1470"/>
      <c r="AD647" s="1470"/>
      <c r="AE647" s="1470"/>
      <c r="AF647" s="1470"/>
      <c r="AG647" s="1470"/>
      <c r="AH647" s="1470"/>
      <c r="AI647" s="1470"/>
      <c r="AJ647" s="1470"/>
      <c r="AK647" s="1470"/>
      <c r="AL647" s="1470"/>
      <c r="AM647" s="1470"/>
      <c r="AN647" s="1471"/>
      <c r="AO647" s="1460">
        <f>SUM(AO635:AR646)</f>
        <v>32535528</v>
      </c>
      <c r="AP647" s="1461"/>
      <c r="AQ647" s="1461"/>
      <c r="AR647" s="1461"/>
      <c r="AS647" s="146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68" t="e">
        <f t="shared" si="4"/>
        <v>#VALUE!</v>
      </c>
      <c r="DY647" s="1468"/>
      <c r="DZ647" s="1468"/>
      <c r="EA647" s="1468"/>
      <c r="EB647" s="1468"/>
      <c r="EC647" s="1468">
        <f t="shared" si="5"/>
        <v>349.2</v>
      </c>
      <c r="ED647" s="1468"/>
      <c r="EE647" s="1468"/>
      <c r="EF647" s="1468"/>
      <c r="EG647" s="1468"/>
      <c r="EH647" s="1468" t="e">
        <f t="shared" si="6"/>
        <v>#VALUE!</v>
      </c>
      <c r="EI647" s="1468"/>
      <c r="EJ647" s="1468"/>
      <c r="EK647" s="1468"/>
      <c r="EL647" s="1468"/>
      <c r="EM647" s="1468" t="e">
        <f t="shared" si="7"/>
        <v>#VALUE!</v>
      </c>
      <c r="EN647" s="1468"/>
      <c r="EO647" s="1468"/>
      <c r="EP647" s="1468"/>
      <c r="EQ647" s="1468"/>
      <c r="ER647" s="1468" t="e">
        <f t="shared" si="8"/>
        <v>#VALUE!</v>
      </c>
      <c r="ES647" s="1468"/>
      <c r="ET647" s="1468"/>
      <c r="EU647" s="1468"/>
      <c r="EV647" s="1468"/>
      <c r="EW647" s="1468" t="e">
        <f t="shared" si="9"/>
        <v>#VALUE!</v>
      </c>
      <c r="EX647" s="1468"/>
      <c r="EY647" s="1468"/>
      <c r="EZ647" s="1468"/>
      <c r="FA647" s="1468"/>
    </row>
    <row r="648" spans="1:157" ht="12.95" customHeight="1">
      <c r="B648" s="1469" t="s">
        <v>1439</v>
      </c>
      <c r="C648" s="1470"/>
      <c r="D648" s="1470"/>
      <c r="E648" s="1470"/>
      <c r="F648" s="1470"/>
      <c r="G648" s="1470"/>
      <c r="H648" s="1470"/>
      <c r="I648" s="1470"/>
      <c r="J648" s="1470"/>
      <c r="K648" s="1470"/>
      <c r="L648" s="1470"/>
      <c r="M648" s="1470"/>
      <c r="N648" s="1470"/>
      <c r="O648" s="1470"/>
      <c r="P648" s="1470"/>
      <c r="Q648" s="1470"/>
      <c r="R648" s="1470"/>
      <c r="S648" s="1470"/>
      <c r="T648" s="1470"/>
      <c r="U648" s="1470"/>
      <c r="V648" s="1470"/>
      <c r="W648" s="1470"/>
      <c r="X648" s="1470"/>
      <c r="Y648" s="1470"/>
      <c r="Z648" s="1470"/>
      <c r="AA648" s="1470"/>
      <c r="AB648" s="1470"/>
      <c r="AC648" s="1470"/>
      <c r="AD648" s="1470"/>
      <c r="AE648" s="1470"/>
      <c r="AF648" s="1470"/>
      <c r="AG648" s="1470"/>
      <c r="AH648" s="1470"/>
      <c r="AI648" s="1470"/>
      <c r="AJ648" s="1470"/>
      <c r="AK648" s="1470"/>
      <c r="AL648" s="1470"/>
      <c r="AM648" s="1470"/>
      <c r="AN648" s="1471"/>
      <c r="AO648" s="1405">
        <v>34200844</v>
      </c>
      <c r="AP648" s="1406"/>
      <c r="AQ648" s="1406"/>
      <c r="AR648" s="1406"/>
      <c r="AS648" s="140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68" t="e">
        <f t="shared" si="4"/>
        <v>#VALUE!</v>
      </c>
      <c r="DY648" s="1468"/>
      <c r="DZ648" s="1468"/>
      <c r="EA648" s="1468"/>
      <c r="EB648" s="1468"/>
      <c r="EC648" s="1468" t="e">
        <f t="shared" si="5"/>
        <v>#VALUE!</v>
      </c>
      <c r="ED648" s="1468"/>
      <c r="EE648" s="1468"/>
      <c r="EF648" s="1468"/>
      <c r="EG648" s="1468"/>
      <c r="EH648" s="1468">
        <f t="shared" si="6"/>
        <v>499.38461538461542</v>
      </c>
      <c r="EI648" s="1468"/>
      <c r="EJ648" s="1468"/>
      <c r="EK648" s="1468"/>
      <c r="EL648" s="1468"/>
      <c r="EM648" s="1468" t="e">
        <f t="shared" si="7"/>
        <v>#VALUE!</v>
      </c>
      <c r="EN648" s="1468"/>
      <c r="EO648" s="1468"/>
      <c r="EP648" s="1468"/>
      <c r="EQ648" s="1468"/>
      <c r="ER648" s="1468" t="e">
        <f t="shared" si="8"/>
        <v>#VALUE!</v>
      </c>
      <c r="ES648" s="1468"/>
      <c r="ET648" s="1468"/>
      <c r="EU648" s="1468"/>
      <c r="EV648" s="1468"/>
      <c r="EW648" s="1468" t="e">
        <f t="shared" si="9"/>
        <v>#VALUE!</v>
      </c>
      <c r="EX648" s="1468"/>
      <c r="EY648" s="1468"/>
      <c r="EZ648" s="1468"/>
      <c r="FA648" s="1468"/>
    </row>
    <row r="649" spans="1:157" ht="12.95" customHeight="1">
      <c r="B649" s="1613" t="s">
        <v>1440</v>
      </c>
      <c r="C649" s="1614"/>
      <c r="D649" s="1614"/>
      <c r="E649" s="1614"/>
      <c r="F649" s="1614"/>
      <c r="G649" s="1614"/>
      <c r="H649" s="1614"/>
      <c r="I649" s="1614"/>
      <c r="J649" s="1614"/>
      <c r="K649" s="1614"/>
      <c r="L649" s="1614"/>
      <c r="M649" s="1614"/>
      <c r="N649" s="1614"/>
      <c r="O649" s="1614"/>
      <c r="P649" s="1614"/>
      <c r="Q649" s="1614"/>
      <c r="R649" s="1614"/>
      <c r="S649" s="1614"/>
      <c r="T649" s="1614"/>
      <c r="U649" s="1614"/>
      <c r="V649" s="1614"/>
      <c r="W649" s="1614"/>
      <c r="X649" s="1614"/>
      <c r="Y649" s="1614"/>
      <c r="Z649" s="1614"/>
      <c r="AA649" s="1614"/>
      <c r="AB649" s="1614"/>
      <c r="AC649" s="1614"/>
      <c r="AD649" s="1614"/>
      <c r="AE649" s="1614"/>
      <c r="AF649" s="1614"/>
      <c r="AG649" s="1614"/>
      <c r="AH649" s="1614"/>
      <c r="AI649" s="1614"/>
      <c r="AJ649" s="1614"/>
      <c r="AK649" s="1614"/>
      <c r="AL649" s="1614"/>
      <c r="AM649" s="1614"/>
      <c r="AN649" s="1615"/>
      <c r="AO649" s="1460">
        <f>AO647+AO648</f>
        <v>66736372</v>
      </c>
      <c r="AP649" s="1461"/>
      <c r="AQ649" s="1461"/>
      <c r="AR649" s="1461"/>
      <c r="AS649" s="146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68" t="e">
        <f t="shared" si="4"/>
        <v>#VALUE!</v>
      </c>
      <c r="DY649" s="1468"/>
      <c r="DZ649" s="1468"/>
      <c r="EA649" s="1468"/>
      <c r="EB649" s="1468"/>
      <c r="EC649" s="1468">
        <f t="shared" si="5"/>
        <v>190.97142857142856</v>
      </c>
      <c r="ED649" s="1468"/>
      <c r="EE649" s="1468"/>
      <c r="EF649" s="1468"/>
      <c r="EG649" s="1468"/>
      <c r="EH649" s="1468" t="e">
        <f t="shared" si="6"/>
        <v>#VALUE!</v>
      </c>
      <c r="EI649" s="1468"/>
      <c r="EJ649" s="1468"/>
      <c r="EK649" s="1468"/>
      <c r="EL649" s="1468"/>
      <c r="EM649" s="1468" t="e">
        <f t="shared" si="7"/>
        <v>#VALUE!</v>
      </c>
      <c r="EN649" s="1468"/>
      <c r="EO649" s="1468"/>
      <c r="EP649" s="1468"/>
      <c r="EQ649" s="1468"/>
      <c r="ER649" s="1468" t="e">
        <f t="shared" si="8"/>
        <v>#VALUE!</v>
      </c>
      <c r="ES649" s="1468"/>
      <c r="ET649" s="1468"/>
      <c r="EU649" s="1468"/>
      <c r="EV649" s="1468"/>
      <c r="EW649" s="1468" t="e">
        <f t="shared" si="9"/>
        <v>#VALUE!</v>
      </c>
      <c r="EX649" s="1468"/>
      <c r="EY649" s="1468"/>
      <c r="EZ649" s="1468"/>
      <c r="FA649" s="1468"/>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68" t="e">
        <f t="shared" si="4"/>
        <v>#VALUE!</v>
      </c>
      <c r="DY650" s="1468"/>
      <c r="DZ650" s="1468"/>
      <c r="EA650" s="1468"/>
      <c r="EB650" s="1468"/>
      <c r="EC650" s="1468" t="e">
        <f t="shared" si="5"/>
        <v>#VALUE!</v>
      </c>
      <c r="ED650" s="1468"/>
      <c r="EE650" s="1468"/>
      <c r="EF650" s="1468"/>
      <c r="EG650" s="1468"/>
      <c r="EH650" s="1468">
        <f t="shared" si="6"/>
        <v>338.76923076923077</v>
      </c>
      <c r="EI650" s="1468"/>
      <c r="EJ650" s="1468"/>
      <c r="EK650" s="1468"/>
      <c r="EL650" s="1468"/>
      <c r="EM650" s="1468" t="e">
        <f t="shared" si="7"/>
        <v>#VALUE!</v>
      </c>
      <c r="EN650" s="1468"/>
      <c r="EO650" s="1468"/>
      <c r="EP650" s="1468"/>
      <c r="EQ650" s="1468"/>
      <c r="ER650" s="1468" t="e">
        <f t="shared" si="8"/>
        <v>#VALUE!</v>
      </c>
      <c r="ES650" s="1468"/>
      <c r="ET650" s="1468"/>
      <c r="EU650" s="1468"/>
      <c r="EV650" s="1468"/>
      <c r="EW650" s="1468" t="e">
        <f t="shared" si="9"/>
        <v>#VALUE!</v>
      </c>
      <c r="EX650" s="1468"/>
      <c r="EY650" s="1468"/>
      <c r="EZ650" s="1468"/>
      <c r="FA650" s="1468"/>
    </row>
    <row r="651" spans="1:157" ht="12.95" customHeight="1">
      <c r="A651" s="47" t="s">
        <v>18</v>
      </c>
      <c r="B651" t="s">
        <v>1419</v>
      </c>
      <c r="G651" s="1408" t="str">
        <f>C635</f>
        <v>US Bank</v>
      </c>
      <c r="H651" s="1408"/>
      <c r="I651" s="1408"/>
      <c r="J651" s="1408"/>
      <c r="K651" s="1408"/>
      <c r="L651" s="1408"/>
      <c r="M651" s="1408"/>
      <c r="N651" s="1408"/>
      <c r="O651" s="1408"/>
      <c r="P651" s="1408"/>
      <c r="Q651" s="1408"/>
      <c r="R651" s="1408"/>
      <c r="S651" s="7"/>
      <c r="T651" s="47" t="s">
        <v>31</v>
      </c>
      <c r="U651" t="s">
        <v>1419</v>
      </c>
      <c r="Z651" s="1408" t="str">
        <f>C636</f>
        <v>HCD AHSC</v>
      </c>
      <c r="AA651" s="1408"/>
      <c r="AB651" s="1408"/>
      <c r="AC651" s="1408"/>
      <c r="AD651" s="1408"/>
      <c r="AE651" s="1408"/>
      <c r="AF651" s="1408"/>
      <c r="AG651" s="1408"/>
      <c r="AH651" s="1408"/>
      <c r="AI651" s="1408"/>
      <c r="AJ651" s="1408"/>
      <c r="AK651" s="140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68" t="e">
        <f t="shared" si="4"/>
        <v>#VALUE!</v>
      </c>
      <c r="DY651" s="1468"/>
      <c r="DZ651" s="1468"/>
      <c r="EA651" s="1468"/>
      <c r="EB651" s="1468"/>
      <c r="EC651" s="1468" t="e">
        <f t="shared" si="5"/>
        <v>#VALUE!</v>
      </c>
      <c r="ED651" s="1468"/>
      <c r="EE651" s="1468"/>
      <c r="EF651" s="1468"/>
      <c r="EG651" s="1468"/>
      <c r="EH651" s="1468" t="e">
        <f t="shared" si="6"/>
        <v>#VALUE!</v>
      </c>
      <c r="EI651" s="1468"/>
      <c r="EJ651" s="1468"/>
      <c r="EK651" s="1468"/>
      <c r="EL651" s="1468"/>
      <c r="EM651" s="1468" t="e">
        <f t="shared" si="7"/>
        <v>#VALUE!</v>
      </c>
      <c r="EN651" s="1468"/>
      <c r="EO651" s="1468"/>
      <c r="EP651" s="1468"/>
      <c r="EQ651" s="1468"/>
      <c r="ER651" s="1468" t="e">
        <f t="shared" si="8"/>
        <v>#VALUE!</v>
      </c>
      <c r="ES651" s="1468"/>
      <c r="ET651" s="1468"/>
      <c r="EU651" s="1468"/>
      <c r="EV651" s="1468"/>
      <c r="EW651" s="1468" t="e">
        <f t="shared" si="9"/>
        <v>#VALUE!</v>
      </c>
      <c r="EX651" s="1468"/>
      <c r="EY651" s="1468"/>
      <c r="EZ651" s="1468"/>
      <c r="FA651" s="1468"/>
    </row>
    <row r="652" spans="1:157" ht="12.95" customHeight="1">
      <c r="A652" s="19"/>
      <c r="B652" t="s">
        <v>1076</v>
      </c>
      <c r="G652" s="1450" t="s">
        <v>1420</v>
      </c>
      <c r="H652" s="1450"/>
      <c r="I652" s="1450"/>
      <c r="J652" s="1450"/>
      <c r="K652" s="1450"/>
      <c r="L652" s="1450"/>
      <c r="M652" s="1450"/>
      <c r="N652" s="1450"/>
      <c r="O652" s="1450"/>
      <c r="P652" s="1450"/>
      <c r="Q652" s="1450"/>
      <c r="R652" s="1450"/>
      <c r="S652" s="7"/>
      <c r="T652" s="19"/>
      <c r="U652" t="s">
        <v>1076</v>
      </c>
      <c r="Z652" s="1450" t="s">
        <v>1441</v>
      </c>
      <c r="AA652" s="1450"/>
      <c r="AB652" s="1450"/>
      <c r="AC652" s="1450"/>
      <c r="AD652" s="1450"/>
      <c r="AE652" s="1450"/>
      <c r="AF652" s="1450"/>
      <c r="AG652" s="1450"/>
      <c r="AH652" s="1450"/>
      <c r="AI652" s="1450"/>
      <c r="AJ652" s="1450"/>
      <c r="AK652" s="1450"/>
      <c r="AV652" s="3"/>
      <c r="AW652" s="3"/>
      <c r="AX652" s="3"/>
      <c r="AY652" s="3"/>
      <c r="AZ652" s="3"/>
      <c r="BA652" s="3"/>
      <c r="BB652" s="3"/>
      <c r="BC652" s="3"/>
      <c r="BD652" s="3"/>
      <c r="BE652" s="3"/>
      <c r="BF652" s="3"/>
      <c r="BG652" s="3"/>
      <c r="BH652" s="3"/>
      <c r="BI652" s="3"/>
      <c r="BJ652" s="3"/>
      <c r="BK652" s="3"/>
      <c r="BL652" s="3"/>
      <c r="BM652" s="3"/>
      <c r="DX652" s="1468" t="e">
        <f t="shared" si="4"/>
        <v>#VALUE!</v>
      </c>
      <c r="DY652" s="1468"/>
      <c r="DZ652" s="1468"/>
      <c r="EA652" s="1468"/>
      <c r="EB652" s="1468"/>
      <c r="EC652" s="1468" t="e">
        <f t="shared" si="5"/>
        <v>#VALUE!</v>
      </c>
      <c r="ED652" s="1468"/>
      <c r="EE652" s="1468"/>
      <c r="EF652" s="1468"/>
      <c r="EG652" s="1468"/>
      <c r="EH652" s="1468" t="e">
        <f t="shared" si="6"/>
        <v>#VALUE!</v>
      </c>
      <c r="EI652" s="1468"/>
      <c r="EJ652" s="1468"/>
      <c r="EK652" s="1468"/>
      <c r="EL652" s="1468"/>
      <c r="EM652" s="1468" t="e">
        <f t="shared" si="7"/>
        <v>#VALUE!</v>
      </c>
      <c r="EN652" s="1468"/>
      <c r="EO652" s="1468"/>
      <c r="EP652" s="1468"/>
      <c r="EQ652" s="1468"/>
      <c r="ER652" s="1468" t="e">
        <f t="shared" si="8"/>
        <v>#VALUE!</v>
      </c>
      <c r="ES652" s="1468"/>
      <c r="ET652" s="1468"/>
      <c r="EU652" s="1468"/>
      <c r="EV652" s="1468"/>
      <c r="EW652" s="1468" t="e">
        <f t="shared" si="9"/>
        <v>#VALUE!</v>
      </c>
      <c r="EX652" s="1468"/>
      <c r="EY652" s="1468"/>
      <c r="EZ652" s="1468"/>
      <c r="FA652" s="1468"/>
    </row>
    <row r="653" spans="1:157" ht="12.95" customHeight="1">
      <c r="A653" s="19"/>
      <c r="B653" t="s">
        <v>942</v>
      </c>
      <c r="G653" s="1450" t="s">
        <v>963</v>
      </c>
      <c r="H653" s="1450"/>
      <c r="I653" s="1450"/>
      <c r="J653" s="1450"/>
      <c r="K653" s="1450"/>
      <c r="L653" s="1450"/>
      <c r="M653" s="1450"/>
      <c r="N653" s="1450"/>
      <c r="O653" s="1450"/>
      <c r="P653" s="1450"/>
      <c r="Q653" s="1450"/>
      <c r="R653" s="1450"/>
      <c r="T653" s="19"/>
      <c r="U653" t="s">
        <v>942</v>
      </c>
      <c r="Z653" s="1431" t="s">
        <v>828</v>
      </c>
      <c r="AA653" s="1431"/>
      <c r="AB653" s="1431"/>
      <c r="AC653" s="1431"/>
      <c r="AD653" s="1431"/>
      <c r="AE653" s="1431"/>
      <c r="AF653" s="1431"/>
      <c r="AG653" s="1431"/>
      <c r="AH653" s="1431"/>
      <c r="AI653" s="1431"/>
      <c r="AJ653" s="1431"/>
      <c r="AK653" s="1431"/>
      <c r="AV653" s="3"/>
      <c r="AW653" s="3"/>
      <c r="AX653" s="3"/>
      <c r="AY653" s="3"/>
      <c r="AZ653" s="3"/>
      <c r="BA653" s="3"/>
      <c r="BB653" s="3"/>
      <c r="BC653" s="3"/>
      <c r="BD653" s="3"/>
      <c r="BE653" s="3"/>
      <c r="BF653" s="3"/>
      <c r="BG653" s="3"/>
      <c r="BH653" s="3"/>
      <c r="BI653" s="3"/>
      <c r="BJ653" s="3"/>
      <c r="BK653" s="3"/>
      <c r="BL653" s="3"/>
      <c r="BM653" s="3"/>
      <c r="DX653" s="1468" t="e">
        <f t="shared" si="4"/>
        <v>#VALUE!</v>
      </c>
      <c r="DY653" s="1468"/>
      <c r="DZ653" s="1468"/>
      <c r="EA653" s="1468"/>
      <c r="EB653" s="1468"/>
      <c r="EC653" s="1468" t="e">
        <f t="shared" si="5"/>
        <v>#VALUE!</v>
      </c>
      <c r="ED653" s="1468"/>
      <c r="EE653" s="1468"/>
      <c r="EF653" s="1468"/>
      <c r="EG653" s="1468"/>
      <c r="EH653" s="1468" t="e">
        <f t="shared" si="6"/>
        <v>#VALUE!</v>
      </c>
      <c r="EI653" s="1468"/>
      <c r="EJ653" s="1468"/>
      <c r="EK653" s="1468"/>
      <c r="EL653" s="1468"/>
      <c r="EM653" s="1468" t="e">
        <f t="shared" si="7"/>
        <v>#VALUE!</v>
      </c>
      <c r="EN653" s="1468"/>
      <c r="EO653" s="1468"/>
      <c r="EP653" s="1468"/>
      <c r="EQ653" s="1468"/>
      <c r="ER653" s="1468" t="e">
        <f t="shared" si="8"/>
        <v>#VALUE!</v>
      </c>
      <c r="ES653" s="1468"/>
      <c r="ET653" s="1468"/>
      <c r="EU653" s="1468"/>
      <c r="EV653" s="1468"/>
      <c r="EW653" s="1468" t="e">
        <f t="shared" si="9"/>
        <v>#VALUE!</v>
      </c>
      <c r="EX653" s="1468"/>
      <c r="EY653" s="1468"/>
      <c r="EZ653" s="1468"/>
      <c r="FA653" s="1468"/>
    </row>
    <row r="654" spans="1:157" ht="12.95" customHeight="1">
      <c r="A654" s="19"/>
      <c r="B654" t="s">
        <v>1421</v>
      </c>
      <c r="G654" s="1450" t="s">
        <v>1422</v>
      </c>
      <c r="H654" s="1450"/>
      <c r="I654" s="1450"/>
      <c r="J654" s="1450"/>
      <c r="K654" s="1450"/>
      <c r="L654" s="1450"/>
      <c r="M654" s="1450"/>
      <c r="N654" s="1450"/>
      <c r="O654" s="1450"/>
      <c r="P654" s="1450"/>
      <c r="Q654" s="1450"/>
      <c r="R654" s="1450"/>
      <c r="S654" s="7"/>
      <c r="T654" s="19"/>
      <c r="U654" t="s">
        <v>1421</v>
      </c>
      <c r="Z654" s="1431" t="s">
        <v>1442</v>
      </c>
      <c r="AA654" s="1431"/>
      <c r="AB654" s="1431"/>
      <c r="AC654" s="1431"/>
      <c r="AD654" s="1431"/>
      <c r="AE654" s="1431"/>
      <c r="AF654" s="1431"/>
      <c r="AG654" s="1431"/>
      <c r="AH654" s="1431"/>
      <c r="AI654" s="1431"/>
      <c r="AJ654" s="1431"/>
      <c r="AK654" s="1431"/>
      <c r="AZ654" s="3"/>
      <c r="BA654" s="3"/>
      <c r="BB654" s="3"/>
      <c r="BC654" s="3"/>
      <c r="BD654" s="3"/>
      <c r="BE654" s="3"/>
      <c r="BF654" s="3"/>
      <c r="BG654" s="3"/>
      <c r="BH654" s="3"/>
      <c r="BI654" s="3"/>
      <c r="BJ654" s="3"/>
      <c r="BK654" s="3"/>
      <c r="BL654" s="3"/>
      <c r="BM654" s="3"/>
      <c r="DX654" s="1468" t="e">
        <f t="shared" si="4"/>
        <v>#VALUE!</v>
      </c>
      <c r="DY654" s="1468"/>
      <c r="DZ654" s="1468"/>
      <c r="EA654" s="1468"/>
      <c r="EB654" s="1468"/>
      <c r="EC654" s="1468" t="e">
        <f t="shared" si="5"/>
        <v>#VALUE!</v>
      </c>
      <c r="ED654" s="1468"/>
      <c r="EE654" s="1468"/>
      <c r="EF654" s="1468"/>
      <c r="EG654" s="1468"/>
      <c r="EH654" s="1468" t="e">
        <f t="shared" si="6"/>
        <v>#VALUE!</v>
      </c>
      <c r="EI654" s="1468"/>
      <c r="EJ654" s="1468"/>
      <c r="EK654" s="1468"/>
      <c r="EL654" s="1468"/>
      <c r="EM654" s="1468" t="e">
        <f t="shared" si="7"/>
        <v>#VALUE!</v>
      </c>
      <c r="EN654" s="1468"/>
      <c r="EO654" s="1468"/>
      <c r="EP654" s="1468"/>
      <c r="EQ654" s="1468"/>
      <c r="ER654" s="1468" t="e">
        <f t="shared" si="8"/>
        <v>#VALUE!</v>
      </c>
      <c r="ES654" s="1468"/>
      <c r="ET654" s="1468"/>
      <c r="EU654" s="1468"/>
      <c r="EV654" s="1468"/>
      <c r="EW654" s="1468" t="e">
        <f t="shared" si="9"/>
        <v>#VALUE!</v>
      </c>
      <c r="EX654" s="1468"/>
      <c r="EY654" s="1468"/>
      <c r="EZ654" s="1468"/>
      <c r="FA654" s="1468"/>
    </row>
    <row r="655" spans="1:157" ht="12.95" customHeight="1">
      <c r="A655" s="19"/>
      <c r="B655" t="s">
        <v>836</v>
      </c>
      <c r="G655" s="1564" t="s">
        <v>1423</v>
      </c>
      <c r="H655" s="1564"/>
      <c r="I655" s="1564"/>
      <c r="J655" s="1564"/>
      <c r="K655" s="1564"/>
      <c r="L655" s="1564"/>
      <c r="O655" s="918" t="s">
        <v>1084</v>
      </c>
      <c r="P655" s="1354"/>
      <c r="Q655" s="1354"/>
      <c r="R655" s="1354"/>
      <c r="S655" s="9"/>
      <c r="T655" s="19"/>
      <c r="U655" t="s">
        <v>836</v>
      </c>
      <c r="Z655" s="1564" t="s">
        <v>1443</v>
      </c>
      <c r="AA655" s="1564"/>
      <c r="AB655" s="1564"/>
      <c r="AC655" s="1564"/>
      <c r="AD655" s="1564"/>
      <c r="AE655" s="1564"/>
      <c r="AH655" s="918" t="s">
        <v>1084</v>
      </c>
      <c r="AI655" s="1354"/>
      <c r="AJ655" s="1354"/>
      <c r="AK655" s="1354"/>
      <c r="AZ655" s="3"/>
      <c r="BA655" s="3"/>
      <c r="BB655" s="3"/>
      <c r="BC655" s="3"/>
      <c r="BD655" s="3"/>
      <c r="BE655" s="3"/>
      <c r="BF655" s="3"/>
      <c r="BG655" s="3"/>
      <c r="BH655" s="3"/>
      <c r="BI655" s="3"/>
      <c r="BJ655" s="3"/>
      <c r="BK655" s="3"/>
      <c r="BL655" s="3"/>
      <c r="BM655" s="3"/>
      <c r="DX655" s="1468" t="e">
        <f t="shared" si="4"/>
        <v>#VALUE!</v>
      </c>
      <c r="DY655" s="1468"/>
      <c r="DZ655" s="1468"/>
      <c r="EA655" s="1468"/>
      <c r="EB655" s="1468"/>
      <c r="EC655" s="1468" t="e">
        <f t="shared" si="5"/>
        <v>#VALUE!</v>
      </c>
      <c r="ED655" s="1468"/>
      <c r="EE655" s="1468"/>
      <c r="EF655" s="1468"/>
      <c r="EG655" s="1468"/>
      <c r="EH655" s="1468" t="e">
        <f t="shared" si="6"/>
        <v>#VALUE!</v>
      </c>
      <c r="EI655" s="1468"/>
      <c r="EJ655" s="1468"/>
      <c r="EK655" s="1468"/>
      <c r="EL655" s="1468"/>
      <c r="EM655" s="1468" t="e">
        <f t="shared" si="7"/>
        <v>#VALUE!</v>
      </c>
      <c r="EN655" s="1468"/>
      <c r="EO655" s="1468"/>
      <c r="EP655" s="1468"/>
      <c r="EQ655" s="1468"/>
      <c r="ER655" s="1468" t="e">
        <f t="shared" si="8"/>
        <v>#VALUE!</v>
      </c>
      <c r="ES655" s="1468"/>
      <c r="ET655" s="1468"/>
      <c r="EU655" s="1468"/>
      <c r="EV655" s="1468"/>
      <c r="EW655" s="1468" t="e">
        <f t="shared" si="9"/>
        <v>#VALUE!</v>
      </c>
      <c r="EX655" s="1468"/>
      <c r="EY655" s="1468"/>
      <c r="EZ655" s="1468"/>
      <c r="FA655" s="1468"/>
    </row>
    <row r="656" spans="1:157" ht="12.95" customHeight="1">
      <c r="A656" s="19"/>
      <c r="B656" t="s">
        <v>1424</v>
      </c>
      <c r="H656" s="1450" t="str">
        <f>M635</f>
        <v>Loan, Tax-Exempt</v>
      </c>
      <c r="I656" s="1450"/>
      <c r="J656" s="1450"/>
      <c r="K656" s="1450"/>
      <c r="L656" s="1450"/>
      <c r="M656" s="1450"/>
      <c r="N656" s="1450"/>
      <c r="O656" s="1450"/>
      <c r="P656" s="1450"/>
      <c r="Q656" s="1450"/>
      <c r="R656" s="1450"/>
      <c r="S656" s="7"/>
      <c r="T656" s="19"/>
      <c r="U656" t="s">
        <v>1424</v>
      </c>
      <c r="AA656" s="1450" t="str">
        <f>M636</f>
        <v>Loan, Residual Receipts</v>
      </c>
      <c r="AB656" s="1450"/>
      <c r="AC656" s="1450"/>
      <c r="AD656" s="1450"/>
      <c r="AE656" s="1450"/>
      <c r="AF656" s="1450"/>
      <c r="AG656" s="1450"/>
      <c r="AH656" s="1450"/>
      <c r="AI656" s="1450"/>
      <c r="AJ656" s="1450"/>
      <c r="AK656" s="1450"/>
      <c r="AZ656" s="3"/>
      <c r="BA656" s="3"/>
      <c r="BB656" s="3"/>
      <c r="BC656" s="3"/>
      <c r="BD656" s="3"/>
      <c r="BE656" s="3"/>
      <c r="BF656" s="3"/>
      <c r="BG656" s="3"/>
      <c r="BH656" s="3"/>
      <c r="BI656" s="3"/>
      <c r="BJ656" s="3"/>
      <c r="BK656" s="3"/>
      <c r="BL656" s="3"/>
      <c r="BM656" s="3"/>
      <c r="DX656" s="1468" t="e">
        <f t="shared" si="4"/>
        <v>#VALUE!</v>
      </c>
      <c r="DY656" s="1468"/>
      <c r="DZ656" s="1468"/>
      <c r="EA656" s="1468"/>
      <c r="EB656" s="1468"/>
      <c r="EC656" s="1468" t="e">
        <f t="shared" si="5"/>
        <v>#VALUE!</v>
      </c>
      <c r="ED656" s="1468"/>
      <c r="EE656" s="1468"/>
      <c r="EF656" s="1468"/>
      <c r="EG656" s="1468"/>
      <c r="EH656" s="1468" t="e">
        <f t="shared" si="6"/>
        <v>#VALUE!</v>
      </c>
      <c r="EI656" s="1468"/>
      <c r="EJ656" s="1468"/>
      <c r="EK656" s="1468"/>
      <c r="EL656" s="1468"/>
      <c r="EM656" s="1468" t="e">
        <f t="shared" si="7"/>
        <v>#VALUE!</v>
      </c>
      <c r="EN656" s="1468"/>
      <c r="EO656" s="1468"/>
      <c r="EP656" s="1468"/>
      <c r="EQ656" s="1468"/>
      <c r="ER656" s="1468" t="e">
        <f t="shared" si="8"/>
        <v>#VALUE!</v>
      </c>
      <c r="ES656" s="1468"/>
      <c r="ET656" s="1468"/>
      <c r="EU656" s="1468"/>
      <c r="EV656" s="1468"/>
      <c r="EW656" s="1468" t="e">
        <f t="shared" si="9"/>
        <v>#VALUE!</v>
      </c>
      <c r="EX656" s="1468"/>
      <c r="EY656" s="1468"/>
      <c r="EZ656" s="1468"/>
      <c r="FA656" s="1468"/>
    </row>
    <row r="657" spans="1:157" ht="12.95" customHeight="1">
      <c r="A657" s="19"/>
      <c r="B657" t="s">
        <v>1427</v>
      </c>
      <c r="N657" s="1310" t="s">
        <v>857</v>
      </c>
      <c r="O657" s="1310"/>
      <c r="T657" s="19"/>
      <c r="U657" t="s">
        <v>1427</v>
      </c>
      <c r="AG657" s="1310" t="s">
        <v>857</v>
      </c>
      <c r="AH657" s="1310"/>
      <c r="AZ657" s="3"/>
      <c r="BA657" s="3"/>
      <c r="BB657" s="3"/>
      <c r="BC657" s="3"/>
      <c r="BD657" s="3"/>
      <c r="BE657" s="3"/>
      <c r="BF657" s="3"/>
      <c r="BG657" s="3"/>
      <c r="BH657" s="3"/>
      <c r="BI657" s="3"/>
      <c r="BJ657" s="3"/>
      <c r="BK657" s="3"/>
      <c r="BL657" s="3"/>
      <c r="BM657" s="3"/>
      <c r="DX657" s="1468" t="e">
        <f t="shared" si="4"/>
        <v>#VALUE!</v>
      </c>
      <c r="DY657" s="1468"/>
      <c r="DZ657" s="1468"/>
      <c r="EA657" s="1468"/>
      <c r="EB657" s="1468"/>
      <c r="EC657" s="1468" t="e">
        <f t="shared" si="5"/>
        <v>#VALUE!</v>
      </c>
      <c r="ED657" s="1468"/>
      <c r="EE657" s="1468"/>
      <c r="EF657" s="1468"/>
      <c r="EG657" s="1468"/>
      <c r="EH657" s="1468" t="e">
        <f t="shared" si="6"/>
        <v>#VALUE!</v>
      </c>
      <c r="EI657" s="1468"/>
      <c r="EJ657" s="1468"/>
      <c r="EK657" s="1468"/>
      <c r="EL657" s="1468"/>
      <c r="EM657" s="1468" t="e">
        <f t="shared" si="7"/>
        <v>#VALUE!</v>
      </c>
      <c r="EN657" s="1468"/>
      <c r="EO657" s="1468"/>
      <c r="EP657" s="1468"/>
      <c r="EQ657" s="1468"/>
      <c r="ER657" s="1468" t="e">
        <f t="shared" si="8"/>
        <v>#VALUE!</v>
      </c>
      <c r="ES657" s="1468"/>
      <c r="ET657" s="1468"/>
      <c r="EU657" s="1468"/>
      <c r="EV657" s="1468"/>
      <c r="EW657" s="1468" t="e">
        <f t="shared" si="9"/>
        <v>#VALUE!</v>
      </c>
      <c r="EX657" s="1468"/>
      <c r="EY657" s="1468"/>
      <c r="EZ657" s="1468"/>
      <c r="FA657" s="1468"/>
    </row>
    <row r="658" spans="1:157" ht="12.95" customHeight="1">
      <c r="A658" s="19"/>
      <c r="T658" s="19"/>
      <c r="AZ658" s="3"/>
      <c r="BA658" s="3"/>
      <c r="BB658" s="3"/>
      <c r="BC658" s="3"/>
      <c r="BD658" s="3"/>
      <c r="BE658" s="3"/>
      <c r="BF658" s="3"/>
      <c r="BG658" s="3"/>
      <c r="BH658" s="3"/>
      <c r="BI658" s="3"/>
      <c r="BJ658" s="3"/>
      <c r="BK658" s="3"/>
      <c r="BL658" s="3"/>
      <c r="BM658" s="3"/>
      <c r="DX658" s="1468" t="e">
        <f t="shared" si="4"/>
        <v>#VALUE!</v>
      </c>
      <c r="DY658" s="1468"/>
      <c r="DZ658" s="1468"/>
      <c r="EA658" s="1468"/>
      <c r="EB658" s="1468"/>
      <c r="EC658" s="1468" t="e">
        <f t="shared" si="5"/>
        <v>#VALUE!</v>
      </c>
      <c r="ED658" s="1468"/>
      <c r="EE658" s="1468"/>
      <c r="EF658" s="1468"/>
      <c r="EG658" s="1468"/>
      <c r="EH658" s="1468" t="e">
        <f t="shared" si="6"/>
        <v>#VALUE!</v>
      </c>
      <c r="EI658" s="1468"/>
      <c r="EJ658" s="1468"/>
      <c r="EK658" s="1468"/>
      <c r="EL658" s="1468"/>
      <c r="EM658" s="1468" t="e">
        <f t="shared" si="7"/>
        <v>#VALUE!</v>
      </c>
      <c r="EN658" s="1468"/>
      <c r="EO658" s="1468"/>
      <c r="EP658" s="1468"/>
      <c r="EQ658" s="1468"/>
      <c r="ER658" s="1468" t="e">
        <f t="shared" si="8"/>
        <v>#VALUE!</v>
      </c>
      <c r="ES658" s="1468"/>
      <c r="ET658" s="1468"/>
      <c r="EU658" s="1468"/>
      <c r="EV658" s="1468"/>
      <c r="EW658" s="1468" t="e">
        <f t="shared" si="9"/>
        <v>#VALUE!</v>
      </c>
      <c r="EX658" s="1468"/>
      <c r="EY658" s="1468"/>
      <c r="EZ658" s="1468"/>
      <c r="FA658" s="1468"/>
    </row>
    <row r="659" spans="1:157" ht="12.95" customHeight="1">
      <c r="A659" s="47" t="s">
        <v>39</v>
      </c>
      <c r="B659" t="s">
        <v>1419</v>
      </c>
      <c r="G659" s="1408" t="str">
        <f>C637</f>
        <v>SHRA PLHA</v>
      </c>
      <c r="H659" s="1408"/>
      <c r="I659" s="1408"/>
      <c r="J659" s="1408"/>
      <c r="K659" s="1408"/>
      <c r="L659" s="1408"/>
      <c r="M659" s="1408"/>
      <c r="N659" s="1408"/>
      <c r="O659" s="1408"/>
      <c r="P659" s="1408"/>
      <c r="Q659" s="1408"/>
      <c r="R659" s="1408"/>
      <c r="T659" s="47" t="s">
        <v>82</v>
      </c>
      <c r="U659" t="s">
        <v>1419</v>
      </c>
      <c r="Z659" s="1408" t="str">
        <f>C638</f>
        <v>Deferred Developer Fee</v>
      </c>
      <c r="AA659" s="1408"/>
      <c r="AB659" s="1408"/>
      <c r="AC659" s="1408"/>
      <c r="AD659" s="1408"/>
      <c r="AE659" s="1408"/>
      <c r="AF659" s="1408"/>
      <c r="AG659" s="1408"/>
      <c r="AH659" s="1408"/>
      <c r="AI659" s="1408"/>
      <c r="AJ659" s="1408"/>
      <c r="AK659" s="1408"/>
      <c r="AZ659" s="3"/>
      <c r="BA659" s="3"/>
      <c r="BB659" s="3"/>
      <c r="BC659" s="3"/>
      <c r="BD659" s="3"/>
      <c r="BE659" s="3"/>
      <c r="BF659" s="3"/>
      <c r="BG659" s="3"/>
      <c r="BH659" s="3"/>
      <c r="BI659" s="3"/>
      <c r="BJ659" s="3"/>
      <c r="BK659" s="3"/>
      <c r="BL659" s="3"/>
      <c r="BM659" s="3"/>
      <c r="DX659" s="1468" t="e">
        <f t="shared" si="4"/>
        <v>#VALUE!</v>
      </c>
      <c r="DY659" s="1468"/>
      <c r="DZ659" s="1468"/>
      <c r="EA659" s="1468"/>
      <c r="EB659" s="1468"/>
      <c r="EC659" s="1468" t="e">
        <f t="shared" si="5"/>
        <v>#VALUE!</v>
      </c>
      <c r="ED659" s="1468"/>
      <c r="EE659" s="1468"/>
      <c r="EF659" s="1468"/>
      <c r="EG659" s="1468"/>
      <c r="EH659" s="1468" t="e">
        <f t="shared" si="6"/>
        <v>#VALUE!</v>
      </c>
      <c r="EI659" s="1468"/>
      <c r="EJ659" s="1468"/>
      <c r="EK659" s="1468"/>
      <c r="EL659" s="1468"/>
      <c r="EM659" s="1468" t="e">
        <f t="shared" si="7"/>
        <v>#VALUE!</v>
      </c>
      <c r="EN659" s="1468"/>
      <c r="EO659" s="1468"/>
      <c r="EP659" s="1468"/>
      <c r="EQ659" s="1468"/>
      <c r="ER659" s="1468" t="e">
        <f t="shared" si="8"/>
        <v>#VALUE!</v>
      </c>
      <c r="ES659" s="1468"/>
      <c r="ET659" s="1468"/>
      <c r="EU659" s="1468"/>
      <c r="EV659" s="1468"/>
      <c r="EW659" s="1468" t="e">
        <f t="shared" si="9"/>
        <v>#VALUE!</v>
      </c>
      <c r="EX659" s="1468"/>
      <c r="EY659" s="1468"/>
      <c r="EZ659" s="1468"/>
      <c r="FA659" s="1468"/>
    </row>
    <row r="660" spans="1:157" ht="12.95" customHeight="1">
      <c r="A660" s="19"/>
      <c r="B660" t="s">
        <v>1076</v>
      </c>
      <c r="G660" s="1450" t="s">
        <v>1186</v>
      </c>
      <c r="H660" s="1450"/>
      <c r="I660" s="1450"/>
      <c r="J660" s="1450"/>
      <c r="K660" s="1450"/>
      <c r="L660" s="1450"/>
      <c r="M660" s="1450"/>
      <c r="N660" s="1450"/>
      <c r="O660" s="1450"/>
      <c r="P660" s="1450"/>
      <c r="Q660" s="1450"/>
      <c r="R660" s="1450"/>
      <c r="T660" s="19"/>
      <c r="U660" t="s">
        <v>1076</v>
      </c>
      <c r="Z660" s="1450" t="s">
        <v>1077</v>
      </c>
      <c r="AA660" s="1450"/>
      <c r="AB660" s="1450"/>
      <c r="AC660" s="1450"/>
      <c r="AD660" s="1450"/>
      <c r="AE660" s="1450"/>
      <c r="AF660" s="1450"/>
      <c r="AG660" s="1450"/>
      <c r="AH660" s="1450"/>
      <c r="AI660" s="1450"/>
      <c r="AJ660" s="1450"/>
      <c r="AK660" s="1450"/>
      <c r="AZ660" s="3"/>
      <c r="BA660" s="3"/>
      <c r="BB660" s="3"/>
      <c r="BC660" s="3"/>
      <c r="BD660" s="3"/>
      <c r="BE660" s="3"/>
      <c r="BF660" s="3"/>
      <c r="BG660" s="3"/>
      <c r="BH660" s="3"/>
      <c r="BI660" s="3"/>
      <c r="BJ660" s="3"/>
      <c r="BK660" s="3"/>
      <c r="BL660" s="3"/>
      <c r="BM660" s="3"/>
      <c r="DX660" s="1468" t="e">
        <f t="shared" si="4"/>
        <v>#VALUE!</v>
      </c>
      <c r="DY660" s="1468"/>
      <c r="DZ660" s="1468"/>
      <c r="EA660" s="1468"/>
      <c r="EB660" s="1468"/>
      <c r="EC660" s="1468" t="e">
        <f t="shared" si="5"/>
        <v>#VALUE!</v>
      </c>
      <c r="ED660" s="1468"/>
      <c r="EE660" s="1468"/>
      <c r="EF660" s="1468"/>
      <c r="EG660" s="1468"/>
      <c r="EH660" s="1468" t="e">
        <f t="shared" si="6"/>
        <v>#VALUE!</v>
      </c>
      <c r="EI660" s="1468"/>
      <c r="EJ660" s="1468"/>
      <c r="EK660" s="1468"/>
      <c r="EL660" s="1468"/>
      <c r="EM660" s="1468" t="e">
        <f t="shared" si="7"/>
        <v>#VALUE!</v>
      </c>
      <c r="EN660" s="1468"/>
      <c r="EO660" s="1468"/>
      <c r="EP660" s="1468"/>
      <c r="EQ660" s="1468"/>
      <c r="ER660" s="1468" t="e">
        <f t="shared" si="8"/>
        <v>#VALUE!</v>
      </c>
      <c r="ES660" s="1468"/>
      <c r="ET660" s="1468"/>
      <c r="EU660" s="1468"/>
      <c r="EV660" s="1468"/>
      <c r="EW660" s="1468" t="e">
        <f t="shared" si="9"/>
        <v>#VALUE!</v>
      </c>
      <c r="EX660" s="1468"/>
      <c r="EY660" s="1468"/>
      <c r="EZ660" s="1468"/>
      <c r="FA660" s="1468"/>
    </row>
    <row r="661" spans="1:157" ht="12.95" customHeight="1">
      <c r="A661" s="19"/>
      <c r="B661" t="s">
        <v>942</v>
      </c>
      <c r="G661" s="1431" t="s">
        <v>828</v>
      </c>
      <c r="H661" s="1431"/>
      <c r="I661" s="1431"/>
      <c r="J661" s="1431"/>
      <c r="K661" s="1431"/>
      <c r="L661" s="1431"/>
      <c r="M661" s="1431"/>
      <c r="N661" s="1431"/>
      <c r="O661" s="1431"/>
      <c r="P661" s="1431"/>
      <c r="Q661" s="1431"/>
      <c r="R661" s="1431"/>
      <c r="T661" s="19"/>
      <c r="U661" t="s">
        <v>942</v>
      </c>
      <c r="Z661" s="1431" t="s">
        <v>963</v>
      </c>
      <c r="AA661" s="1431"/>
      <c r="AB661" s="1431"/>
      <c r="AC661" s="1431"/>
      <c r="AD661" s="1431"/>
      <c r="AE661" s="1431"/>
      <c r="AF661" s="1431"/>
      <c r="AG661" s="1431"/>
      <c r="AH661" s="1431"/>
      <c r="AI661" s="1431"/>
      <c r="AJ661" s="1431"/>
      <c r="AK661" s="1431"/>
      <c r="AZ661" s="3"/>
      <c r="BA661" s="3"/>
      <c r="BB661" s="3"/>
      <c r="BC661" s="3"/>
      <c r="BD661" s="3"/>
      <c r="BE661" s="3"/>
      <c r="BF661" s="3"/>
      <c r="BG661" s="3"/>
      <c r="BH661" s="3"/>
      <c r="BI661" s="3"/>
      <c r="BJ661" s="3"/>
      <c r="BK661" s="3"/>
      <c r="BL661" s="3"/>
      <c r="BM661" s="3"/>
      <c r="DX661" s="1468" t="e">
        <f t="shared" si="4"/>
        <v>#VALUE!</v>
      </c>
      <c r="DY661" s="1468"/>
      <c r="DZ661" s="1468"/>
      <c r="EA661" s="1468"/>
      <c r="EB661" s="1468"/>
      <c r="EC661" s="1468" t="e">
        <f t="shared" si="5"/>
        <v>#VALUE!</v>
      </c>
      <c r="ED661" s="1468"/>
      <c r="EE661" s="1468"/>
      <c r="EF661" s="1468"/>
      <c r="EG661" s="1468"/>
      <c r="EH661" s="1468" t="e">
        <f t="shared" si="6"/>
        <v>#VALUE!</v>
      </c>
      <c r="EI661" s="1468"/>
      <c r="EJ661" s="1468"/>
      <c r="EK661" s="1468"/>
      <c r="EL661" s="1468"/>
      <c r="EM661" s="1468" t="e">
        <f t="shared" si="7"/>
        <v>#VALUE!</v>
      </c>
      <c r="EN661" s="1468"/>
      <c r="EO661" s="1468"/>
      <c r="EP661" s="1468"/>
      <c r="EQ661" s="1468"/>
      <c r="ER661" s="1468" t="e">
        <f t="shared" si="8"/>
        <v>#VALUE!</v>
      </c>
      <c r="ES661" s="1468"/>
      <c r="ET661" s="1468"/>
      <c r="EU661" s="1468"/>
      <c r="EV661" s="1468"/>
      <c r="EW661" s="1468" t="e">
        <f t="shared" si="9"/>
        <v>#VALUE!</v>
      </c>
      <c r="EX661" s="1468"/>
      <c r="EY661" s="1468"/>
      <c r="EZ661" s="1468"/>
      <c r="FA661" s="1468"/>
    </row>
    <row r="662" spans="1:157" ht="12.95" customHeight="1">
      <c r="A662" s="19"/>
      <c r="B662" t="s">
        <v>1421</v>
      </c>
      <c r="G662" s="1431" t="s">
        <v>1190</v>
      </c>
      <c r="H662" s="1431"/>
      <c r="I662" s="1431"/>
      <c r="J662" s="1431"/>
      <c r="K662" s="1431"/>
      <c r="L662" s="1431"/>
      <c r="M662" s="1431"/>
      <c r="N662" s="1431"/>
      <c r="O662" s="1431"/>
      <c r="P662" s="1431"/>
      <c r="Q662" s="1431"/>
      <c r="R662" s="1431"/>
      <c r="T662" s="19"/>
      <c r="U662" t="s">
        <v>1421</v>
      </c>
      <c r="Z662" s="1431" t="s">
        <v>1081</v>
      </c>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DX662" s="1468" t="e">
        <f t="shared" si="4"/>
        <v>#VALUE!</v>
      </c>
      <c r="DY662" s="1468"/>
      <c r="DZ662" s="1468"/>
      <c r="EA662" s="1468"/>
      <c r="EB662" s="1468"/>
      <c r="EC662" s="1468" t="e">
        <f t="shared" si="5"/>
        <v>#VALUE!</v>
      </c>
      <c r="ED662" s="1468"/>
      <c r="EE662" s="1468"/>
      <c r="EF662" s="1468"/>
      <c r="EG662" s="1468"/>
      <c r="EH662" s="1468" t="e">
        <f t="shared" si="6"/>
        <v>#VALUE!</v>
      </c>
      <c r="EI662" s="1468"/>
      <c r="EJ662" s="1468"/>
      <c r="EK662" s="1468"/>
      <c r="EL662" s="1468"/>
      <c r="EM662" s="1468" t="e">
        <f t="shared" si="7"/>
        <v>#VALUE!</v>
      </c>
      <c r="EN662" s="1468"/>
      <c r="EO662" s="1468"/>
      <c r="EP662" s="1468"/>
      <c r="EQ662" s="1468"/>
      <c r="ER662" s="1468" t="e">
        <f t="shared" si="8"/>
        <v>#VALUE!</v>
      </c>
      <c r="ES662" s="1468"/>
      <c r="ET662" s="1468"/>
      <c r="EU662" s="1468"/>
      <c r="EV662" s="1468"/>
      <c r="EW662" s="1468" t="e">
        <f t="shared" si="9"/>
        <v>#VALUE!</v>
      </c>
      <c r="EX662" s="1468"/>
      <c r="EY662" s="1468"/>
      <c r="EZ662" s="1468"/>
      <c r="FA662" s="1468"/>
    </row>
    <row r="663" spans="1:157" ht="12.95" customHeight="1">
      <c r="A663" s="19"/>
      <c r="B663" t="s">
        <v>836</v>
      </c>
      <c r="G663" s="1564" t="s">
        <v>1192</v>
      </c>
      <c r="H663" s="1564"/>
      <c r="I663" s="1564"/>
      <c r="J663" s="1564"/>
      <c r="K663" s="1564"/>
      <c r="L663" s="1564"/>
      <c r="O663" s="918" t="s">
        <v>1084</v>
      </c>
      <c r="P663" s="1354"/>
      <c r="Q663" s="1354"/>
      <c r="R663" s="1354"/>
      <c r="T663" s="19"/>
      <c r="U663" t="s">
        <v>836</v>
      </c>
      <c r="Z663" s="1564" t="s">
        <v>1083</v>
      </c>
      <c r="AA663" s="1564"/>
      <c r="AB663" s="1564"/>
      <c r="AC663" s="1564"/>
      <c r="AD663" s="1564"/>
      <c r="AE663" s="1564"/>
      <c r="AH663" s="918" t="s">
        <v>1084</v>
      </c>
      <c r="AI663" s="1354"/>
      <c r="AJ663" s="1354"/>
      <c r="AK663" s="1354"/>
      <c r="AZ663" s="3"/>
      <c r="BA663" s="3"/>
      <c r="BB663" s="3"/>
      <c r="BC663" s="3"/>
      <c r="BD663" s="3"/>
      <c r="BE663" s="3"/>
      <c r="BF663" s="3"/>
      <c r="BG663" s="3"/>
      <c r="BH663" s="3"/>
      <c r="BI663" s="3"/>
      <c r="BJ663" s="3"/>
      <c r="BK663" s="3"/>
      <c r="BL663" s="3"/>
      <c r="BM663" s="3"/>
      <c r="DX663" s="1468" t="e">
        <f t="shared" si="4"/>
        <v>#VALUE!</v>
      </c>
      <c r="DY663" s="1468"/>
      <c r="DZ663" s="1468"/>
      <c r="EA663" s="1468"/>
      <c r="EB663" s="1468"/>
      <c r="EC663" s="1468" t="e">
        <f t="shared" si="5"/>
        <v>#VALUE!</v>
      </c>
      <c r="ED663" s="1468"/>
      <c r="EE663" s="1468"/>
      <c r="EF663" s="1468"/>
      <c r="EG663" s="1468"/>
      <c r="EH663" s="1468" t="e">
        <f t="shared" si="6"/>
        <v>#VALUE!</v>
      </c>
      <c r="EI663" s="1468"/>
      <c r="EJ663" s="1468"/>
      <c r="EK663" s="1468"/>
      <c r="EL663" s="1468"/>
      <c r="EM663" s="1468" t="e">
        <f t="shared" si="7"/>
        <v>#VALUE!</v>
      </c>
      <c r="EN663" s="1468"/>
      <c r="EO663" s="1468"/>
      <c r="EP663" s="1468"/>
      <c r="EQ663" s="1468"/>
      <c r="ER663" s="1468" t="e">
        <f t="shared" si="8"/>
        <v>#VALUE!</v>
      </c>
      <c r="ES663" s="1468"/>
      <c r="ET663" s="1468"/>
      <c r="EU663" s="1468"/>
      <c r="EV663" s="1468"/>
      <c r="EW663" s="1468" t="e">
        <f t="shared" si="9"/>
        <v>#VALUE!</v>
      </c>
      <c r="EX663" s="1468"/>
      <c r="EY663" s="1468"/>
      <c r="EZ663" s="1468"/>
      <c r="FA663" s="1468"/>
    </row>
    <row r="664" spans="1:157" ht="12.95" customHeight="1">
      <c r="A664" s="19"/>
      <c r="B664" t="s">
        <v>1424</v>
      </c>
      <c r="H664" s="1444" t="str">
        <f>M637</f>
        <v>Loan, Residual Receipts</v>
      </c>
      <c r="I664" s="1450"/>
      <c r="J664" s="1450"/>
      <c r="K664" s="1450"/>
      <c r="L664" s="1450"/>
      <c r="M664" s="1450"/>
      <c r="N664" s="1450"/>
      <c r="O664" s="1450"/>
      <c r="P664" s="1450"/>
      <c r="Q664" s="1450"/>
      <c r="R664" s="1450"/>
      <c r="T664" s="19"/>
      <c r="U664" t="s">
        <v>1424</v>
      </c>
      <c r="AA664" s="1444" t="str">
        <f>M638</f>
        <v>Developer Fee, Deferral</v>
      </c>
      <c r="AB664" s="1450"/>
      <c r="AC664" s="1450"/>
      <c r="AD664" s="1450"/>
      <c r="AE664" s="1450"/>
      <c r="AF664" s="1450"/>
      <c r="AG664" s="1450"/>
      <c r="AH664" s="1450"/>
      <c r="AI664" s="1450"/>
      <c r="AJ664" s="1450"/>
      <c r="AK664" s="1450"/>
      <c r="AZ664" s="3"/>
      <c r="BA664" s="3"/>
      <c r="BB664" s="3"/>
      <c r="BC664" s="3"/>
      <c r="BD664" s="3"/>
      <c r="BE664" s="3"/>
      <c r="BF664" s="3"/>
      <c r="BG664" s="3"/>
      <c r="BH664" s="3"/>
      <c r="BI664" s="3"/>
      <c r="BJ664" s="3"/>
      <c r="BK664" s="3"/>
      <c r="BL664" s="3"/>
      <c r="BM664" s="3"/>
      <c r="DX664" s="1468" t="e">
        <f t="shared" si="4"/>
        <v>#VALUE!</v>
      </c>
      <c r="DY664" s="1468"/>
      <c r="DZ664" s="1468"/>
      <c r="EA664" s="1468"/>
      <c r="EB664" s="1468"/>
      <c r="EC664" s="1468" t="e">
        <f t="shared" si="5"/>
        <v>#VALUE!</v>
      </c>
      <c r="ED664" s="1468"/>
      <c r="EE664" s="1468"/>
      <c r="EF664" s="1468"/>
      <c r="EG664" s="1468"/>
      <c r="EH664" s="1468" t="e">
        <f t="shared" si="6"/>
        <v>#VALUE!</v>
      </c>
      <c r="EI664" s="1468"/>
      <c r="EJ664" s="1468"/>
      <c r="EK664" s="1468"/>
      <c r="EL664" s="1468"/>
      <c r="EM664" s="1468" t="e">
        <f t="shared" si="7"/>
        <v>#VALUE!</v>
      </c>
      <c r="EN664" s="1468"/>
      <c r="EO664" s="1468"/>
      <c r="EP664" s="1468"/>
      <c r="EQ664" s="1468"/>
      <c r="ER664" s="1468" t="e">
        <f t="shared" si="8"/>
        <v>#VALUE!</v>
      </c>
      <c r="ES664" s="1468"/>
      <c r="ET664" s="1468"/>
      <c r="EU664" s="1468"/>
      <c r="EV664" s="1468"/>
      <c r="EW664" s="1468" t="e">
        <f t="shared" si="9"/>
        <v>#VALUE!</v>
      </c>
      <c r="EX664" s="1468"/>
      <c r="EY664" s="1468"/>
      <c r="EZ664" s="1468"/>
      <c r="FA664" s="1468"/>
    </row>
    <row r="665" spans="1:157" ht="12.95" customHeight="1">
      <c r="A665" s="19"/>
      <c r="B665" t="s">
        <v>1427</v>
      </c>
      <c r="N665" s="1310" t="s">
        <v>857</v>
      </c>
      <c r="O665" s="1310"/>
      <c r="T665" s="19"/>
      <c r="U665" t="s">
        <v>1427</v>
      </c>
      <c r="AG665" s="1310" t="s">
        <v>857</v>
      </c>
      <c r="AH665" s="1310"/>
      <c r="AZ665" s="3"/>
      <c r="BA665" s="3"/>
      <c r="BB665" s="3"/>
      <c r="BC665" s="3"/>
      <c r="BD665" s="3"/>
      <c r="BE665" s="3"/>
      <c r="BF665" s="3"/>
      <c r="BG665" s="3"/>
      <c r="BH665" s="3"/>
      <c r="BI665" s="3"/>
      <c r="BJ665" s="3"/>
      <c r="BK665" s="3"/>
      <c r="BL665" s="3"/>
      <c r="BM665" s="3"/>
      <c r="DX665" s="1468" t="e">
        <f t="shared" si="4"/>
        <v>#VALUE!</v>
      </c>
      <c r="DY665" s="1468"/>
      <c r="DZ665" s="1468"/>
      <c r="EA665" s="1468"/>
      <c r="EB665" s="1468"/>
      <c r="EC665" s="1468" t="e">
        <f t="shared" si="5"/>
        <v>#VALUE!</v>
      </c>
      <c r="ED665" s="1468"/>
      <c r="EE665" s="1468"/>
      <c r="EF665" s="1468"/>
      <c r="EG665" s="1468"/>
      <c r="EH665" s="1468" t="e">
        <f t="shared" si="6"/>
        <v>#VALUE!</v>
      </c>
      <c r="EI665" s="1468"/>
      <c r="EJ665" s="1468"/>
      <c r="EK665" s="1468"/>
      <c r="EL665" s="1468"/>
      <c r="EM665" s="1468" t="e">
        <f t="shared" si="7"/>
        <v>#VALUE!</v>
      </c>
      <c r="EN665" s="1468"/>
      <c r="EO665" s="1468"/>
      <c r="EP665" s="1468"/>
      <c r="EQ665" s="1468"/>
      <c r="ER665" s="1468" t="e">
        <f t="shared" si="8"/>
        <v>#VALUE!</v>
      </c>
      <c r="ES665" s="1468"/>
      <c r="ET665" s="1468"/>
      <c r="EU665" s="1468"/>
      <c r="EV665" s="1468"/>
      <c r="EW665" s="1468" t="e">
        <f t="shared" si="9"/>
        <v>#VALUE!</v>
      </c>
      <c r="EX665" s="1468"/>
      <c r="EY665" s="1468"/>
      <c r="EZ665" s="1468"/>
      <c r="FA665" s="1468"/>
    </row>
    <row r="666" spans="1:157" ht="12.95" customHeight="1">
      <c r="A666" s="19"/>
      <c r="T666" s="19"/>
      <c r="AZ666" s="3"/>
      <c r="BA666" s="3"/>
      <c r="BB666" s="3"/>
      <c r="BC666" s="3"/>
      <c r="BD666" s="3"/>
      <c r="BE666" s="3"/>
      <c r="BF666" s="3"/>
      <c r="BG666" s="3"/>
      <c r="BH666" s="3"/>
      <c r="BI666" s="3"/>
      <c r="BJ666" s="3"/>
      <c r="BK666" s="3"/>
      <c r="BL666" s="3"/>
      <c r="BM666" s="3"/>
      <c r="DX666" s="1468" t="e">
        <f t="shared" si="4"/>
        <v>#VALUE!</v>
      </c>
      <c r="DY666" s="1468"/>
      <c r="DZ666" s="1468"/>
      <c r="EA666" s="1468"/>
      <c r="EB666" s="1468"/>
      <c r="EC666" s="1468" t="e">
        <f t="shared" si="5"/>
        <v>#VALUE!</v>
      </c>
      <c r="ED666" s="1468"/>
      <c r="EE666" s="1468"/>
      <c r="EF666" s="1468"/>
      <c r="EG666" s="1468"/>
      <c r="EH666" s="1468" t="e">
        <f t="shared" si="6"/>
        <v>#VALUE!</v>
      </c>
      <c r="EI666" s="1468"/>
      <c r="EJ666" s="1468"/>
      <c r="EK666" s="1468"/>
      <c r="EL666" s="1468"/>
      <c r="EM666" s="1468" t="e">
        <f t="shared" si="7"/>
        <v>#VALUE!</v>
      </c>
      <c r="EN666" s="1468"/>
      <c r="EO666" s="1468"/>
      <c r="EP666" s="1468"/>
      <c r="EQ666" s="1468"/>
      <c r="ER666" s="1468" t="e">
        <f t="shared" si="8"/>
        <v>#VALUE!</v>
      </c>
      <c r="ES666" s="1468"/>
      <c r="ET666" s="1468"/>
      <c r="EU666" s="1468"/>
      <c r="EV666" s="1468"/>
      <c r="EW666" s="1468" t="e">
        <f t="shared" si="9"/>
        <v>#VALUE!</v>
      </c>
      <c r="EX666" s="1468"/>
      <c r="EY666" s="1468"/>
      <c r="EZ666" s="1468"/>
      <c r="FA666" s="1468"/>
    </row>
    <row r="667" spans="1:157" ht="12.95" customHeight="1">
      <c r="A667" s="47" t="s">
        <v>86</v>
      </c>
      <c r="B667" t="s">
        <v>1419</v>
      </c>
      <c r="G667" s="1408">
        <f>C639</f>
        <v>0</v>
      </c>
      <c r="H667" s="1408"/>
      <c r="I667" s="1408"/>
      <c r="J667" s="1408"/>
      <c r="K667" s="1408"/>
      <c r="L667" s="1408"/>
      <c r="M667" s="1408"/>
      <c r="N667" s="1408"/>
      <c r="O667" s="1408"/>
      <c r="P667" s="1408"/>
      <c r="Q667" s="1408"/>
      <c r="R667" s="1408"/>
      <c r="T667" s="47" t="s">
        <v>1410</v>
      </c>
      <c r="U667" t="s">
        <v>1419</v>
      </c>
      <c r="Z667" s="1408">
        <f>C640</f>
        <v>0</v>
      </c>
      <c r="AA667" s="1408"/>
      <c r="AB667" s="1408"/>
      <c r="AC667" s="1408"/>
      <c r="AD667" s="1408"/>
      <c r="AE667" s="1408"/>
      <c r="AF667" s="1408"/>
      <c r="AG667" s="1408"/>
      <c r="AH667" s="1408"/>
      <c r="AI667" s="1408"/>
      <c r="AJ667" s="1408"/>
      <c r="AK667" s="1408"/>
      <c r="AZ667" s="3"/>
      <c r="BA667" s="3"/>
      <c r="BB667" s="3"/>
      <c r="BC667" s="3"/>
      <c r="BD667" s="3"/>
      <c r="BE667" s="3"/>
      <c r="BF667" s="3"/>
      <c r="BG667" s="3"/>
      <c r="BH667" s="3"/>
      <c r="BI667" s="3"/>
      <c r="BJ667" s="3"/>
      <c r="BK667" s="3"/>
      <c r="BL667" s="3"/>
      <c r="BM667" s="3"/>
      <c r="DX667" s="1468" t="e">
        <f t="shared" si="4"/>
        <v>#VALUE!</v>
      </c>
      <c r="DY667" s="1468"/>
      <c r="DZ667" s="1468"/>
      <c r="EA667" s="1468"/>
      <c r="EB667" s="1468"/>
      <c r="EC667" s="1468" t="e">
        <f t="shared" si="5"/>
        <v>#VALUE!</v>
      </c>
      <c r="ED667" s="1468"/>
      <c r="EE667" s="1468"/>
      <c r="EF667" s="1468"/>
      <c r="EG667" s="1468"/>
      <c r="EH667" s="1468" t="e">
        <f t="shared" si="6"/>
        <v>#VALUE!</v>
      </c>
      <c r="EI667" s="1468"/>
      <c r="EJ667" s="1468"/>
      <c r="EK667" s="1468"/>
      <c r="EL667" s="1468"/>
      <c r="EM667" s="1468" t="e">
        <f t="shared" si="7"/>
        <v>#VALUE!</v>
      </c>
      <c r="EN667" s="1468"/>
      <c r="EO667" s="1468"/>
      <c r="EP667" s="1468"/>
      <c r="EQ667" s="1468"/>
      <c r="ER667" s="1468" t="e">
        <f t="shared" si="8"/>
        <v>#VALUE!</v>
      </c>
      <c r="ES667" s="1468"/>
      <c r="ET667" s="1468"/>
      <c r="EU667" s="1468"/>
      <c r="EV667" s="1468"/>
      <c r="EW667" s="1468" t="e">
        <f t="shared" si="9"/>
        <v>#VALUE!</v>
      </c>
      <c r="EX667" s="1468"/>
      <c r="EY667" s="1468"/>
      <c r="EZ667" s="1468"/>
      <c r="FA667" s="1468"/>
    </row>
    <row r="668" spans="1:157" ht="12.95" customHeight="1">
      <c r="A668" s="19"/>
      <c r="B668" t="s">
        <v>1076</v>
      </c>
      <c r="G668" s="1450"/>
      <c r="H668" s="1450"/>
      <c r="I668" s="1450"/>
      <c r="J668" s="1450"/>
      <c r="K668" s="1450"/>
      <c r="L668" s="1450"/>
      <c r="M668" s="1450"/>
      <c r="N668" s="1450"/>
      <c r="O668" s="1450"/>
      <c r="P668" s="1450"/>
      <c r="Q668" s="1450"/>
      <c r="R668" s="1450"/>
      <c r="T668" s="19"/>
      <c r="U668" t="s">
        <v>1076</v>
      </c>
      <c r="Z668" s="1450"/>
      <c r="AA668" s="1450"/>
      <c r="AB668" s="1450"/>
      <c r="AC668" s="1450"/>
      <c r="AD668" s="1450"/>
      <c r="AE668" s="1450"/>
      <c r="AF668" s="1450"/>
      <c r="AG668" s="1450"/>
      <c r="AH668" s="1450"/>
      <c r="AI668" s="1450"/>
      <c r="AJ668" s="1450"/>
      <c r="AK668" s="1450"/>
      <c r="AZ668" s="3"/>
      <c r="BA668" s="3"/>
      <c r="BB668" s="3"/>
      <c r="BC668" s="3"/>
      <c r="BD668" s="3"/>
      <c r="BE668" s="3"/>
      <c r="BF668" s="3"/>
      <c r="BG668" s="3"/>
      <c r="BH668" s="3"/>
      <c r="BI668" s="3"/>
      <c r="BJ668" s="3"/>
      <c r="BK668" s="3"/>
      <c r="BL668" s="3"/>
      <c r="BM668" s="3"/>
      <c r="DX668" s="1468" t="e">
        <f t="shared" si="4"/>
        <v>#VALUE!</v>
      </c>
      <c r="DY668" s="1468"/>
      <c r="DZ668" s="1468"/>
      <c r="EA668" s="1468"/>
      <c r="EB668" s="1468"/>
      <c r="EC668" s="1468" t="e">
        <f t="shared" si="5"/>
        <v>#VALUE!</v>
      </c>
      <c r="ED668" s="1468"/>
      <c r="EE668" s="1468"/>
      <c r="EF668" s="1468"/>
      <c r="EG668" s="1468"/>
      <c r="EH668" s="1468" t="e">
        <f t="shared" si="6"/>
        <v>#VALUE!</v>
      </c>
      <c r="EI668" s="1468"/>
      <c r="EJ668" s="1468"/>
      <c r="EK668" s="1468"/>
      <c r="EL668" s="1468"/>
      <c r="EM668" s="1468" t="e">
        <f t="shared" si="7"/>
        <v>#VALUE!</v>
      </c>
      <c r="EN668" s="1468"/>
      <c r="EO668" s="1468"/>
      <c r="EP668" s="1468"/>
      <c r="EQ668" s="1468"/>
      <c r="ER668" s="1468" t="e">
        <f t="shared" si="8"/>
        <v>#VALUE!</v>
      </c>
      <c r="ES668" s="1468"/>
      <c r="ET668" s="1468"/>
      <c r="EU668" s="1468"/>
      <c r="EV668" s="1468"/>
      <c r="EW668" s="1468" t="e">
        <f t="shared" si="9"/>
        <v>#VALUE!</v>
      </c>
      <c r="EX668" s="1468"/>
      <c r="EY668" s="1468"/>
      <c r="EZ668" s="1468"/>
      <c r="FA668" s="1468"/>
    </row>
    <row r="669" spans="1:157" ht="12.95" customHeight="1">
      <c r="A669" s="19"/>
      <c r="B669" t="s">
        <v>942</v>
      </c>
      <c r="G669" s="1450"/>
      <c r="H669" s="1450"/>
      <c r="I669" s="1450"/>
      <c r="J669" s="1450"/>
      <c r="K669" s="1450"/>
      <c r="L669" s="1450"/>
      <c r="M669" s="1450"/>
      <c r="N669" s="1450"/>
      <c r="O669" s="1450"/>
      <c r="P669" s="1450"/>
      <c r="Q669" s="1450"/>
      <c r="R669" s="1450"/>
      <c r="T669" s="19"/>
      <c r="U669" t="s">
        <v>942</v>
      </c>
      <c r="Z669" s="1431"/>
      <c r="AA669" s="1431"/>
      <c r="AB669" s="1431"/>
      <c r="AC669" s="1431"/>
      <c r="AD669" s="1431"/>
      <c r="AE669" s="1431"/>
      <c r="AF669" s="1431"/>
      <c r="AG669" s="1431"/>
      <c r="AH669" s="1431"/>
      <c r="AI669" s="1431"/>
      <c r="AJ669" s="1431"/>
      <c r="AK669" s="1431"/>
      <c r="AZ669" s="3"/>
      <c r="BA669" s="3"/>
      <c r="BB669" s="3"/>
      <c r="BC669" s="3"/>
      <c r="BD669" s="3"/>
      <c r="BE669" s="3"/>
      <c r="BF669" s="3"/>
      <c r="BG669" s="3"/>
      <c r="BH669" s="3"/>
      <c r="BI669" s="3"/>
      <c r="BJ669" s="3"/>
      <c r="BK669" s="3"/>
      <c r="BL669" s="3"/>
      <c r="BM669" s="3"/>
      <c r="DX669" s="1468" t="e">
        <f t="shared" si="4"/>
        <v>#VALUE!</v>
      </c>
      <c r="DY669" s="1468"/>
      <c r="DZ669" s="1468"/>
      <c r="EA669" s="1468"/>
      <c r="EB669" s="1468"/>
      <c r="EC669" s="1468" t="e">
        <f t="shared" si="5"/>
        <v>#VALUE!</v>
      </c>
      <c r="ED669" s="1468"/>
      <c r="EE669" s="1468"/>
      <c r="EF669" s="1468"/>
      <c r="EG669" s="1468"/>
      <c r="EH669" s="1468" t="e">
        <f t="shared" si="6"/>
        <v>#VALUE!</v>
      </c>
      <c r="EI669" s="1468"/>
      <c r="EJ669" s="1468"/>
      <c r="EK669" s="1468"/>
      <c r="EL669" s="1468"/>
      <c r="EM669" s="1468" t="e">
        <f t="shared" si="7"/>
        <v>#VALUE!</v>
      </c>
      <c r="EN669" s="1468"/>
      <c r="EO669" s="1468"/>
      <c r="EP669" s="1468"/>
      <c r="EQ669" s="1468"/>
      <c r="ER669" s="1468" t="e">
        <f t="shared" si="8"/>
        <v>#VALUE!</v>
      </c>
      <c r="ES669" s="1468"/>
      <c r="ET669" s="1468"/>
      <c r="EU669" s="1468"/>
      <c r="EV669" s="1468"/>
      <c r="EW669" s="1468" t="e">
        <f t="shared" si="9"/>
        <v>#VALUE!</v>
      </c>
      <c r="EX669" s="1468"/>
      <c r="EY669" s="1468"/>
      <c r="EZ669" s="1468"/>
      <c r="FA669" s="1468"/>
    </row>
    <row r="670" spans="1:157" ht="12.95" customHeight="1">
      <c r="A670" s="19"/>
      <c r="B670" t="s">
        <v>1421</v>
      </c>
      <c r="G670" s="1450"/>
      <c r="H670" s="1450"/>
      <c r="I670" s="1450"/>
      <c r="J670" s="1450"/>
      <c r="K670" s="1450"/>
      <c r="L670" s="1450"/>
      <c r="M670" s="1450"/>
      <c r="N670" s="1450"/>
      <c r="O670" s="1450"/>
      <c r="P670" s="1450"/>
      <c r="Q670" s="1450"/>
      <c r="R670" s="1450"/>
      <c r="T670" s="19"/>
      <c r="U670" t="s">
        <v>1421</v>
      </c>
      <c r="Z670" s="1431"/>
      <c r="AA670" s="1431"/>
      <c r="AB670" s="1431"/>
      <c r="AC670" s="1431"/>
      <c r="AD670" s="1431"/>
      <c r="AE670" s="1431"/>
      <c r="AF670" s="1431"/>
      <c r="AG670" s="1431"/>
      <c r="AH670" s="1431"/>
      <c r="AI670" s="1431"/>
      <c r="AJ670" s="1431"/>
      <c r="AK670" s="143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68" t="e">
        <f t="shared" si="4"/>
        <v>#VALUE!</v>
      </c>
      <c r="DY670" s="1468"/>
      <c r="DZ670" s="1468"/>
      <c r="EA670" s="1468"/>
      <c r="EB670" s="1468"/>
      <c r="EC670" s="1468" t="e">
        <f t="shared" si="5"/>
        <v>#VALUE!</v>
      </c>
      <c r="ED670" s="1468"/>
      <c r="EE670" s="1468"/>
      <c r="EF670" s="1468"/>
      <c r="EG670" s="1468"/>
      <c r="EH670" s="1468" t="e">
        <f t="shared" si="6"/>
        <v>#VALUE!</v>
      </c>
      <c r="EI670" s="1468"/>
      <c r="EJ670" s="1468"/>
      <c r="EK670" s="1468"/>
      <c r="EL670" s="1468"/>
      <c r="EM670" s="1468" t="e">
        <f t="shared" si="7"/>
        <v>#VALUE!</v>
      </c>
      <c r="EN670" s="1468"/>
      <c r="EO670" s="1468"/>
      <c r="EP670" s="1468"/>
      <c r="EQ670" s="1468"/>
      <c r="ER670" s="1468" t="e">
        <f t="shared" si="8"/>
        <v>#VALUE!</v>
      </c>
      <c r="ES670" s="1468"/>
      <c r="ET670" s="1468"/>
      <c r="EU670" s="1468"/>
      <c r="EV670" s="1468"/>
      <c r="EW670" s="1468" t="e">
        <f t="shared" si="9"/>
        <v>#VALUE!</v>
      </c>
      <c r="EX670" s="1468"/>
      <c r="EY670" s="1468"/>
      <c r="EZ670" s="1468"/>
      <c r="FA670" s="1468"/>
    </row>
    <row r="671" spans="1:157" ht="12.95" customHeight="1">
      <c r="A671" s="19"/>
      <c r="B671" t="s">
        <v>836</v>
      </c>
      <c r="G671" s="1564"/>
      <c r="H671" s="1564"/>
      <c r="I671" s="1564"/>
      <c r="J671" s="1564"/>
      <c r="K671" s="1564"/>
      <c r="L671" s="1564"/>
      <c r="O671" s="918" t="s">
        <v>1084</v>
      </c>
      <c r="P671" s="1354"/>
      <c r="Q671" s="1354"/>
      <c r="R671" s="1354"/>
      <c r="T671" s="19"/>
      <c r="U671" t="s">
        <v>836</v>
      </c>
      <c r="Z671" s="1564"/>
      <c r="AA671" s="1564"/>
      <c r="AB671" s="1564"/>
      <c r="AC671" s="1564"/>
      <c r="AD671" s="1564"/>
      <c r="AE671" s="1564"/>
      <c r="AH671" s="918" t="s">
        <v>1084</v>
      </c>
      <c r="AI671" s="1354"/>
      <c r="AJ671" s="1354"/>
      <c r="AK671" s="135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68" t="e">
        <f t="shared" si="4"/>
        <v>#VALUE!</v>
      </c>
      <c r="DY671" s="1468"/>
      <c r="DZ671" s="1468"/>
      <c r="EA671" s="1468"/>
      <c r="EB671" s="1468"/>
      <c r="EC671" s="1468" t="e">
        <f t="shared" si="5"/>
        <v>#VALUE!</v>
      </c>
      <c r="ED671" s="1468"/>
      <c r="EE671" s="1468"/>
      <c r="EF671" s="1468"/>
      <c r="EG671" s="1468"/>
      <c r="EH671" s="1468" t="e">
        <f t="shared" si="6"/>
        <v>#VALUE!</v>
      </c>
      <c r="EI671" s="1468"/>
      <c r="EJ671" s="1468"/>
      <c r="EK671" s="1468"/>
      <c r="EL671" s="1468"/>
      <c r="EM671" s="1468" t="e">
        <f t="shared" si="7"/>
        <v>#VALUE!</v>
      </c>
      <c r="EN671" s="1468"/>
      <c r="EO671" s="1468"/>
      <c r="EP671" s="1468"/>
      <c r="EQ671" s="1468"/>
      <c r="ER671" s="1468" t="e">
        <f t="shared" si="8"/>
        <v>#VALUE!</v>
      </c>
      <c r="ES671" s="1468"/>
      <c r="ET671" s="1468"/>
      <c r="EU671" s="1468"/>
      <c r="EV671" s="1468"/>
      <c r="EW671" s="1468" t="e">
        <f t="shared" si="9"/>
        <v>#VALUE!</v>
      </c>
      <c r="EX671" s="1468"/>
      <c r="EY671" s="1468"/>
      <c r="EZ671" s="1468"/>
      <c r="FA671" s="1468"/>
    </row>
    <row r="672" spans="1:157" ht="12.95" customHeight="1">
      <c r="A672" s="19"/>
      <c r="B672" t="s">
        <v>1424</v>
      </c>
      <c r="H672" s="1450"/>
      <c r="I672" s="1450"/>
      <c r="J672" s="1450"/>
      <c r="K672" s="1450"/>
      <c r="L672" s="1450"/>
      <c r="M672" s="1450"/>
      <c r="N672" s="1450"/>
      <c r="O672" s="1450"/>
      <c r="P672" s="1450"/>
      <c r="Q672" s="1450"/>
      <c r="R672" s="1450"/>
      <c r="T672" s="19"/>
      <c r="U672" t="s">
        <v>1424</v>
      </c>
      <c r="AA672" s="1450"/>
      <c r="AB672" s="1450"/>
      <c r="AC672" s="1450"/>
      <c r="AD672" s="1450"/>
      <c r="AE672" s="1450"/>
      <c r="AF672" s="1450"/>
      <c r="AG672" s="1450"/>
      <c r="AH672" s="1450"/>
      <c r="AI672" s="1450"/>
      <c r="AJ672" s="1450"/>
      <c r="AK672" s="145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68" t="e">
        <f t="shared" si="4"/>
        <v>#VALUE!</v>
      </c>
      <c r="DY672" s="1468"/>
      <c r="DZ672" s="1468"/>
      <c r="EA672" s="1468"/>
      <c r="EB672" s="1468"/>
      <c r="EC672" s="1468" t="e">
        <f t="shared" si="5"/>
        <v>#VALUE!</v>
      </c>
      <c r="ED672" s="1468"/>
      <c r="EE672" s="1468"/>
      <c r="EF672" s="1468"/>
      <c r="EG672" s="1468"/>
      <c r="EH672" s="1468" t="e">
        <f t="shared" si="6"/>
        <v>#VALUE!</v>
      </c>
      <c r="EI672" s="1468"/>
      <c r="EJ672" s="1468"/>
      <c r="EK672" s="1468"/>
      <c r="EL672" s="1468"/>
      <c r="EM672" s="1468" t="e">
        <f t="shared" si="7"/>
        <v>#VALUE!</v>
      </c>
      <c r="EN672" s="1468"/>
      <c r="EO672" s="1468"/>
      <c r="EP672" s="1468"/>
      <c r="EQ672" s="1468"/>
      <c r="ER672" s="1468" t="e">
        <f t="shared" si="8"/>
        <v>#VALUE!</v>
      </c>
      <c r="ES672" s="1468"/>
      <c r="ET672" s="1468"/>
      <c r="EU672" s="1468"/>
      <c r="EV672" s="1468"/>
      <c r="EW672" s="1468" t="e">
        <f t="shared" si="9"/>
        <v>#VALUE!</v>
      </c>
      <c r="EX672" s="1468"/>
      <c r="EY672" s="1468"/>
      <c r="EZ672" s="1468"/>
      <c r="FA672" s="1468"/>
    </row>
    <row r="673" spans="1:157" ht="12.95" customHeight="1">
      <c r="A673" s="19"/>
      <c r="B673" t="s">
        <v>1427</v>
      </c>
      <c r="N673" s="1310" t="s">
        <v>700</v>
      </c>
      <c r="O673" s="1310"/>
      <c r="T673" s="19"/>
      <c r="U673" t="s">
        <v>1427</v>
      </c>
      <c r="AG673" s="1310" t="s">
        <v>700</v>
      </c>
      <c r="AH673" s="131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68" t="e">
        <f t="shared" si="4"/>
        <v>#VALUE!</v>
      </c>
      <c r="DY673" s="1468"/>
      <c r="DZ673" s="1468"/>
      <c r="EA673" s="1468"/>
      <c r="EB673" s="1468"/>
      <c r="EC673" s="1468" t="e">
        <f t="shared" si="5"/>
        <v>#VALUE!</v>
      </c>
      <c r="ED673" s="1468"/>
      <c r="EE673" s="1468"/>
      <c r="EF673" s="1468"/>
      <c r="EG673" s="1468"/>
      <c r="EH673" s="1468" t="e">
        <f t="shared" si="6"/>
        <v>#VALUE!</v>
      </c>
      <c r="EI673" s="1468"/>
      <c r="EJ673" s="1468"/>
      <c r="EK673" s="1468"/>
      <c r="EL673" s="1468"/>
      <c r="EM673" s="1468" t="e">
        <f t="shared" si="7"/>
        <v>#VALUE!</v>
      </c>
      <c r="EN673" s="1468"/>
      <c r="EO673" s="1468"/>
      <c r="EP673" s="1468"/>
      <c r="EQ673" s="1468"/>
      <c r="ER673" s="1468" t="e">
        <f t="shared" si="8"/>
        <v>#VALUE!</v>
      </c>
      <c r="ES673" s="1468"/>
      <c r="ET673" s="1468"/>
      <c r="EU673" s="1468"/>
      <c r="EV673" s="1468"/>
      <c r="EW673" s="1468" t="e">
        <f t="shared" si="9"/>
        <v>#VALUE!</v>
      </c>
      <c r="EX673" s="1468"/>
      <c r="EY673" s="1468"/>
      <c r="EZ673" s="1468"/>
      <c r="FA673" s="1468"/>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68" t="e">
        <f t="shared" si="4"/>
        <v>#VALUE!</v>
      </c>
      <c r="DY674" s="1468"/>
      <c r="DZ674" s="1468"/>
      <c r="EA674" s="1468"/>
      <c r="EB674" s="1468"/>
      <c r="EC674" s="1468" t="e">
        <f t="shared" si="5"/>
        <v>#VALUE!</v>
      </c>
      <c r="ED674" s="1468"/>
      <c r="EE674" s="1468"/>
      <c r="EF674" s="1468"/>
      <c r="EG674" s="1468"/>
      <c r="EH674" s="1468" t="e">
        <f t="shared" si="6"/>
        <v>#VALUE!</v>
      </c>
      <c r="EI674" s="1468"/>
      <c r="EJ674" s="1468"/>
      <c r="EK674" s="1468"/>
      <c r="EL674" s="1468"/>
      <c r="EM674" s="1468" t="e">
        <f t="shared" si="7"/>
        <v>#VALUE!</v>
      </c>
      <c r="EN674" s="1468"/>
      <c r="EO674" s="1468"/>
      <c r="EP674" s="1468"/>
      <c r="EQ674" s="1468"/>
      <c r="ER674" s="1468" t="e">
        <f t="shared" si="8"/>
        <v>#VALUE!</v>
      </c>
      <c r="ES674" s="1468"/>
      <c r="ET674" s="1468"/>
      <c r="EU674" s="1468"/>
      <c r="EV674" s="1468"/>
      <c r="EW674" s="1468" t="e">
        <f t="shared" si="9"/>
        <v>#VALUE!</v>
      </c>
      <c r="EX674" s="1468"/>
      <c r="EY674" s="1468"/>
      <c r="EZ674" s="1468"/>
      <c r="FA674" s="1468"/>
    </row>
    <row r="675" spans="1:157" ht="12.95" customHeight="1">
      <c r="A675" s="47" t="s">
        <v>1412</v>
      </c>
      <c r="B675" t="s">
        <v>1419</v>
      </c>
      <c r="G675" s="1408">
        <f>C641</f>
        <v>0</v>
      </c>
      <c r="H675" s="1408"/>
      <c r="I675" s="1408"/>
      <c r="J675" s="1408"/>
      <c r="K675" s="1408"/>
      <c r="L675" s="1408"/>
      <c r="M675" s="1408"/>
      <c r="N675" s="1408"/>
      <c r="O675" s="1408"/>
      <c r="P675" s="1408"/>
      <c r="Q675" s="1408"/>
      <c r="R675" s="1408"/>
      <c r="T675" s="47" t="s">
        <v>1413</v>
      </c>
      <c r="U675" t="s">
        <v>1419</v>
      </c>
      <c r="Z675" s="1408">
        <f>C642</f>
        <v>0</v>
      </c>
      <c r="AA675" s="1408"/>
      <c r="AB675" s="1408"/>
      <c r="AC675" s="1408"/>
      <c r="AD675" s="1408"/>
      <c r="AE675" s="1408"/>
      <c r="AF675" s="1408"/>
      <c r="AG675" s="1408"/>
      <c r="AH675" s="1408"/>
      <c r="AI675" s="1408"/>
      <c r="AJ675" s="1408"/>
      <c r="AK675" s="140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68" t="e">
        <f t="shared" si="4"/>
        <v>#VALUE!</v>
      </c>
      <c r="DY675" s="1468"/>
      <c r="DZ675" s="1468"/>
      <c r="EA675" s="1468"/>
      <c r="EB675" s="1468"/>
      <c r="EC675" s="1468" t="e">
        <f t="shared" si="5"/>
        <v>#VALUE!</v>
      </c>
      <c r="ED675" s="1468"/>
      <c r="EE675" s="1468"/>
      <c r="EF675" s="1468"/>
      <c r="EG675" s="1468"/>
      <c r="EH675" s="1468" t="e">
        <f t="shared" si="6"/>
        <v>#VALUE!</v>
      </c>
      <c r="EI675" s="1468"/>
      <c r="EJ675" s="1468"/>
      <c r="EK675" s="1468"/>
      <c r="EL675" s="1468"/>
      <c r="EM675" s="1468" t="e">
        <f t="shared" si="7"/>
        <v>#VALUE!</v>
      </c>
      <c r="EN675" s="1468"/>
      <c r="EO675" s="1468"/>
      <c r="EP675" s="1468"/>
      <c r="EQ675" s="1468"/>
      <c r="ER675" s="1468" t="e">
        <f t="shared" si="8"/>
        <v>#VALUE!</v>
      </c>
      <c r="ES675" s="1468"/>
      <c r="ET675" s="1468"/>
      <c r="EU675" s="1468"/>
      <c r="EV675" s="1468"/>
      <c r="EW675" s="1468" t="e">
        <f t="shared" si="9"/>
        <v>#VALUE!</v>
      </c>
      <c r="EX675" s="1468"/>
      <c r="EY675" s="1468"/>
      <c r="EZ675" s="1468"/>
      <c r="FA675" s="1468"/>
    </row>
    <row r="676" spans="1:157" ht="12.95" customHeight="1">
      <c r="A676" s="19"/>
      <c r="B676" t="s">
        <v>1076</v>
      </c>
      <c r="G676" s="1450"/>
      <c r="H676" s="1450"/>
      <c r="I676" s="1450"/>
      <c r="J676" s="1450"/>
      <c r="K676" s="1450"/>
      <c r="L676" s="1450"/>
      <c r="M676" s="1450"/>
      <c r="N676" s="1450"/>
      <c r="O676" s="1450"/>
      <c r="P676" s="1450"/>
      <c r="Q676" s="1450"/>
      <c r="R676" s="1450"/>
      <c r="T676" s="19"/>
      <c r="U676" t="s">
        <v>1076</v>
      </c>
      <c r="Z676" s="1450"/>
      <c r="AA676" s="1450"/>
      <c r="AB676" s="1450"/>
      <c r="AC676" s="1450"/>
      <c r="AD676" s="1450"/>
      <c r="AE676" s="1450"/>
      <c r="AF676" s="1450"/>
      <c r="AG676" s="1450"/>
      <c r="AH676" s="1450"/>
      <c r="AI676" s="1450"/>
      <c r="AJ676" s="1450"/>
      <c r="AK676" s="145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68" t="e">
        <f t="shared" si="4"/>
        <v>#VALUE!</v>
      </c>
      <c r="DY676" s="1468"/>
      <c r="DZ676" s="1468"/>
      <c r="EA676" s="1468"/>
      <c r="EB676" s="1468"/>
      <c r="EC676" s="1468" t="e">
        <f t="shared" si="5"/>
        <v>#VALUE!</v>
      </c>
      <c r="ED676" s="1468"/>
      <c r="EE676" s="1468"/>
      <c r="EF676" s="1468"/>
      <c r="EG676" s="1468"/>
      <c r="EH676" s="1468" t="e">
        <f t="shared" si="6"/>
        <v>#VALUE!</v>
      </c>
      <c r="EI676" s="1468"/>
      <c r="EJ676" s="1468"/>
      <c r="EK676" s="1468"/>
      <c r="EL676" s="1468"/>
      <c r="EM676" s="1468" t="e">
        <f t="shared" si="7"/>
        <v>#VALUE!</v>
      </c>
      <c r="EN676" s="1468"/>
      <c r="EO676" s="1468"/>
      <c r="EP676" s="1468"/>
      <c r="EQ676" s="1468"/>
      <c r="ER676" s="1468" t="e">
        <f t="shared" si="8"/>
        <v>#VALUE!</v>
      </c>
      <c r="ES676" s="1468"/>
      <c r="ET676" s="1468"/>
      <c r="EU676" s="1468"/>
      <c r="EV676" s="1468"/>
      <c r="EW676" s="1468" t="e">
        <f t="shared" si="9"/>
        <v>#VALUE!</v>
      </c>
      <c r="EX676" s="1468"/>
      <c r="EY676" s="1468"/>
      <c r="EZ676" s="1468"/>
      <c r="FA676" s="1468"/>
    </row>
    <row r="677" spans="1:157" ht="12.95" customHeight="1">
      <c r="A677" s="19"/>
      <c r="B677" t="s">
        <v>942</v>
      </c>
      <c r="G677" s="1450"/>
      <c r="H677" s="1450"/>
      <c r="I677" s="1450"/>
      <c r="J677" s="1450"/>
      <c r="K677" s="1450"/>
      <c r="L677" s="1450"/>
      <c r="M677" s="1450"/>
      <c r="N677" s="1450"/>
      <c r="O677" s="1450"/>
      <c r="P677" s="1450"/>
      <c r="Q677" s="1450"/>
      <c r="R677" s="1450"/>
      <c r="T677" s="19"/>
      <c r="U677" t="s">
        <v>942</v>
      </c>
      <c r="Z677" s="1431"/>
      <c r="AA677" s="1431"/>
      <c r="AB677" s="1431"/>
      <c r="AC677" s="1431"/>
      <c r="AD677" s="1431"/>
      <c r="AE677" s="1431"/>
      <c r="AF677" s="1431"/>
      <c r="AG677" s="1431"/>
      <c r="AH677" s="1431"/>
      <c r="AI677" s="1431"/>
      <c r="AJ677" s="1431"/>
      <c r="AK677" s="143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68" t="e">
        <f t="shared" si="4"/>
        <v>#VALUE!</v>
      </c>
      <c r="DY677" s="1468"/>
      <c r="DZ677" s="1468"/>
      <c r="EA677" s="1468"/>
      <c r="EB677" s="1468"/>
      <c r="EC677" s="1468" t="e">
        <f t="shared" si="5"/>
        <v>#VALUE!</v>
      </c>
      <c r="ED677" s="1468"/>
      <c r="EE677" s="1468"/>
      <c r="EF677" s="1468"/>
      <c r="EG677" s="1468"/>
      <c r="EH677" s="1468" t="e">
        <f t="shared" si="6"/>
        <v>#VALUE!</v>
      </c>
      <c r="EI677" s="1468"/>
      <c r="EJ677" s="1468"/>
      <c r="EK677" s="1468"/>
      <c r="EL677" s="1468"/>
      <c r="EM677" s="1468" t="e">
        <f t="shared" si="7"/>
        <v>#VALUE!</v>
      </c>
      <c r="EN677" s="1468"/>
      <c r="EO677" s="1468"/>
      <c r="EP677" s="1468"/>
      <c r="EQ677" s="1468"/>
      <c r="ER677" s="1468" t="e">
        <f t="shared" si="8"/>
        <v>#VALUE!</v>
      </c>
      <c r="ES677" s="1468"/>
      <c r="ET677" s="1468"/>
      <c r="EU677" s="1468"/>
      <c r="EV677" s="1468"/>
      <c r="EW677" s="1468" t="e">
        <f t="shared" si="9"/>
        <v>#VALUE!</v>
      </c>
      <c r="EX677" s="1468"/>
      <c r="EY677" s="1468"/>
      <c r="EZ677" s="1468"/>
      <c r="FA677" s="1468"/>
    </row>
    <row r="678" spans="1:157" ht="12.95" customHeight="1">
      <c r="A678" s="19"/>
      <c r="B678" t="s">
        <v>1421</v>
      </c>
      <c r="G678" s="1450"/>
      <c r="H678" s="1450"/>
      <c r="I678" s="1450"/>
      <c r="J678" s="1450"/>
      <c r="K678" s="1450"/>
      <c r="L678" s="1450"/>
      <c r="M678" s="1450"/>
      <c r="N678" s="1450"/>
      <c r="O678" s="1450"/>
      <c r="P678" s="1450"/>
      <c r="Q678" s="1450"/>
      <c r="R678" s="1450"/>
      <c r="T678" s="19"/>
      <c r="U678" t="s">
        <v>1421</v>
      </c>
      <c r="Z678" s="1431"/>
      <c r="AA678" s="1431"/>
      <c r="AB678" s="1431"/>
      <c r="AC678" s="1431"/>
      <c r="AD678" s="1431"/>
      <c r="AE678" s="1431"/>
      <c r="AF678" s="1431"/>
      <c r="AG678" s="1431"/>
      <c r="AH678" s="1431"/>
      <c r="AI678" s="1431"/>
      <c r="AJ678" s="1431"/>
      <c r="AK678" s="143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68">
        <f>SUMIF(DX643:EB677,"&gt;0")</f>
        <v>0</v>
      </c>
      <c r="DY678" s="1468"/>
      <c r="DZ678" s="1468"/>
      <c r="EA678" s="1468"/>
      <c r="EB678" s="1468"/>
      <c r="EC678" s="1468">
        <f>SUMIF(EC643:EG677,"&gt;0")</f>
        <v>1083.5857142857142</v>
      </c>
      <c r="ED678" s="1468"/>
      <c r="EE678" s="1468"/>
      <c r="EF678" s="1468"/>
      <c r="EG678" s="1468"/>
      <c r="EH678" s="1468">
        <f>SUMIF(EH643:EL677,"&gt;0")</f>
        <v>1422.3076923076924</v>
      </c>
      <c r="EI678" s="1468"/>
      <c r="EJ678" s="1468"/>
      <c r="EK678" s="1468"/>
      <c r="EL678" s="1468"/>
      <c r="EM678" s="1468">
        <f>SUMIF(EM643:EQ677,"&gt;0")</f>
        <v>0</v>
      </c>
      <c r="EN678" s="1468"/>
      <c r="EO678" s="1468"/>
      <c r="EP678" s="1468"/>
      <c r="EQ678" s="1468"/>
      <c r="ER678" s="1468">
        <f>SUMIF(ER643:EV677,"&gt;0")</f>
        <v>0</v>
      </c>
      <c r="ES678" s="1468"/>
      <c r="ET678" s="1468"/>
      <c r="EU678" s="1468"/>
      <c r="EV678" s="1468"/>
      <c r="EW678" s="1468">
        <f>SUMIF(EW643:FA677,"&gt;0")</f>
        <v>0</v>
      </c>
      <c r="EX678" s="1468"/>
      <c r="EY678" s="1468"/>
      <c r="EZ678" s="1468"/>
      <c r="FA678" s="1468"/>
    </row>
    <row r="679" spans="1:157" ht="12.95" customHeight="1">
      <c r="A679" s="19"/>
      <c r="B679" t="s">
        <v>836</v>
      </c>
      <c r="G679" s="1564"/>
      <c r="H679" s="1564"/>
      <c r="I679" s="1564"/>
      <c r="J679" s="1564"/>
      <c r="K679" s="1564"/>
      <c r="L679" s="1564"/>
      <c r="O679" s="918" t="s">
        <v>1084</v>
      </c>
      <c r="P679" s="1354"/>
      <c r="Q679" s="1354"/>
      <c r="R679" s="1354"/>
      <c r="T679" s="19"/>
      <c r="U679" t="s">
        <v>836</v>
      </c>
      <c r="Z679" s="1564"/>
      <c r="AA679" s="1564"/>
      <c r="AB679" s="1564"/>
      <c r="AC679" s="1564"/>
      <c r="AD679" s="1564"/>
      <c r="AE679" s="1564"/>
      <c r="AH679" s="918" t="s">
        <v>1084</v>
      </c>
      <c r="AI679" s="1354"/>
      <c r="AJ679" s="1354"/>
      <c r="AK679" s="135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1424</v>
      </c>
      <c r="H680" s="1450"/>
      <c r="I680" s="1450"/>
      <c r="J680" s="1450"/>
      <c r="K680" s="1450"/>
      <c r="L680" s="1450"/>
      <c r="M680" s="1450"/>
      <c r="N680" s="1450"/>
      <c r="O680" s="1450"/>
      <c r="P680" s="1450"/>
      <c r="Q680" s="1450"/>
      <c r="R680" s="1450"/>
      <c r="T680" s="19"/>
      <c r="U680" t="s">
        <v>1424</v>
      </c>
      <c r="AA680" s="1450"/>
      <c r="AB680" s="1450"/>
      <c r="AC680" s="1450"/>
      <c r="AD680" s="1450"/>
      <c r="AE680" s="1450"/>
      <c r="AF680" s="1450"/>
      <c r="AG680" s="1450"/>
      <c r="AH680" s="1450"/>
      <c r="AI680" s="1450"/>
      <c r="AJ680" s="1450"/>
      <c r="AK680" s="145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1427</v>
      </c>
      <c r="N681" s="1310" t="s">
        <v>700</v>
      </c>
      <c r="O681" s="1310"/>
      <c r="T681" s="19"/>
      <c r="U681" t="s">
        <v>1427</v>
      </c>
      <c r="AG681" s="1310" t="s">
        <v>700</v>
      </c>
      <c r="AH681" s="1310"/>
      <c r="AZ681" s="3"/>
    </row>
    <row r="682" spans="1:157" ht="12.95" customHeight="1">
      <c r="A682" s="19"/>
      <c r="T682" s="19"/>
      <c r="AZ682" s="3"/>
    </row>
    <row r="683" spans="1:157" ht="12.95" customHeight="1">
      <c r="A683" s="47" t="s">
        <v>1414</v>
      </c>
      <c r="B683" t="s">
        <v>1419</v>
      </c>
      <c r="G683" s="1408">
        <f>C643</f>
        <v>0</v>
      </c>
      <c r="H683" s="1408"/>
      <c r="I683" s="1408"/>
      <c r="J683" s="1408"/>
      <c r="K683" s="1408"/>
      <c r="L683" s="1408"/>
      <c r="M683" s="1408"/>
      <c r="N683" s="1408"/>
      <c r="O683" s="1408"/>
      <c r="P683" s="1408"/>
      <c r="Q683" s="1408"/>
      <c r="R683" s="1408"/>
      <c r="T683" s="47" t="s">
        <v>1415</v>
      </c>
      <c r="U683" t="s">
        <v>1419</v>
      </c>
      <c r="Z683" s="1408">
        <f>C644</f>
        <v>0</v>
      </c>
      <c r="AA683" s="1408"/>
      <c r="AB683" s="1408"/>
      <c r="AC683" s="1408"/>
      <c r="AD683" s="1408"/>
      <c r="AE683" s="1408"/>
      <c r="AF683" s="1408"/>
      <c r="AG683" s="1408"/>
      <c r="AH683" s="1408"/>
      <c r="AI683" s="1408"/>
      <c r="AJ683" s="1408"/>
      <c r="AK683" s="1408"/>
      <c r="AZ683" s="3"/>
    </row>
    <row r="684" spans="1:157" ht="12.95" customHeight="1">
      <c r="A684" s="19"/>
      <c r="B684" t="s">
        <v>1076</v>
      </c>
      <c r="G684" s="1450"/>
      <c r="H684" s="1450"/>
      <c r="I684" s="1450"/>
      <c r="J684" s="1450"/>
      <c r="K684" s="1450"/>
      <c r="L684" s="1450"/>
      <c r="M684" s="1450"/>
      <c r="N684" s="1450"/>
      <c r="O684" s="1450"/>
      <c r="P684" s="1450"/>
      <c r="Q684" s="1450"/>
      <c r="R684" s="1450"/>
      <c r="T684" s="19"/>
      <c r="U684" t="s">
        <v>1076</v>
      </c>
      <c r="Z684" s="1450"/>
      <c r="AA684" s="1450"/>
      <c r="AB684" s="1450"/>
      <c r="AC684" s="1450"/>
      <c r="AD684" s="1450"/>
      <c r="AE684" s="1450"/>
      <c r="AF684" s="1450"/>
      <c r="AG684" s="1450"/>
      <c r="AH684" s="1450"/>
      <c r="AI684" s="1450"/>
      <c r="AJ684" s="1450"/>
      <c r="AK684" s="1450"/>
      <c r="AZ684" s="3"/>
    </row>
    <row r="685" spans="1:157" ht="12.95" customHeight="1">
      <c r="A685" s="19"/>
      <c r="B685" t="s">
        <v>942</v>
      </c>
      <c r="G685" s="1450"/>
      <c r="H685" s="1450"/>
      <c r="I685" s="1450"/>
      <c r="J685" s="1450"/>
      <c r="K685" s="1450"/>
      <c r="L685" s="1450"/>
      <c r="M685" s="1450"/>
      <c r="N685" s="1450"/>
      <c r="O685" s="1450"/>
      <c r="P685" s="1450"/>
      <c r="Q685" s="1450"/>
      <c r="R685" s="1450"/>
      <c r="T685" s="19"/>
      <c r="U685" t="s">
        <v>942</v>
      </c>
      <c r="Z685" s="1431"/>
      <c r="AA685" s="1431"/>
      <c r="AB685" s="1431"/>
      <c r="AC685" s="1431"/>
      <c r="AD685" s="1431"/>
      <c r="AE685" s="1431"/>
      <c r="AF685" s="1431"/>
      <c r="AG685" s="1431"/>
      <c r="AH685" s="1431"/>
      <c r="AI685" s="1431"/>
      <c r="AJ685" s="1431"/>
      <c r="AK685" s="1431"/>
      <c r="AZ685" s="3"/>
    </row>
    <row r="686" spans="1:157" ht="12.95" customHeight="1">
      <c r="A686" s="19"/>
      <c r="B686" t="s">
        <v>1421</v>
      </c>
      <c r="G686" s="1450"/>
      <c r="H686" s="1450"/>
      <c r="I686" s="1450"/>
      <c r="J686" s="1450"/>
      <c r="K686" s="1450"/>
      <c r="L686" s="1450"/>
      <c r="M686" s="1450"/>
      <c r="N686" s="1450"/>
      <c r="O686" s="1450"/>
      <c r="P686" s="1450"/>
      <c r="Q686" s="1450"/>
      <c r="R686" s="1450"/>
      <c r="T686" s="19"/>
      <c r="U686" t="s">
        <v>1421</v>
      </c>
      <c r="Z686" s="1431"/>
      <c r="AA686" s="1431"/>
      <c r="AB686" s="1431"/>
      <c r="AC686" s="1431"/>
      <c r="AD686" s="1431"/>
      <c r="AE686" s="1431"/>
      <c r="AF686" s="1431"/>
      <c r="AG686" s="1431"/>
      <c r="AH686" s="1431"/>
      <c r="AI686" s="1431"/>
      <c r="AJ686" s="1431"/>
      <c r="AK686" s="1431"/>
      <c r="AZ686" s="3"/>
    </row>
    <row r="687" spans="1:157" ht="12.95" customHeight="1">
      <c r="A687" s="19"/>
      <c r="B687" t="s">
        <v>836</v>
      </c>
      <c r="G687" s="1564"/>
      <c r="H687" s="1564"/>
      <c r="I687" s="1564"/>
      <c r="J687" s="1564"/>
      <c r="K687" s="1564"/>
      <c r="L687" s="1564"/>
      <c r="O687" s="918" t="s">
        <v>1084</v>
      </c>
      <c r="P687" s="1354"/>
      <c r="Q687" s="1354"/>
      <c r="R687" s="1354"/>
      <c r="T687" s="19"/>
      <c r="U687" t="s">
        <v>836</v>
      </c>
      <c r="Z687" s="1564"/>
      <c r="AA687" s="1564"/>
      <c r="AB687" s="1564"/>
      <c r="AC687" s="1564"/>
      <c r="AD687" s="1564"/>
      <c r="AE687" s="1564"/>
      <c r="AH687" s="918" t="s">
        <v>1084</v>
      </c>
      <c r="AI687" s="1354"/>
      <c r="AJ687" s="1354"/>
      <c r="AK687" s="1354"/>
      <c r="AZ687" s="3"/>
    </row>
    <row r="688" spans="1:157" ht="12.95" customHeight="1">
      <c r="A688" s="19"/>
      <c r="B688" t="s">
        <v>1424</v>
      </c>
      <c r="H688" s="1450"/>
      <c r="I688" s="1450"/>
      <c r="J688" s="1450"/>
      <c r="K688" s="1450"/>
      <c r="L688" s="1450"/>
      <c r="M688" s="1450"/>
      <c r="N688" s="1450"/>
      <c r="O688" s="1450"/>
      <c r="P688" s="1450"/>
      <c r="Q688" s="1450"/>
      <c r="R688" s="1450"/>
      <c r="T688" s="19"/>
      <c r="U688" t="s">
        <v>1424</v>
      </c>
      <c r="AA688" s="1450"/>
      <c r="AB688" s="1450"/>
      <c r="AC688" s="1450"/>
      <c r="AD688" s="1450"/>
      <c r="AE688" s="1450"/>
      <c r="AF688" s="1450"/>
      <c r="AG688" s="1450"/>
      <c r="AH688" s="1450"/>
      <c r="AI688" s="1450"/>
      <c r="AJ688" s="1450"/>
      <c r="AK688" s="1450"/>
      <c r="AZ688" s="3"/>
    </row>
    <row r="689" spans="1:52" ht="12.95" customHeight="1">
      <c r="A689" s="19"/>
      <c r="B689" t="s">
        <v>1427</v>
      </c>
      <c r="N689" s="1310" t="s">
        <v>700</v>
      </c>
      <c r="O689" s="1310"/>
      <c r="T689" s="19"/>
      <c r="U689" t="s">
        <v>1427</v>
      </c>
      <c r="AG689" s="1310" t="s">
        <v>700</v>
      </c>
      <c r="AH689" s="1310"/>
      <c r="AZ689" s="3"/>
    </row>
    <row r="690" spans="1:52" ht="12.95" customHeight="1">
      <c r="A690" s="19"/>
      <c r="T690" s="19"/>
      <c r="AZ690" s="3"/>
    </row>
    <row r="691" spans="1:52" ht="12.95" customHeight="1">
      <c r="A691" s="47" t="s">
        <v>1416</v>
      </c>
      <c r="B691" t="s">
        <v>1419</v>
      </c>
      <c r="G691" s="1408">
        <f>C645</f>
        <v>0</v>
      </c>
      <c r="H691" s="1408"/>
      <c r="I691" s="1408"/>
      <c r="J691" s="1408"/>
      <c r="K691" s="1408"/>
      <c r="L691" s="1408"/>
      <c r="M691" s="1408"/>
      <c r="N691" s="1408"/>
      <c r="O691" s="1408"/>
      <c r="P691" s="1408"/>
      <c r="Q691" s="1408"/>
      <c r="R691" s="1408"/>
      <c r="T691" s="47" t="s">
        <v>1417</v>
      </c>
      <c r="U691" t="s">
        <v>1419</v>
      </c>
      <c r="Z691" s="1408">
        <f>C646</f>
        <v>0</v>
      </c>
      <c r="AA691" s="1408"/>
      <c r="AB691" s="1408"/>
      <c r="AC691" s="1408"/>
      <c r="AD691" s="1408"/>
      <c r="AE691" s="1408"/>
      <c r="AF691" s="1408"/>
      <c r="AG691" s="1408"/>
      <c r="AH691" s="1408"/>
      <c r="AI691" s="1408"/>
      <c r="AJ691" s="1408"/>
      <c r="AK691" s="1408"/>
      <c r="AZ691" s="3"/>
    </row>
    <row r="692" spans="1:52" ht="12.95" customHeight="1">
      <c r="B692" t="s">
        <v>1076</v>
      </c>
      <c r="G692" s="1450"/>
      <c r="H692" s="1450"/>
      <c r="I692" s="1450"/>
      <c r="J692" s="1450"/>
      <c r="K692" s="1450"/>
      <c r="L692" s="1450"/>
      <c r="M692" s="1450"/>
      <c r="N692" s="1450"/>
      <c r="O692" s="1450"/>
      <c r="P692" s="1450"/>
      <c r="Q692" s="1450"/>
      <c r="R692" s="1450"/>
      <c r="T692" s="19"/>
      <c r="U692" t="s">
        <v>1076</v>
      </c>
      <c r="Z692" s="1450"/>
      <c r="AA692" s="1450"/>
      <c r="AB692" s="1450"/>
      <c r="AC692" s="1450"/>
      <c r="AD692" s="1450"/>
      <c r="AE692" s="1450"/>
      <c r="AF692" s="1450"/>
      <c r="AG692" s="1450"/>
      <c r="AH692" s="1450"/>
      <c r="AI692" s="1450"/>
      <c r="AJ692" s="1450"/>
      <c r="AK692" s="1450"/>
      <c r="AZ692" s="3"/>
    </row>
    <row r="693" spans="1:52" ht="12.95" customHeight="1">
      <c r="B693" t="s">
        <v>942</v>
      </c>
      <c r="G693" s="1450"/>
      <c r="H693" s="1450"/>
      <c r="I693" s="1450"/>
      <c r="J693" s="1450"/>
      <c r="K693" s="1450"/>
      <c r="L693" s="1450"/>
      <c r="M693" s="1450"/>
      <c r="N693" s="1450"/>
      <c r="O693" s="1450"/>
      <c r="P693" s="1450"/>
      <c r="Q693" s="1450"/>
      <c r="R693" s="1450"/>
      <c r="U693" t="s">
        <v>942</v>
      </c>
      <c r="Z693" s="1431"/>
      <c r="AA693" s="1431"/>
      <c r="AB693" s="1431"/>
      <c r="AC693" s="1431"/>
      <c r="AD693" s="1431"/>
      <c r="AE693" s="1431"/>
      <c r="AF693" s="1431"/>
      <c r="AG693" s="1431"/>
      <c r="AH693" s="1431"/>
      <c r="AI693" s="1431"/>
      <c r="AJ693" s="1431"/>
      <c r="AK693" s="1431"/>
      <c r="AZ693" s="3"/>
    </row>
    <row r="694" spans="1:52" ht="12.95" customHeight="1">
      <c r="B694" t="s">
        <v>1421</v>
      </c>
      <c r="G694" s="1450"/>
      <c r="H694" s="1450"/>
      <c r="I694" s="1450"/>
      <c r="J694" s="1450"/>
      <c r="K694" s="1450"/>
      <c r="L694" s="1450"/>
      <c r="M694" s="1450"/>
      <c r="N694" s="1450"/>
      <c r="O694" s="1450"/>
      <c r="P694" s="1450"/>
      <c r="Q694" s="1450"/>
      <c r="R694" s="1450"/>
      <c r="U694" t="s">
        <v>1421</v>
      </c>
      <c r="Z694" s="1431"/>
      <c r="AA694" s="1431"/>
      <c r="AB694" s="1431"/>
      <c r="AC694" s="1431"/>
      <c r="AD694" s="1431"/>
      <c r="AE694" s="1431"/>
      <c r="AF694" s="1431"/>
      <c r="AG694" s="1431"/>
      <c r="AH694" s="1431"/>
      <c r="AI694" s="1431"/>
      <c r="AJ694" s="1431"/>
      <c r="AK694" s="1431"/>
      <c r="AZ694" s="3"/>
    </row>
    <row r="695" spans="1:52" ht="12.95" customHeight="1">
      <c r="B695" t="s">
        <v>836</v>
      </c>
      <c r="G695" s="1564"/>
      <c r="H695" s="1564"/>
      <c r="I695" s="1564"/>
      <c r="J695" s="1564"/>
      <c r="K695" s="1564"/>
      <c r="L695" s="1564"/>
      <c r="O695" s="918" t="s">
        <v>1084</v>
      </c>
      <c r="P695" s="1354"/>
      <c r="Q695" s="1354"/>
      <c r="R695" s="1354"/>
      <c r="U695" t="s">
        <v>836</v>
      </c>
      <c r="Z695" s="1564"/>
      <c r="AA695" s="1564"/>
      <c r="AB695" s="1564"/>
      <c r="AC695" s="1564"/>
      <c r="AD695" s="1564"/>
      <c r="AE695" s="1564"/>
      <c r="AH695" s="918" t="s">
        <v>1084</v>
      </c>
      <c r="AI695" s="1354"/>
      <c r="AJ695" s="1354"/>
      <c r="AK695" s="1354"/>
      <c r="AZ695" s="3"/>
    </row>
    <row r="696" spans="1:52" ht="12.95" customHeight="1">
      <c r="B696" t="s">
        <v>1424</v>
      </c>
      <c r="H696" s="1450"/>
      <c r="I696" s="1450"/>
      <c r="J696" s="1450"/>
      <c r="K696" s="1450"/>
      <c r="L696" s="1450"/>
      <c r="M696" s="1450"/>
      <c r="N696" s="1450"/>
      <c r="O696" s="1450"/>
      <c r="P696" s="1450"/>
      <c r="Q696" s="1450"/>
      <c r="R696" s="1450"/>
      <c r="U696" t="s">
        <v>1424</v>
      </c>
      <c r="AA696" s="1450"/>
      <c r="AB696" s="1450"/>
      <c r="AC696" s="1450"/>
      <c r="AD696" s="1450"/>
      <c r="AE696" s="1450"/>
      <c r="AF696" s="1450"/>
      <c r="AG696" s="1450"/>
      <c r="AH696" s="1450"/>
      <c r="AI696" s="1450"/>
      <c r="AJ696" s="1450"/>
      <c r="AK696" s="1450"/>
      <c r="AZ696" s="3"/>
    </row>
    <row r="697" spans="1:52" ht="12.95" customHeight="1">
      <c r="B697" t="s">
        <v>1427</v>
      </c>
      <c r="N697" s="1310" t="s">
        <v>700</v>
      </c>
      <c r="O697" s="1310"/>
      <c r="U697" t="s">
        <v>1427</v>
      </c>
      <c r="AG697" s="1310" t="s">
        <v>700</v>
      </c>
      <c r="AH697" s="1310"/>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1444</v>
      </c>
      <c r="E700" s="99"/>
      <c r="F700" s="99"/>
      <c r="G700" s="99"/>
      <c r="H700" s="99"/>
      <c r="AZ700" s="3"/>
    </row>
    <row r="701" spans="1:52" ht="12.95" customHeight="1">
      <c r="B701" s="99"/>
      <c r="C701" s="99"/>
      <c r="E701" s="921" t="s">
        <v>1445</v>
      </c>
      <c r="F701" s="99"/>
      <c r="G701" s="99"/>
      <c r="H701" s="99"/>
      <c r="AE701" s="1310" t="s">
        <v>857</v>
      </c>
      <c r="AF701" s="1310"/>
      <c r="AZ701" s="3"/>
    </row>
    <row r="702" spans="1:52" ht="12.95" customHeight="1">
      <c r="B702" s="99"/>
      <c r="C702" s="99"/>
      <c r="D702" s="921" t="s">
        <v>1446</v>
      </c>
      <c r="E702" s="99"/>
      <c r="F702" s="99"/>
      <c r="G702" s="99"/>
      <c r="H702" s="99"/>
      <c r="AE702" s="1310" t="s">
        <v>700</v>
      </c>
      <c r="AF702" s="1310"/>
      <c r="AZ702" s="3"/>
    </row>
    <row r="703" spans="1:52" ht="12.95" customHeight="1">
      <c r="B703" s="99"/>
      <c r="C703" s="99"/>
      <c r="D703" s="921" t="s">
        <v>1447</v>
      </c>
      <c r="E703" s="99"/>
      <c r="F703" s="99"/>
      <c r="G703" s="99"/>
      <c r="H703" s="99"/>
      <c r="AE703" s="1645">
        <v>46056</v>
      </c>
      <c r="AF703" s="1645"/>
      <c r="AG703" s="1645"/>
      <c r="AH703" s="1645"/>
      <c r="AI703" s="1645"/>
    </row>
    <row r="704" spans="1:52" ht="12.95" customHeight="1">
      <c r="B704" s="99"/>
      <c r="C704" s="99"/>
      <c r="D704" s="223" t="s">
        <v>1448</v>
      </c>
      <c r="E704" s="99"/>
      <c r="F704" s="99"/>
      <c r="G704" s="99"/>
      <c r="H704" s="99"/>
      <c r="AE704" s="1622">
        <v>46154</v>
      </c>
      <c r="AF704" s="1622"/>
      <c r="AG704" s="1622"/>
      <c r="AH704" s="1622"/>
      <c r="AI704" s="1622"/>
    </row>
    <row r="705" spans="1:110" ht="12.95" customHeight="1">
      <c r="B705" s="99"/>
      <c r="C705" s="99"/>
    </row>
    <row r="706" spans="1:110" ht="12.95" customHeight="1">
      <c r="B706" s="99"/>
      <c r="C706" s="99"/>
      <c r="D706" s="921" t="s">
        <v>1449</v>
      </c>
      <c r="E706" s="99"/>
      <c r="F706" s="99"/>
      <c r="G706" s="99"/>
      <c r="H706" s="99"/>
      <c r="AE706" s="1645">
        <v>46327</v>
      </c>
      <c r="AF706" s="1645"/>
      <c r="AG706" s="1645"/>
      <c r="AH706" s="1645"/>
      <c r="AI706" s="1645"/>
    </row>
    <row r="707" spans="1:110" ht="12.95" customHeight="1">
      <c r="B707" s="99"/>
      <c r="C707" s="99"/>
      <c r="D707" s="921" t="s">
        <v>1450</v>
      </c>
      <c r="E707" s="99"/>
      <c r="F707" s="99"/>
      <c r="G707" s="99"/>
      <c r="H707" s="99"/>
      <c r="AE707" s="1623">
        <v>0.27500000000000002</v>
      </c>
      <c r="AF707" s="1623"/>
      <c r="AG707" s="1623"/>
      <c r="AH707" s="1623"/>
      <c r="AI707" s="1623"/>
    </row>
    <row r="708" spans="1:110" ht="12.95" customHeight="1">
      <c r="B708" s="99"/>
      <c r="C708" s="99"/>
      <c r="D708" s="921" t="s">
        <v>1451</v>
      </c>
      <c r="E708" s="99"/>
      <c r="F708" s="99"/>
      <c r="G708" s="99"/>
      <c r="H708" s="99"/>
      <c r="W708" s="1408" t="str">
        <f>H344</f>
        <v>Sacramento Housing and Redevelopment Agency</v>
      </c>
      <c r="X708" s="1408"/>
      <c r="Y708" s="1408"/>
      <c r="Z708" s="1408"/>
      <c r="AA708" s="1408"/>
      <c r="AB708" s="1408"/>
      <c r="AC708" s="1408"/>
      <c r="AD708" s="1408"/>
      <c r="AE708" s="1408"/>
      <c r="AF708" s="1408"/>
      <c r="AG708" s="1408"/>
      <c r="AH708" s="1408"/>
      <c r="AI708" s="1408"/>
      <c r="AJ708" s="1408"/>
      <c r="AK708" s="1408"/>
    </row>
    <row r="709" spans="1:110" ht="12.95" customHeight="1">
      <c r="B709" s="99"/>
      <c r="C709" s="99"/>
      <c r="D709" s="921"/>
      <c r="E709" s="99"/>
      <c r="F709" s="99"/>
      <c r="G709" s="99"/>
      <c r="H709" s="99"/>
    </row>
    <row r="710" spans="1:110" ht="12.95" customHeight="1">
      <c r="B710" s="99"/>
      <c r="C710" s="99"/>
      <c r="D710" s="921" t="s">
        <v>1452</v>
      </c>
      <c r="E710" s="99"/>
      <c r="F710" s="99"/>
      <c r="G710" s="99"/>
      <c r="H710" s="99"/>
      <c r="AE710" s="1310" t="s">
        <v>700</v>
      </c>
      <c r="AF710" s="1310"/>
    </row>
    <row r="711" spans="1:110" ht="12.95" customHeight="1">
      <c r="B711" s="99"/>
      <c r="C711" s="99"/>
      <c r="D711" s="921" t="s">
        <v>1453</v>
      </c>
      <c r="E711" s="99"/>
      <c r="F711" s="99"/>
      <c r="G711" s="99"/>
      <c r="H711" s="99"/>
      <c r="W711" s="1450" t="s">
        <v>822</v>
      </c>
      <c r="X711" s="1450"/>
      <c r="Y711" s="1450"/>
      <c r="Z711" s="1450"/>
      <c r="AA711" s="1450"/>
      <c r="AB711" s="1450"/>
      <c r="AC711" s="1450"/>
      <c r="AD711" s="1450"/>
      <c r="AE711" s="1450"/>
      <c r="AF711" s="1450"/>
      <c r="AG711" s="1450"/>
      <c r="AH711" s="1450"/>
      <c r="AI711" s="1450"/>
      <c r="AJ711" s="1450"/>
      <c r="AK711" s="1450"/>
    </row>
    <row r="712" spans="1:110" ht="12.95" customHeight="1">
      <c r="B712" s="99"/>
      <c r="C712" s="99"/>
      <c r="D712" s="921" t="s">
        <v>1080</v>
      </c>
      <c r="E712" s="99"/>
      <c r="F712" s="99"/>
      <c r="G712" s="99"/>
      <c r="H712" s="99"/>
      <c r="J712" s="1450"/>
      <c r="K712" s="1450"/>
      <c r="L712" s="1450"/>
      <c r="M712" s="1450"/>
      <c r="N712" s="1450"/>
      <c r="O712" s="1450"/>
      <c r="P712" s="1450"/>
      <c r="Q712" s="1450"/>
      <c r="R712" s="1450"/>
      <c r="S712" s="1450"/>
      <c r="T712" s="1450"/>
      <c r="U712" s="1450"/>
      <c r="V712" s="1450"/>
      <c r="W712" s="1450"/>
      <c r="X712" s="1450"/>
      <c r="BB712" s="3"/>
      <c r="BC712" s="3"/>
      <c r="BD712" s="3"/>
      <c r="BE712" s="3"/>
      <c r="BF712" s="3"/>
      <c r="BJ712" s="3"/>
      <c r="BK712" s="3"/>
      <c r="BL712" s="3"/>
      <c r="BM712" s="3"/>
      <c r="BN712" s="3"/>
      <c r="BO712" s="3"/>
    </row>
    <row r="713" spans="1:110" ht="12.95" customHeight="1">
      <c r="B713" s="99"/>
      <c r="C713" s="99"/>
      <c r="D713" s="921" t="s">
        <v>1082</v>
      </c>
      <c r="J713" s="1564"/>
      <c r="K713" s="1564"/>
      <c r="L713" s="1564"/>
      <c r="M713" s="1564"/>
      <c r="N713" s="1564"/>
      <c r="O713" s="1564"/>
      <c r="P713" s="3" t="s">
        <v>1084</v>
      </c>
      <c r="Q713" s="3"/>
      <c r="R713" s="1354"/>
      <c r="S713" s="1354"/>
      <c r="T713" s="135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1454</v>
      </c>
      <c r="W714" s="1450" t="s">
        <v>348</v>
      </c>
      <c r="X714" s="1450"/>
      <c r="Y714" s="1450"/>
      <c r="Z714" s="1450"/>
      <c r="AA714" s="1450"/>
      <c r="AB714" s="1450"/>
      <c r="AC714" s="1450"/>
      <c r="AD714" s="1450"/>
      <c r="AE714" s="1450"/>
      <c r="AF714" s="1450"/>
      <c r="AG714" s="1450"/>
      <c r="AH714" s="1450"/>
      <c r="AI714" s="1450"/>
      <c r="AJ714" s="1450"/>
      <c r="AK714" s="145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450" t="s">
        <v>1266</v>
      </c>
      <c r="F715" s="1450"/>
      <c r="G715" s="1450"/>
      <c r="H715" s="1450"/>
      <c r="I715" s="1450"/>
      <c r="J715" s="1450"/>
      <c r="K715" s="1450"/>
      <c r="L715" s="1450"/>
      <c r="M715" s="1450"/>
      <c r="N715" s="1450"/>
      <c r="O715" s="1450"/>
      <c r="P715" s="1450"/>
      <c r="Q715" s="1450"/>
      <c r="R715" s="1450"/>
      <c r="S715" s="1450"/>
      <c r="T715" s="1450"/>
      <c r="U715" s="1450"/>
      <c r="V715" s="1450"/>
      <c r="W715" s="1450"/>
      <c r="X715" s="1450"/>
      <c r="Y715" s="1450"/>
      <c r="Z715" s="1450"/>
      <c r="AA715" s="1450"/>
      <c r="AB715" s="1450"/>
      <c r="AC715" s="1450"/>
      <c r="AD715" s="1450"/>
      <c r="AE715" s="1450"/>
      <c r="AF715" s="1450"/>
      <c r="AG715" s="1450"/>
      <c r="AH715" s="1450"/>
      <c r="AI715" s="1450"/>
      <c r="AJ715" s="1450"/>
      <c r="AK715" s="145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28" t="s">
        <v>1455</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1456</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78" t="s">
        <v>1457</v>
      </c>
      <c r="C722" s="1379"/>
      <c r="D722" s="1379"/>
      <c r="E722" s="1379"/>
      <c r="F722" s="1380"/>
      <c r="G722" s="1378" t="s">
        <v>1458</v>
      </c>
      <c r="H722" s="1379"/>
      <c r="I722" s="1379"/>
      <c r="J722" s="1380"/>
      <c r="K722" s="1651" t="s">
        <v>1459</v>
      </c>
      <c r="L722" s="1652"/>
      <c r="M722" s="1652"/>
      <c r="N722" s="1653"/>
      <c r="O722" s="1378" t="s">
        <v>1460</v>
      </c>
      <c r="P722" s="1379"/>
      <c r="Q722" s="1379"/>
      <c r="R722" s="1379"/>
      <c r="S722" s="1380"/>
      <c r="T722" s="1378" t="s">
        <v>1461</v>
      </c>
      <c r="U722" s="1379"/>
      <c r="V722" s="1379"/>
      <c r="W722" s="1380"/>
      <c r="X722" s="1378" t="s">
        <v>1462</v>
      </c>
      <c r="Y722" s="1379"/>
      <c r="Z722" s="1379"/>
      <c r="AA722" s="1379"/>
      <c r="AB722" s="1380"/>
      <c r="AC722" s="1378" t="s">
        <v>1463</v>
      </c>
      <c r="AD722" s="1379"/>
      <c r="AE722" s="1379"/>
      <c r="AF722" s="1379"/>
      <c r="AG722" s="1380"/>
      <c r="AH722" s="1378" t="s">
        <v>1464</v>
      </c>
      <c r="AI722" s="1379"/>
      <c r="AJ722" s="1380"/>
      <c r="AK722" s="1378" t="s">
        <v>1465</v>
      </c>
      <c r="AL722" s="1379"/>
      <c r="AM722" s="1379"/>
      <c r="AN722" s="1379"/>
      <c r="AO722" s="1380"/>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1"/>
      <c r="C723" s="1382"/>
      <c r="D723" s="1382"/>
      <c r="E723" s="1382"/>
      <c r="F723" s="1383"/>
      <c r="G723" s="1381"/>
      <c r="H723" s="1382"/>
      <c r="I723" s="1382"/>
      <c r="J723" s="1383"/>
      <c r="K723" s="1654"/>
      <c r="L723" s="1655"/>
      <c r="M723" s="1655"/>
      <c r="N723" s="1656"/>
      <c r="O723" s="1381"/>
      <c r="P723" s="1382"/>
      <c r="Q723" s="1382"/>
      <c r="R723" s="1382"/>
      <c r="S723" s="1383"/>
      <c r="T723" s="1381"/>
      <c r="U723" s="1382"/>
      <c r="V723" s="1382"/>
      <c r="W723" s="1383"/>
      <c r="X723" s="1381"/>
      <c r="Y723" s="1382"/>
      <c r="Z723" s="1382"/>
      <c r="AA723" s="1382"/>
      <c r="AB723" s="1383"/>
      <c r="AC723" s="1381"/>
      <c r="AD723" s="1382"/>
      <c r="AE723" s="1382"/>
      <c r="AF723" s="1382"/>
      <c r="AG723" s="1383"/>
      <c r="AH723" s="1381"/>
      <c r="AI723" s="1382"/>
      <c r="AJ723" s="1383"/>
      <c r="AK723" s="1381"/>
      <c r="AL723" s="1382"/>
      <c r="AM723" s="1382"/>
      <c r="AN723" s="1382"/>
      <c r="AO723" s="138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81"/>
      <c r="C724" s="1382"/>
      <c r="D724" s="1382"/>
      <c r="E724" s="1382"/>
      <c r="F724" s="1383"/>
      <c r="G724" s="1381"/>
      <c r="H724" s="1382"/>
      <c r="I724" s="1382"/>
      <c r="J724" s="1383"/>
      <c r="K724" s="1654"/>
      <c r="L724" s="1655"/>
      <c r="M724" s="1655"/>
      <c r="N724" s="1656"/>
      <c r="O724" s="1381"/>
      <c r="P724" s="1382"/>
      <c r="Q724" s="1382"/>
      <c r="R724" s="1382"/>
      <c r="S724" s="1383"/>
      <c r="T724" s="1381"/>
      <c r="U724" s="1382"/>
      <c r="V724" s="1382"/>
      <c r="W724" s="1383"/>
      <c r="X724" s="1381"/>
      <c r="Y724" s="1382"/>
      <c r="Z724" s="1382"/>
      <c r="AA724" s="1382"/>
      <c r="AB724" s="1383"/>
      <c r="AC724" s="1381"/>
      <c r="AD724" s="1382"/>
      <c r="AE724" s="1382"/>
      <c r="AF724" s="1382"/>
      <c r="AG724" s="1383"/>
      <c r="AH724" s="1381"/>
      <c r="AI724" s="1382"/>
      <c r="AJ724" s="1383"/>
      <c r="AK724" s="1381"/>
      <c r="AL724" s="1382"/>
      <c r="AM724" s="1382"/>
      <c r="AN724" s="1382"/>
      <c r="AO724" s="1383"/>
      <c r="AP724" s="3"/>
      <c r="AQ724" s="3"/>
      <c r="AR724" s="3"/>
      <c r="AS724" s="3"/>
      <c r="BA724" s="3"/>
      <c r="BB724" s="3"/>
      <c r="BC724" s="3"/>
      <c r="BD724" s="3"/>
      <c r="BE724" s="136"/>
      <c r="BF724" s="137" t="s">
        <v>1466</v>
      </c>
      <c r="BG724" s="136"/>
      <c r="BH724" s="136"/>
      <c r="BI724" s="3"/>
      <c r="BJ724" s="3"/>
      <c r="BK724" s="3"/>
      <c r="BL724" s="3"/>
      <c r="BM724" s="3"/>
      <c r="BN724" s="3"/>
      <c r="BS724" s="137" t="s">
        <v>1467</v>
      </c>
      <c r="BT724" s="136"/>
      <c r="BU724" s="136"/>
      <c r="CC724" s="3"/>
      <c r="CD724" s="3"/>
      <c r="CE724" s="3"/>
      <c r="CF724" s="3"/>
      <c r="CG724" s="3"/>
      <c r="CH724" s="3"/>
      <c r="CI724" s="3"/>
      <c r="CJ724" s="3"/>
      <c r="CK724" s="3"/>
      <c r="CL724" s="3"/>
      <c r="CM724" s="3"/>
      <c r="CN724" s="3"/>
      <c r="CO724" s="3"/>
      <c r="CP724" s="3" t="s">
        <v>1468</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84"/>
      <c r="C725" s="1385"/>
      <c r="D725" s="1385"/>
      <c r="E725" s="1385"/>
      <c r="F725" s="1386"/>
      <c r="G725" s="1384"/>
      <c r="H725" s="1385"/>
      <c r="I725" s="1385"/>
      <c r="J725" s="1386"/>
      <c r="K725" s="1654"/>
      <c r="L725" s="1655"/>
      <c r="M725" s="1655"/>
      <c r="N725" s="1656"/>
      <c r="O725" s="1384"/>
      <c r="P725" s="1385"/>
      <c r="Q725" s="1385"/>
      <c r="R725" s="1385"/>
      <c r="S725" s="1386"/>
      <c r="T725" s="1384"/>
      <c r="U725" s="1385"/>
      <c r="V725" s="1385"/>
      <c r="W725" s="1386"/>
      <c r="X725" s="1384"/>
      <c r="Y725" s="1385"/>
      <c r="Z725" s="1385"/>
      <c r="AA725" s="1385"/>
      <c r="AB725" s="1386"/>
      <c r="AC725" s="1384"/>
      <c r="AD725" s="1385"/>
      <c r="AE725" s="1385"/>
      <c r="AF725" s="1385"/>
      <c r="AG725" s="1386"/>
      <c r="AH725" s="1384"/>
      <c r="AI725" s="1385"/>
      <c r="AJ725" s="1386"/>
      <c r="AK725" s="1384"/>
      <c r="AL725" s="1385"/>
      <c r="AM725" s="1385"/>
      <c r="AN725" s="1385"/>
      <c r="AO725" s="1386"/>
      <c r="AP725" s="3"/>
      <c r="AQ725" s="3"/>
      <c r="AR725" s="3"/>
      <c r="AS725" s="3"/>
      <c r="AZ725" s="73" t="s">
        <v>1471</v>
      </c>
      <c r="BA725" s="3"/>
      <c r="BB725" s="3"/>
      <c r="BC725" s="3"/>
      <c r="BD725" s="3"/>
      <c r="BE725" s="136"/>
      <c r="BF725" s="201" t="s">
        <v>1472</v>
      </c>
      <c r="BG725" s="205" t="s">
        <v>1473</v>
      </c>
      <c r="BH725" s="204" t="s">
        <v>1474</v>
      </c>
      <c r="BI725" s="3"/>
      <c r="BJ725" s="3"/>
      <c r="BK725" s="3"/>
      <c r="BL725" s="3"/>
      <c r="BM725" s="3"/>
      <c r="BN725" s="3"/>
      <c r="BS725" s="201" t="s">
        <v>1472</v>
      </c>
      <c r="BT725" s="205" t="s">
        <v>1473</v>
      </c>
      <c r="BU725" s="204" t="s">
        <v>1474</v>
      </c>
      <c r="CC725" s="3"/>
      <c r="CD725" s="3"/>
      <c r="CE725" s="3"/>
      <c r="CF725" s="3"/>
      <c r="CG725" s="87" t="s">
        <v>1475</v>
      </c>
      <c r="CH725" s="88"/>
      <c r="CI725" s="1481"/>
      <c r="CJ725" s="1483"/>
      <c r="CK725" s="87" t="s">
        <v>1476</v>
      </c>
      <c r="CL725" s="88"/>
      <c r="CM725" s="1481"/>
      <c r="CN725" s="1483"/>
      <c r="CO725" s="3"/>
      <c r="CP725" s="1398" t="s">
        <v>848</v>
      </c>
      <c r="CQ725" s="1399"/>
      <c r="CR725" s="1399"/>
      <c r="CS725" s="1399"/>
      <c r="CT725" s="1400"/>
      <c r="CU725" s="1484" t="s">
        <v>843</v>
      </c>
      <c r="CV725" s="1484"/>
      <c r="CW725" s="1484"/>
      <c r="CX725" s="1484"/>
      <c r="CY725" s="1484"/>
      <c r="CZ725" s="1484" t="s">
        <v>844</v>
      </c>
      <c r="DA725" s="1484"/>
      <c r="DB725" s="1484"/>
      <c r="DC725" s="1484"/>
      <c r="DD725" s="1484"/>
      <c r="DE725" s="1484" t="s">
        <v>845</v>
      </c>
      <c r="DF725" s="1484"/>
      <c r="DG725" s="1484"/>
      <c r="DH725" s="1484"/>
      <c r="DI725" s="1484"/>
      <c r="DJ725" s="1484" t="s">
        <v>849</v>
      </c>
      <c r="DK725" s="1484"/>
      <c r="DL725" s="1484"/>
      <c r="DM725" s="1484"/>
      <c r="DN725" s="1484"/>
      <c r="DO725" s="1484" t="s">
        <v>847</v>
      </c>
      <c r="DP725" s="1484"/>
      <c r="DQ725" s="1484"/>
      <c r="DR725" s="1484"/>
      <c r="DS725" s="1484"/>
      <c r="DT725" s="65"/>
      <c r="DU725" s="1484" t="s">
        <v>848</v>
      </c>
      <c r="DV725" s="1484"/>
      <c r="DW725" s="1484"/>
      <c r="DX725" s="1484"/>
      <c r="DY725" s="1484"/>
      <c r="DZ725" s="1484" t="s">
        <v>843</v>
      </c>
      <c r="EA725" s="1484"/>
      <c r="EB725" s="1484"/>
      <c r="EC725" s="1484"/>
      <c r="ED725" s="1484"/>
      <c r="EE725" s="1484" t="s">
        <v>844</v>
      </c>
      <c r="EF725" s="1484"/>
      <c r="EG725" s="1484"/>
      <c r="EH725" s="1484"/>
      <c r="EI725" s="1484"/>
      <c r="EJ725" s="1484" t="s">
        <v>845</v>
      </c>
      <c r="EK725" s="1484"/>
      <c r="EL725" s="1484"/>
      <c r="EM725" s="1484"/>
      <c r="EN725" s="1484"/>
      <c r="EO725" s="1484" t="s">
        <v>849</v>
      </c>
      <c r="EP725" s="1484"/>
      <c r="EQ725" s="1484"/>
      <c r="ER725" s="1484"/>
      <c r="ES725" s="1484"/>
      <c r="ET725" s="1484" t="s">
        <v>847</v>
      </c>
      <c r="EU725" s="1484"/>
      <c r="EV725" s="1484"/>
      <c r="EW725" s="1484"/>
      <c r="EX725" s="1484"/>
      <c r="EY725" s="3"/>
      <c r="EZ725" s="1484" t="s">
        <v>848</v>
      </c>
      <c r="FA725" s="1484"/>
      <c r="FB725" s="1484"/>
      <c r="FC725" s="1484"/>
      <c r="FD725" s="1484"/>
      <c r="FE725" s="1484" t="s">
        <v>843</v>
      </c>
      <c r="FF725" s="1484"/>
      <c r="FG725" s="1484"/>
      <c r="FH725" s="1484"/>
      <c r="FI725" s="1484"/>
      <c r="FJ725" s="1484" t="s">
        <v>844</v>
      </c>
      <c r="FK725" s="1484"/>
      <c r="FL725" s="1484"/>
      <c r="FM725" s="1484"/>
      <c r="FN725" s="1484"/>
      <c r="FO725" s="1484" t="s">
        <v>845</v>
      </c>
      <c r="FP725" s="1484"/>
      <c r="FQ725" s="1484"/>
      <c r="FR725" s="1484"/>
      <c r="FS725" s="1484"/>
      <c r="FT725" s="1484" t="s">
        <v>849</v>
      </c>
      <c r="FU725" s="1484"/>
      <c r="FV725" s="1484"/>
      <c r="FW725" s="1484"/>
      <c r="FX725" s="1484"/>
      <c r="FY725" s="1484" t="s">
        <v>847</v>
      </c>
      <c r="FZ725" s="1484"/>
      <c r="GA725" s="1484"/>
      <c r="GB725" s="1484"/>
      <c r="GC725" s="1484"/>
    </row>
    <row r="726" spans="1:185" ht="12.95" customHeight="1">
      <c r="A726" s="3"/>
      <c r="B726" s="1335" t="s">
        <v>843</v>
      </c>
      <c r="C726" s="1336"/>
      <c r="D726" s="1336"/>
      <c r="E726" s="1336"/>
      <c r="F726" s="1337"/>
      <c r="G726" s="1329">
        <v>23</v>
      </c>
      <c r="H726" s="1330"/>
      <c r="I726" s="1330"/>
      <c r="J726" s="1331"/>
      <c r="K726" s="1332">
        <v>580</v>
      </c>
      <c r="L726" s="1333"/>
      <c r="M726" s="1333"/>
      <c r="N726" s="1334"/>
      <c r="O726" s="1363">
        <f>723-T726</f>
        <v>634</v>
      </c>
      <c r="P726" s="1364"/>
      <c r="Q726" s="1364"/>
      <c r="R726" s="1364"/>
      <c r="S726" s="1365"/>
      <c r="T726" s="1363">
        <v>89</v>
      </c>
      <c r="U726" s="1364"/>
      <c r="V726" s="1364"/>
      <c r="W726" s="1365"/>
      <c r="X726" s="1366">
        <f t="shared" ref="X726:X749" si="10">O726+T726</f>
        <v>723</v>
      </c>
      <c r="Y726" s="1367"/>
      <c r="Z726" s="1367"/>
      <c r="AA726" s="1367"/>
      <c r="AB726" s="1368"/>
      <c r="AC726" s="1369">
        <v>0.3</v>
      </c>
      <c r="AD726" s="1370"/>
      <c r="AE726" s="1370"/>
      <c r="AF726" s="1370"/>
      <c r="AG726" s="1371"/>
      <c r="AH726" s="1387">
        <f>IF($AC726&gt;0,($X726/$AZ726), "")</f>
        <v>0.29975124378109452</v>
      </c>
      <c r="AI726" s="1388"/>
      <c r="AJ726" s="1389"/>
      <c r="AK726" s="1335" t="s">
        <v>822</v>
      </c>
      <c r="AL726" s="1336"/>
      <c r="AM726" s="1336"/>
      <c r="AN726" s="1336"/>
      <c r="AO726" s="1337"/>
      <c r="AP726" s="3"/>
      <c r="AQ726" s="3"/>
      <c r="AR726" s="3"/>
      <c r="AS726" s="3"/>
      <c r="AZ726" s="84">
        <f t="shared" ref="AZ726:AZ760" si="11">IF($G726=0,"N/A",VLOOKUP($T$189,TC_Rent,(MATCH($B726,bedrooms,FALSE)),FALSE))</f>
        <v>2412</v>
      </c>
      <c r="BA726" s="3"/>
      <c r="BB726" s="3"/>
      <c r="BC726" s="3"/>
      <c r="BD726" s="3"/>
      <c r="BE726" s="136"/>
      <c r="BF726" s="202">
        <f t="shared" ref="BF726:BF760" si="12">G726</f>
        <v>23</v>
      </c>
      <c r="BG726" s="206">
        <f t="shared" ref="BG726:BG760" si="13">IF($BF$761=0,0,BF726/$BF$761)</f>
        <v>0.27710843373493976</v>
      </c>
      <c r="BH726" s="207">
        <f t="shared" ref="BH726:BH760" si="14">IF(BG726=0,"",BG726*AC726)</f>
        <v>8.3132530120481926E-2</v>
      </c>
      <c r="BI726" s="3"/>
      <c r="BJ726" s="3"/>
      <c r="BK726" s="3"/>
      <c r="BL726" s="3"/>
      <c r="BM726" s="3"/>
      <c r="BN726" s="3"/>
      <c r="BS726" s="202">
        <f t="shared" ref="BS726:BS760" si="15">G726</f>
        <v>23</v>
      </c>
      <c r="BT726" s="206">
        <f t="shared" ref="BT726:BT760" si="16">IF($BS$761=0,0,BS726/$BS$761)</f>
        <v>0.27710843373493976</v>
      </c>
      <c r="BU726" s="207">
        <f t="shared" ref="BU726:BU760" si="17">IF(BT726=0,"",BT726*AH726)</f>
        <v>8.3063597674279205E-2</v>
      </c>
      <c r="CC726" s="3"/>
      <c r="CD726" s="3"/>
      <c r="CE726" s="3"/>
      <c r="CF726" s="3"/>
      <c r="CG726" s="1481">
        <f>IF(AND(AC726&lt;=0.5,AC726&gt;=0.36),1,0)</f>
        <v>0</v>
      </c>
      <c r="CH726" s="1483"/>
      <c r="CI726" s="1481">
        <f>IF(CG726=1,G726,0)</f>
        <v>0</v>
      </c>
      <c r="CJ726" s="1483"/>
      <c r="CK726" s="1481">
        <f t="shared" ref="CK726:CK760" si="18">IF(AND(AC726&lt;=0.35,AC726&gt;0),1,0)</f>
        <v>1</v>
      </c>
      <c r="CL726" s="1483"/>
      <c r="CM726" s="1481">
        <f t="shared" ref="CM726:CM760" si="19">IF(CK726=1,G726,0)</f>
        <v>23</v>
      </c>
      <c r="CN726" s="1483"/>
      <c r="CO726" s="3"/>
      <c r="CP726" s="1474">
        <f t="shared" ref="CP726:CP760" si="20">IF(B726="SRO/Studio",G726,0)</f>
        <v>0</v>
      </c>
      <c r="CQ726" s="1475"/>
      <c r="CR726" s="1475"/>
      <c r="CS726" s="1475"/>
      <c r="CT726" s="1476"/>
      <c r="CU726" s="1472">
        <f t="shared" ref="CU726:CU760" si="21">IF(B726="1 Bedroom",G726,0)</f>
        <v>23</v>
      </c>
      <c r="CV726" s="1472"/>
      <c r="CW726" s="1472"/>
      <c r="CX726" s="1472"/>
      <c r="CY726" s="1472"/>
      <c r="CZ726" s="1472">
        <f t="shared" ref="CZ726:CZ760" si="22">IF(B726="2 Bedrooms",G726,0)</f>
        <v>0</v>
      </c>
      <c r="DA726" s="1472"/>
      <c r="DB726" s="1472"/>
      <c r="DC726" s="1472"/>
      <c r="DD726" s="1472"/>
      <c r="DE726" s="1472">
        <f t="shared" ref="DE726:DE760" si="23">IF(B726="3 Bedrooms",G726,0)</f>
        <v>0</v>
      </c>
      <c r="DF726" s="1472"/>
      <c r="DG726" s="1472"/>
      <c r="DH726" s="1472"/>
      <c r="DI726" s="1472"/>
      <c r="DJ726" s="1472">
        <f t="shared" ref="DJ726:DJ760" si="24">IF(B726="4 Bedrooms",G726,0)</f>
        <v>0</v>
      </c>
      <c r="DK726" s="1472"/>
      <c r="DL726" s="1472"/>
      <c r="DM726" s="1472"/>
      <c r="DN726" s="1472"/>
      <c r="DO726" s="1472">
        <f t="shared" ref="DO726:DO760" si="25">IF(B726="5 Bedrooms",G726,0)</f>
        <v>0</v>
      </c>
      <c r="DP726" s="1472"/>
      <c r="DQ726" s="1472"/>
      <c r="DR726" s="1472"/>
      <c r="DS726" s="1472"/>
      <c r="DT726" s="257"/>
      <c r="DU726" s="1473">
        <f t="shared" ref="DU726:DU760" si="26">IF(AND(B726="SRO/Studio",AC726&lt;=0.3),G726,0)</f>
        <v>0</v>
      </c>
      <c r="DV726" s="1473"/>
      <c r="DW726" s="1473"/>
      <c r="DX726" s="1473"/>
      <c r="DY726" s="1473"/>
      <c r="DZ726" s="1473">
        <f t="shared" ref="DZ726:DZ760" si="27">IF(AND(B726="1 Bedroom",AC726&lt;=0.3),G726,0)</f>
        <v>23</v>
      </c>
      <c r="EA726" s="1473"/>
      <c r="EB726" s="1473"/>
      <c r="EC726" s="1473"/>
      <c r="ED726" s="1473"/>
      <c r="EE726" s="1473">
        <f t="shared" ref="EE726:EE760" si="28">IF(AND(B726="2 Bedrooms",AC726&lt;=0.3),G726,0)</f>
        <v>0</v>
      </c>
      <c r="EF726" s="1473"/>
      <c r="EG726" s="1473"/>
      <c r="EH726" s="1473"/>
      <c r="EI726" s="1473"/>
      <c r="EJ726" s="1473">
        <f t="shared" ref="EJ726:EJ760" si="29">IF(AND(B726="3 Bedrooms",AC726&lt;=0.3),G726,0)</f>
        <v>0</v>
      </c>
      <c r="EK726" s="1473"/>
      <c r="EL726" s="1473"/>
      <c r="EM726" s="1473"/>
      <c r="EN726" s="1473"/>
      <c r="EO726" s="1473">
        <f t="shared" ref="EO726:EO760" si="30">IF(AND(B726="4 Bedrooms",AC726&lt;=0.3),G726,0)</f>
        <v>0</v>
      </c>
      <c r="EP726" s="1473"/>
      <c r="EQ726" s="1473"/>
      <c r="ER726" s="1473"/>
      <c r="ES726" s="1473"/>
      <c r="ET726" s="1473">
        <f t="shared" ref="ET726:ET760" si="31">IF(AND(B726="5 Bedrooms",AC726&lt;=0.3),G726,0)</f>
        <v>0</v>
      </c>
      <c r="EU726" s="1473"/>
      <c r="EV726" s="1473"/>
      <c r="EW726" s="1473"/>
      <c r="EX726" s="1473"/>
      <c r="EY726" s="3"/>
      <c r="EZ726" s="1481" t="str">
        <f t="shared" ref="EZ726:EZ760" si="32">IF(CP726&gt;0,O726,"")</f>
        <v/>
      </c>
      <c r="FA726" s="1482"/>
      <c r="FB726" s="1482"/>
      <c r="FC726" s="1482"/>
      <c r="FD726" s="1483"/>
      <c r="FE726" s="1481">
        <f t="shared" ref="FE726:FE760" si="33">IF(CU726&gt;0,O726,"")</f>
        <v>634</v>
      </c>
      <c r="FF726" s="1482"/>
      <c r="FG726" s="1482"/>
      <c r="FH726" s="1482"/>
      <c r="FI726" s="1483"/>
      <c r="FJ726" s="1481" t="str">
        <f t="shared" ref="FJ726:FJ760" si="34">IF(CZ726&gt;0,O726,"")</f>
        <v/>
      </c>
      <c r="FK726" s="1482"/>
      <c r="FL726" s="1482"/>
      <c r="FM726" s="1482"/>
      <c r="FN726" s="1483"/>
      <c r="FO726" s="1481" t="str">
        <f t="shared" ref="FO726:FO760" si="35">IF(DE726&gt;0,O726,"")</f>
        <v/>
      </c>
      <c r="FP726" s="1482"/>
      <c r="FQ726" s="1482"/>
      <c r="FR726" s="1482"/>
      <c r="FS726" s="1483"/>
      <c r="FT726" s="1481" t="str">
        <f t="shared" ref="FT726:FT760" si="36">IF(DJ726&gt;0,O726,"")</f>
        <v/>
      </c>
      <c r="FU726" s="1482"/>
      <c r="FV726" s="1482"/>
      <c r="FW726" s="1482"/>
      <c r="FX726" s="1483"/>
      <c r="FY726" s="1481" t="str">
        <f t="shared" ref="FY726:FY760" si="37">IF(DO726&gt;0,O726,"")</f>
        <v/>
      </c>
      <c r="FZ726" s="1482"/>
      <c r="GA726" s="1482"/>
      <c r="GB726" s="1482"/>
      <c r="GC726" s="1483"/>
    </row>
    <row r="727" spans="1:185" ht="12.95" customHeight="1">
      <c r="A727" s="3"/>
      <c r="B727" s="1335" t="s">
        <v>844</v>
      </c>
      <c r="C727" s="1336"/>
      <c r="D727" s="1336"/>
      <c r="E727" s="1336"/>
      <c r="F727" s="1337"/>
      <c r="G727" s="1329">
        <v>3</v>
      </c>
      <c r="H727" s="1330"/>
      <c r="I727" s="1330"/>
      <c r="J727" s="1331"/>
      <c r="K727" s="1332">
        <v>830</v>
      </c>
      <c r="L727" s="1333"/>
      <c r="M727" s="1333"/>
      <c r="N727" s="1334"/>
      <c r="O727" s="1363">
        <f>868-T727</f>
        <v>754</v>
      </c>
      <c r="P727" s="1364"/>
      <c r="Q727" s="1364"/>
      <c r="R727" s="1364"/>
      <c r="S727" s="1365"/>
      <c r="T727" s="1363">
        <v>114</v>
      </c>
      <c r="U727" s="1364"/>
      <c r="V727" s="1364"/>
      <c r="W727" s="1365"/>
      <c r="X727" s="1366">
        <f t="shared" si="10"/>
        <v>868</v>
      </c>
      <c r="Y727" s="1367"/>
      <c r="Z727" s="1367"/>
      <c r="AA727" s="1367"/>
      <c r="AB727" s="1368"/>
      <c r="AC727" s="1369">
        <v>0.3</v>
      </c>
      <c r="AD727" s="1370"/>
      <c r="AE727" s="1370"/>
      <c r="AF727" s="1370"/>
      <c r="AG727" s="1371"/>
      <c r="AH727" s="1387">
        <f t="shared" ref="AH727:AH760" si="38">IF($AC727&gt;0,($X727/$AZ727), "")</f>
        <v>0.29993089149965446</v>
      </c>
      <c r="AI727" s="1388"/>
      <c r="AJ727" s="1389"/>
      <c r="AK727" s="1335" t="s">
        <v>822</v>
      </c>
      <c r="AL727" s="1336"/>
      <c r="AM727" s="1336"/>
      <c r="AN727" s="1336"/>
      <c r="AO727" s="1337"/>
      <c r="AP727" s="3"/>
      <c r="AQ727" s="3"/>
      <c r="AR727" s="3"/>
      <c r="AS727" s="3"/>
      <c r="AZ727" s="84">
        <f t="shared" si="11"/>
        <v>2894</v>
      </c>
      <c r="BA727" s="3"/>
      <c r="BB727" s="3"/>
      <c r="BC727" s="3"/>
      <c r="BD727" s="3"/>
      <c r="BE727" s="136"/>
      <c r="BF727" s="203">
        <f t="shared" si="12"/>
        <v>3</v>
      </c>
      <c r="BG727" s="206">
        <f t="shared" si="13"/>
        <v>3.614457831325301E-2</v>
      </c>
      <c r="BH727" s="207">
        <f t="shared" si="14"/>
        <v>1.0843373493975903E-2</v>
      </c>
      <c r="BI727" s="3"/>
      <c r="BJ727" s="3"/>
      <c r="BK727" s="3"/>
      <c r="BL727" s="3"/>
      <c r="BM727" s="3"/>
      <c r="BN727" s="3"/>
      <c r="BS727" s="203">
        <f t="shared" si="15"/>
        <v>3</v>
      </c>
      <c r="BT727" s="206">
        <f t="shared" si="16"/>
        <v>3.614457831325301E-2</v>
      </c>
      <c r="BU727" s="207">
        <f t="shared" si="17"/>
        <v>1.0840875596373053E-2</v>
      </c>
      <c r="CC727" s="3"/>
      <c r="CD727" s="3"/>
      <c r="CE727" s="3"/>
      <c r="CF727" s="3"/>
      <c r="CG727" s="1481">
        <f t="shared" ref="CG727:CG760" si="39">IF(AND(AC727&lt;=0.5,AC727&gt;=0.36),1,0)</f>
        <v>0</v>
      </c>
      <c r="CH727" s="1483"/>
      <c r="CI727" s="1481">
        <f t="shared" ref="CI727:CI760" si="40">IF(CG727=1,G727,0)</f>
        <v>0</v>
      </c>
      <c r="CJ727" s="1483"/>
      <c r="CK727" s="1481">
        <f t="shared" si="18"/>
        <v>1</v>
      </c>
      <c r="CL727" s="1483"/>
      <c r="CM727" s="1481">
        <f t="shared" si="19"/>
        <v>3</v>
      </c>
      <c r="CN727" s="1483"/>
      <c r="CO727" s="3"/>
      <c r="CP727" s="1474">
        <f t="shared" si="20"/>
        <v>0</v>
      </c>
      <c r="CQ727" s="1475"/>
      <c r="CR727" s="1475"/>
      <c r="CS727" s="1475"/>
      <c r="CT727" s="1476"/>
      <c r="CU727" s="1472">
        <f t="shared" si="21"/>
        <v>0</v>
      </c>
      <c r="CV727" s="1472"/>
      <c r="CW727" s="1472"/>
      <c r="CX727" s="1472"/>
      <c r="CY727" s="1472"/>
      <c r="CZ727" s="1472">
        <f t="shared" si="22"/>
        <v>3</v>
      </c>
      <c r="DA727" s="1472"/>
      <c r="DB727" s="1472"/>
      <c r="DC727" s="1472"/>
      <c r="DD727" s="1472"/>
      <c r="DE727" s="1472">
        <f t="shared" si="23"/>
        <v>0</v>
      </c>
      <c r="DF727" s="1472"/>
      <c r="DG727" s="1472"/>
      <c r="DH727" s="1472"/>
      <c r="DI727" s="1472"/>
      <c r="DJ727" s="1472">
        <f t="shared" si="24"/>
        <v>0</v>
      </c>
      <c r="DK727" s="1472"/>
      <c r="DL727" s="1472"/>
      <c r="DM727" s="1472"/>
      <c r="DN727" s="1472"/>
      <c r="DO727" s="1472">
        <f t="shared" si="25"/>
        <v>0</v>
      </c>
      <c r="DP727" s="1472"/>
      <c r="DQ727" s="1472"/>
      <c r="DR727" s="1472"/>
      <c r="DS727" s="1472"/>
      <c r="DT727" s="257"/>
      <c r="DU727" s="1473">
        <f t="shared" si="26"/>
        <v>0</v>
      </c>
      <c r="DV727" s="1473"/>
      <c r="DW727" s="1473"/>
      <c r="DX727" s="1473"/>
      <c r="DY727" s="1473"/>
      <c r="DZ727" s="1473">
        <f t="shared" si="27"/>
        <v>0</v>
      </c>
      <c r="EA727" s="1473"/>
      <c r="EB727" s="1473"/>
      <c r="EC727" s="1473"/>
      <c r="ED727" s="1473"/>
      <c r="EE727" s="1473">
        <f t="shared" si="28"/>
        <v>3</v>
      </c>
      <c r="EF727" s="1473"/>
      <c r="EG727" s="1473"/>
      <c r="EH727" s="1473"/>
      <c r="EI727" s="1473"/>
      <c r="EJ727" s="1473">
        <f t="shared" si="29"/>
        <v>0</v>
      </c>
      <c r="EK727" s="1473"/>
      <c r="EL727" s="1473"/>
      <c r="EM727" s="1473"/>
      <c r="EN727" s="1473"/>
      <c r="EO727" s="1473">
        <f t="shared" si="30"/>
        <v>0</v>
      </c>
      <c r="EP727" s="1473"/>
      <c r="EQ727" s="1473"/>
      <c r="ER727" s="1473"/>
      <c r="ES727" s="1473"/>
      <c r="ET727" s="1473">
        <f t="shared" si="31"/>
        <v>0</v>
      </c>
      <c r="EU727" s="1473"/>
      <c r="EV727" s="1473"/>
      <c r="EW727" s="1473"/>
      <c r="EX727" s="1473"/>
      <c r="EY727" s="3"/>
      <c r="EZ727" s="1481" t="str">
        <f t="shared" si="32"/>
        <v/>
      </c>
      <c r="FA727" s="1482"/>
      <c r="FB727" s="1482"/>
      <c r="FC727" s="1482"/>
      <c r="FD727" s="1483"/>
      <c r="FE727" s="1481" t="str">
        <f t="shared" si="33"/>
        <v/>
      </c>
      <c r="FF727" s="1482"/>
      <c r="FG727" s="1482"/>
      <c r="FH727" s="1482"/>
      <c r="FI727" s="1483"/>
      <c r="FJ727" s="1481">
        <f t="shared" si="34"/>
        <v>754</v>
      </c>
      <c r="FK727" s="1482"/>
      <c r="FL727" s="1482"/>
      <c r="FM727" s="1482"/>
      <c r="FN727" s="1483"/>
      <c r="FO727" s="1481" t="str">
        <f t="shared" si="35"/>
        <v/>
      </c>
      <c r="FP727" s="1482"/>
      <c r="FQ727" s="1482"/>
      <c r="FR727" s="1482"/>
      <c r="FS727" s="1483"/>
      <c r="FT727" s="1481" t="str">
        <f t="shared" si="36"/>
        <v/>
      </c>
      <c r="FU727" s="1482"/>
      <c r="FV727" s="1482"/>
      <c r="FW727" s="1482"/>
      <c r="FX727" s="1483"/>
      <c r="FY727" s="1481" t="str">
        <f t="shared" si="37"/>
        <v/>
      </c>
      <c r="FZ727" s="1482"/>
      <c r="GA727" s="1482"/>
      <c r="GB727" s="1482"/>
      <c r="GC727" s="1483"/>
    </row>
    <row r="728" spans="1:185" ht="12.95" customHeight="1">
      <c r="A728" s="3"/>
      <c r="B728" s="1335" t="s">
        <v>843</v>
      </c>
      <c r="C728" s="1336"/>
      <c r="D728" s="1336"/>
      <c r="E728" s="1336"/>
      <c r="F728" s="1337"/>
      <c r="G728" s="1329">
        <v>21</v>
      </c>
      <c r="H728" s="1330"/>
      <c r="I728" s="1330"/>
      <c r="J728" s="1331"/>
      <c r="K728" s="1332">
        <v>580</v>
      </c>
      <c r="L728" s="1333"/>
      <c r="M728" s="1333"/>
      <c r="N728" s="1334"/>
      <c r="O728" s="1363">
        <f>1206-T728</f>
        <v>1117</v>
      </c>
      <c r="P728" s="1364"/>
      <c r="Q728" s="1364"/>
      <c r="R728" s="1364"/>
      <c r="S728" s="1365"/>
      <c r="T728" s="1363">
        <v>89</v>
      </c>
      <c r="U728" s="1364"/>
      <c r="V728" s="1364"/>
      <c r="W728" s="1365"/>
      <c r="X728" s="1366">
        <f t="shared" si="10"/>
        <v>1206</v>
      </c>
      <c r="Y728" s="1367"/>
      <c r="Z728" s="1367"/>
      <c r="AA728" s="1367"/>
      <c r="AB728" s="1368"/>
      <c r="AC728" s="1369">
        <v>0.5</v>
      </c>
      <c r="AD728" s="1370"/>
      <c r="AE728" s="1370"/>
      <c r="AF728" s="1370"/>
      <c r="AG728" s="1371"/>
      <c r="AH728" s="1387">
        <f t="shared" si="38"/>
        <v>0.5</v>
      </c>
      <c r="AI728" s="1388"/>
      <c r="AJ728" s="1389"/>
      <c r="AK728" s="1335" t="s">
        <v>822</v>
      </c>
      <c r="AL728" s="1336"/>
      <c r="AM728" s="1336"/>
      <c r="AN728" s="1336"/>
      <c r="AO728" s="1337"/>
      <c r="AP728" s="3"/>
      <c r="AQ728" s="3"/>
      <c r="AR728" s="3"/>
      <c r="AS728" s="3"/>
      <c r="AZ728" s="84">
        <f t="shared" si="11"/>
        <v>2412</v>
      </c>
      <c r="BA728" s="3"/>
      <c r="BB728" s="3"/>
      <c r="BC728" s="3"/>
      <c r="BD728" s="3"/>
      <c r="BE728" s="136"/>
      <c r="BF728" s="203">
        <f t="shared" si="12"/>
        <v>21</v>
      </c>
      <c r="BG728" s="206">
        <f t="shared" si="13"/>
        <v>0.25301204819277107</v>
      </c>
      <c r="BH728" s="207">
        <f t="shared" si="14"/>
        <v>0.12650602409638553</v>
      </c>
      <c r="BI728" s="3"/>
      <c r="BJ728" s="3"/>
      <c r="BK728" s="3"/>
      <c r="BL728" s="3"/>
      <c r="BM728" s="3"/>
      <c r="BN728" s="3"/>
      <c r="BS728" s="203">
        <f t="shared" si="15"/>
        <v>21</v>
      </c>
      <c r="BT728" s="206">
        <f t="shared" si="16"/>
        <v>0.25301204819277107</v>
      </c>
      <c r="BU728" s="207">
        <f t="shared" si="17"/>
        <v>0.12650602409638553</v>
      </c>
      <c r="CC728" s="3"/>
      <c r="CD728" s="3"/>
      <c r="CE728" s="3"/>
      <c r="CF728" s="3"/>
      <c r="CG728" s="1481">
        <f t="shared" si="39"/>
        <v>1</v>
      </c>
      <c r="CH728" s="1483"/>
      <c r="CI728" s="1481">
        <f t="shared" si="40"/>
        <v>21</v>
      </c>
      <c r="CJ728" s="1483"/>
      <c r="CK728" s="1481">
        <f t="shared" si="18"/>
        <v>0</v>
      </c>
      <c r="CL728" s="1483"/>
      <c r="CM728" s="1481">
        <f t="shared" si="19"/>
        <v>0</v>
      </c>
      <c r="CN728" s="1483"/>
      <c r="CO728" s="3"/>
      <c r="CP728" s="1474">
        <f t="shared" si="20"/>
        <v>0</v>
      </c>
      <c r="CQ728" s="1475"/>
      <c r="CR728" s="1475"/>
      <c r="CS728" s="1475"/>
      <c r="CT728" s="1476"/>
      <c r="CU728" s="1472">
        <f t="shared" si="21"/>
        <v>21</v>
      </c>
      <c r="CV728" s="1472"/>
      <c r="CW728" s="1472"/>
      <c r="CX728" s="1472"/>
      <c r="CY728" s="1472"/>
      <c r="CZ728" s="1472">
        <f t="shared" si="22"/>
        <v>0</v>
      </c>
      <c r="DA728" s="1472"/>
      <c r="DB728" s="1472"/>
      <c r="DC728" s="1472"/>
      <c r="DD728" s="1472"/>
      <c r="DE728" s="1472">
        <f t="shared" si="23"/>
        <v>0</v>
      </c>
      <c r="DF728" s="1472"/>
      <c r="DG728" s="1472"/>
      <c r="DH728" s="1472"/>
      <c r="DI728" s="1472"/>
      <c r="DJ728" s="1472">
        <f t="shared" si="24"/>
        <v>0</v>
      </c>
      <c r="DK728" s="1472"/>
      <c r="DL728" s="1472"/>
      <c r="DM728" s="1472"/>
      <c r="DN728" s="1472"/>
      <c r="DO728" s="1472">
        <f t="shared" si="25"/>
        <v>0</v>
      </c>
      <c r="DP728" s="1472"/>
      <c r="DQ728" s="1472"/>
      <c r="DR728" s="1472"/>
      <c r="DS728" s="1472"/>
      <c r="DT728" s="257"/>
      <c r="DU728" s="1473">
        <f t="shared" si="26"/>
        <v>0</v>
      </c>
      <c r="DV728" s="1473"/>
      <c r="DW728" s="1473"/>
      <c r="DX728" s="1473"/>
      <c r="DY728" s="1473"/>
      <c r="DZ728" s="1473">
        <f t="shared" si="27"/>
        <v>0</v>
      </c>
      <c r="EA728" s="1473"/>
      <c r="EB728" s="1473"/>
      <c r="EC728" s="1473"/>
      <c r="ED728" s="1473"/>
      <c r="EE728" s="1473">
        <f t="shared" si="28"/>
        <v>0</v>
      </c>
      <c r="EF728" s="1473"/>
      <c r="EG728" s="1473"/>
      <c r="EH728" s="1473"/>
      <c r="EI728" s="1473"/>
      <c r="EJ728" s="1473">
        <f t="shared" si="29"/>
        <v>0</v>
      </c>
      <c r="EK728" s="1473"/>
      <c r="EL728" s="1473"/>
      <c r="EM728" s="1473"/>
      <c r="EN728" s="1473"/>
      <c r="EO728" s="1473">
        <f t="shared" si="30"/>
        <v>0</v>
      </c>
      <c r="EP728" s="1473"/>
      <c r="EQ728" s="1473"/>
      <c r="ER728" s="1473"/>
      <c r="ES728" s="1473"/>
      <c r="ET728" s="1473">
        <f t="shared" si="31"/>
        <v>0</v>
      </c>
      <c r="EU728" s="1473"/>
      <c r="EV728" s="1473"/>
      <c r="EW728" s="1473"/>
      <c r="EX728" s="1473"/>
      <c r="EZ728" s="1481" t="str">
        <f t="shared" si="32"/>
        <v/>
      </c>
      <c r="FA728" s="1482"/>
      <c r="FB728" s="1482"/>
      <c r="FC728" s="1482"/>
      <c r="FD728" s="1483"/>
      <c r="FE728" s="1481">
        <f t="shared" si="33"/>
        <v>1117</v>
      </c>
      <c r="FF728" s="1482"/>
      <c r="FG728" s="1482"/>
      <c r="FH728" s="1482"/>
      <c r="FI728" s="1483"/>
      <c r="FJ728" s="1481" t="str">
        <f t="shared" si="34"/>
        <v/>
      </c>
      <c r="FK728" s="1482"/>
      <c r="FL728" s="1482"/>
      <c r="FM728" s="1482"/>
      <c r="FN728" s="1483"/>
      <c r="FO728" s="1481" t="str">
        <f t="shared" si="35"/>
        <v/>
      </c>
      <c r="FP728" s="1482"/>
      <c r="FQ728" s="1482"/>
      <c r="FR728" s="1482"/>
      <c r="FS728" s="1483"/>
      <c r="FT728" s="1481" t="str">
        <f t="shared" si="36"/>
        <v/>
      </c>
      <c r="FU728" s="1482"/>
      <c r="FV728" s="1482"/>
      <c r="FW728" s="1482"/>
      <c r="FX728" s="1483"/>
      <c r="FY728" s="1481" t="str">
        <f t="shared" si="37"/>
        <v/>
      </c>
      <c r="FZ728" s="1482"/>
      <c r="GA728" s="1482"/>
      <c r="GB728" s="1482"/>
      <c r="GC728" s="1483"/>
    </row>
    <row r="729" spans="1:185" ht="12.95" customHeight="1">
      <c r="B729" s="1335" t="s">
        <v>844</v>
      </c>
      <c r="C729" s="1336"/>
      <c r="D729" s="1336"/>
      <c r="E729" s="1336"/>
      <c r="F729" s="1337"/>
      <c r="G729" s="1329">
        <v>4</v>
      </c>
      <c r="H729" s="1330"/>
      <c r="I729" s="1330"/>
      <c r="J729" s="1331"/>
      <c r="K729" s="1332">
        <v>830</v>
      </c>
      <c r="L729" s="1333"/>
      <c r="M729" s="1333"/>
      <c r="N729" s="1334"/>
      <c r="O729" s="1363">
        <f>1447-T729</f>
        <v>1333</v>
      </c>
      <c r="P729" s="1364"/>
      <c r="Q729" s="1364"/>
      <c r="R729" s="1364"/>
      <c r="S729" s="1365"/>
      <c r="T729" s="1363">
        <v>114</v>
      </c>
      <c r="U729" s="1364"/>
      <c r="V729" s="1364"/>
      <c r="W729" s="1365"/>
      <c r="X729" s="1366">
        <f t="shared" si="10"/>
        <v>1447</v>
      </c>
      <c r="Y729" s="1367"/>
      <c r="Z729" s="1367"/>
      <c r="AA729" s="1367"/>
      <c r="AB729" s="1368"/>
      <c r="AC729" s="1369">
        <v>0.5</v>
      </c>
      <c r="AD729" s="1370"/>
      <c r="AE729" s="1370"/>
      <c r="AF729" s="1370"/>
      <c r="AG729" s="1371"/>
      <c r="AH729" s="1387">
        <f t="shared" si="38"/>
        <v>0.5</v>
      </c>
      <c r="AI729" s="1388"/>
      <c r="AJ729" s="1389"/>
      <c r="AK729" s="1335" t="s">
        <v>822</v>
      </c>
      <c r="AL729" s="1336"/>
      <c r="AM729" s="1336"/>
      <c r="AN729" s="1336"/>
      <c r="AO729" s="1337"/>
      <c r="AP729" s="3"/>
      <c r="AQ729" s="3"/>
      <c r="AR729" s="3"/>
      <c r="AS729" s="3"/>
      <c r="AY729" s="85"/>
      <c r="AZ729" s="84">
        <f t="shared" si="11"/>
        <v>2894</v>
      </c>
      <c r="BA729" s="3"/>
      <c r="BB729" s="3"/>
      <c r="BC729" s="3"/>
      <c r="BD729" s="3"/>
      <c r="BE729" s="136"/>
      <c r="BF729" s="203">
        <f t="shared" si="12"/>
        <v>4</v>
      </c>
      <c r="BG729" s="206">
        <f t="shared" si="13"/>
        <v>4.8192771084337352E-2</v>
      </c>
      <c r="BH729" s="207">
        <f t="shared" si="14"/>
        <v>2.4096385542168676E-2</v>
      </c>
      <c r="BI729" s="3"/>
      <c r="BJ729" s="3"/>
      <c r="BK729" s="3"/>
      <c r="BL729" s="3"/>
      <c r="BM729" s="3"/>
      <c r="BN729" s="3"/>
      <c r="BS729" s="203">
        <f t="shared" si="15"/>
        <v>4</v>
      </c>
      <c r="BT729" s="206">
        <f t="shared" si="16"/>
        <v>4.8192771084337352E-2</v>
      </c>
      <c r="BU729" s="207">
        <f t="shared" si="17"/>
        <v>2.4096385542168676E-2</v>
      </c>
      <c r="CC729" s="3"/>
      <c r="CD729" s="3"/>
      <c r="CE729" s="3"/>
      <c r="CF729" s="3"/>
      <c r="CG729" s="1481">
        <f t="shared" si="39"/>
        <v>1</v>
      </c>
      <c r="CH729" s="1483"/>
      <c r="CI729" s="1481">
        <f t="shared" si="40"/>
        <v>4</v>
      </c>
      <c r="CJ729" s="1483"/>
      <c r="CK729" s="1481">
        <f t="shared" si="18"/>
        <v>0</v>
      </c>
      <c r="CL729" s="1483"/>
      <c r="CM729" s="1481">
        <f t="shared" si="19"/>
        <v>0</v>
      </c>
      <c r="CN729" s="1483"/>
      <c r="CO729" s="3"/>
      <c r="CP729" s="1474">
        <f t="shared" si="20"/>
        <v>0</v>
      </c>
      <c r="CQ729" s="1475"/>
      <c r="CR729" s="1475"/>
      <c r="CS729" s="1475"/>
      <c r="CT729" s="1476"/>
      <c r="CU729" s="1472">
        <f t="shared" si="21"/>
        <v>0</v>
      </c>
      <c r="CV729" s="1472"/>
      <c r="CW729" s="1472"/>
      <c r="CX729" s="1472"/>
      <c r="CY729" s="1472"/>
      <c r="CZ729" s="1472">
        <f t="shared" si="22"/>
        <v>4</v>
      </c>
      <c r="DA729" s="1472"/>
      <c r="DB729" s="1472"/>
      <c r="DC729" s="1472"/>
      <c r="DD729" s="1472"/>
      <c r="DE729" s="1472">
        <f t="shared" si="23"/>
        <v>0</v>
      </c>
      <c r="DF729" s="1472"/>
      <c r="DG729" s="1472"/>
      <c r="DH729" s="1472"/>
      <c r="DI729" s="1472"/>
      <c r="DJ729" s="1472">
        <f t="shared" si="24"/>
        <v>0</v>
      </c>
      <c r="DK729" s="1472"/>
      <c r="DL729" s="1472"/>
      <c r="DM729" s="1472"/>
      <c r="DN729" s="1472"/>
      <c r="DO729" s="1472">
        <f t="shared" si="25"/>
        <v>0</v>
      </c>
      <c r="DP729" s="1472"/>
      <c r="DQ729" s="1472"/>
      <c r="DR729" s="1472"/>
      <c r="DS729" s="1472"/>
      <c r="DT729" s="257"/>
      <c r="DU729" s="1473">
        <f t="shared" si="26"/>
        <v>0</v>
      </c>
      <c r="DV729" s="1473"/>
      <c r="DW729" s="1473"/>
      <c r="DX729" s="1473"/>
      <c r="DY729" s="1473"/>
      <c r="DZ729" s="1473">
        <f t="shared" si="27"/>
        <v>0</v>
      </c>
      <c r="EA729" s="1473"/>
      <c r="EB729" s="1473"/>
      <c r="EC729" s="1473"/>
      <c r="ED729" s="1473"/>
      <c r="EE729" s="1473">
        <f t="shared" si="28"/>
        <v>0</v>
      </c>
      <c r="EF729" s="1473"/>
      <c r="EG729" s="1473"/>
      <c r="EH729" s="1473"/>
      <c r="EI729" s="1473"/>
      <c r="EJ729" s="1473">
        <f t="shared" si="29"/>
        <v>0</v>
      </c>
      <c r="EK729" s="1473"/>
      <c r="EL729" s="1473"/>
      <c r="EM729" s="1473"/>
      <c r="EN729" s="1473"/>
      <c r="EO729" s="1473">
        <f t="shared" si="30"/>
        <v>0</v>
      </c>
      <c r="EP729" s="1473"/>
      <c r="EQ729" s="1473"/>
      <c r="ER729" s="1473"/>
      <c r="ES729" s="1473"/>
      <c r="ET729" s="1473">
        <f t="shared" si="31"/>
        <v>0</v>
      </c>
      <c r="EU729" s="1473"/>
      <c r="EV729" s="1473"/>
      <c r="EW729" s="1473"/>
      <c r="EX729" s="1473"/>
      <c r="EZ729" s="1481" t="str">
        <f t="shared" si="32"/>
        <v/>
      </c>
      <c r="FA729" s="1482"/>
      <c r="FB729" s="1482"/>
      <c r="FC729" s="1482"/>
      <c r="FD729" s="1483"/>
      <c r="FE729" s="1481" t="str">
        <f t="shared" si="33"/>
        <v/>
      </c>
      <c r="FF729" s="1482"/>
      <c r="FG729" s="1482"/>
      <c r="FH729" s="1482"/>
      <c r="FI729" s="1483"/>
      <c r="FJ729" s="1481">
        <f t="shared" si="34"/>
        <v>1333</v>
      </c>
      <c r="FK729" s="1482"/>
      <c r="FL729" s="1482"/>
      <c r="FM729" s="1482"/>
      <c r="FN729" s="1483"/>
      <c r="FO729" s="1481" t="str">
        <f t="shared" si="35"/>
        <v/>
      </c>
      <c r="FP729" s="1482"/>
      <c r="FQ729" s="1482"/>
      <c r="FR729" s="1482"/>
      <c r="FS729" s="1483"/>
      <c r="FT729" s="1481" t="str">
        <f t="shared" si="36"/>
        <v/>
      </c>
      <c r="FU729" s="1482"/>
      <c r="FV729" s="1482"/>
      <c r="FW729" s="1482"/>
      <c r="FX729" s="1483"/>
      <c r="FY729" s="1481" t="str">
        <f t="shared" si="37"/>
        <v/>
      </c>
      <c r="FZ729" s="1482"/>
      <c r="GA729" s="1482"/>
      <c r="GB729" s="1482"/>
      <c r="GC729" s="1483"/>
    </row>
    <row r="730" spans="1:185" ht="12.95" customHeight="1">
      <c r="B730" s="1335" t="s">
        <v>843</v>
      </c>
      <c r="C730" s="1336"/>
      <c r="D730" s="1336"/>
      <c r="E730" s="1336"/>
      <c r="F730" s="1337"/>
      <c r="G730" s="1329">
        <v>18</v>
      </c>
      <c r="H730" s="1330"/>
      <c r="I730" s="1330"/>
      <c r="J730" s="1331"/>
      <c r="K730" s="1332">
        <v>580</v>
      </c>
      <c r="L730" s="1333"/>
      <c r="M730" s="1333"/>
      <c r="N730" s="1334"/>
      <c r="O730" s="1363">
        <f>1447-T730</f>
        <v>1358</v>
      </c>
      <c r="P730" s="1364"/>
      <c r="Q730" s="1364"/>
      <c r="R730" s="1364"/>
      <c r="S730" s="1365"/>
      <c r="T730" s="1363">
        <v>89</v>
      </c>
      <c r="U730" s="1364"/>
      <c r="V730" s="1364"/>
      <c r="W730" s="1365"/>
      <c r="X730" s="1366">
        <f t="shared" si="10"/>
        <v>1447</v>
      </c>
      <c r="Y730" s="1367"/>
      <c r="Z730" s="1367"/>
      <c r="AA730" s="1367"/>
      <c r="AB730" s="1368"/>
      <c r="AC730" s="1369">
        <v>0.6</v>
      </c>
      <c r="AD730" s="1370"/>
      <c r="AE730" s="1370"/>
      <c r="AF730" s="1370"/>
      <c r="AG730" s="1371"/>
      <c r="AH730" s="1387">
        <f t="shared" si="38"/>
        <v>0.5999170812603648</v>
      </c>
      <c r="AI730" s="1388"/>
      <c r="AJ730" s="1389"/>
      <c r="AK730" s="1335" t="s">
        <v>822</v>
      </c>
      <c r="AL730" s="1336"/>
      <c r="AM730" s="1336"/>
      <c r="AN730" s="1336"/>
      <c r="AO730" s="1337"/>
      <c r="AP730" s="3"/>
      <c r="AQ730" s="3"/>
      <c r="AR730" s="3"/>
      <c r="AS730" s="3"/>
      <c r="AY730" s="85"/>
      <c r="AZ730" s="84">
        <f t="shared" si="11"/>
        <v>2412</v>
      </c>
      <c r="BA730" s="3"/>
      <c r="BB730" s="3"/>
      <c r="BC730" s="3"/>
      <c r="BD730" s="3"/>
      <c r="BE730" s="136"/>
      <c r="BF730" s="203">
        <f t="shared" si="12"/>
        <v>18</v>
      </c>
      <c r="BG730" s="206">
        <f t="shared" si="13"/>
        <v>0.21686746987951808</v>
      </c>
      <c r="BH730" s="207">
        <f t="shared" si="14"/>
        <v>0.13012048192771083</v>
      </c>
      <c r="BI730" s="3"/>
      <c r="BJ730" s="3"/>
      <c r="BK730" s="3"/>
      <c r="BL730" s="3"/>
      <c r="BM730" s="3"/>
      <c r="BN730" s="3"/>
      <c r="BS730" s="203">
        <f t="shared" si="15"/>
        <v>18</v>
      </c>
      <c r="BT730" s="206">
        <f t="shared" si="16"/>
        <v>0.21686746987951808</v>
      </c>
      <c r="BU730" s="207">
        <f t="shared" si="17"/>
        <v>0.13010249955044056</v>
      </c>
      <c r="CC730" s="3"/>
      <c r="CD730" s="3"/>
      <c r="CE730" s="3"/>
      <c r="CF730" s="3"/>
      <c r="CG730" s="1481">
        <f t="shared" si="39"/>
        <v>0</v>
      </c>
      <c r="CH730" s="1483"/>
      <c r="CI730" s="1481">
        <f t="shared" si="40"/>
        <v>0</v>
      </c>
      <c r="CJ730" s="1483"/>
      <c r="CK730" s="1481">
        <f t="shared" si="18"/>
        <v>0</v>
      </c>
      <c r="CL730" s="1483"/>
      <c r="CM730" s="1481">
        <f t="shared" si="19"/>
        <v>0</v>
      </c>
      <c r="CN730" s="1483"/>
      <c r="CO730" s="3"/>
      <c r="CP730" s="1474">
        <f t="shared" si="20"/>
        <v>0</v>
      </c>
      <c r="CQ730" s="1475"/>
      <c r="CR730" s="1475"/>
      <c r="CS730" s="1475"/>
      <c r="CT730" s="1476"/>
      <c r="CU730" s="1472">
        <f t="shared" si="21"/>
        <v>18</v>
      </c>
      <c r="CV730" s="1472"/>
      <c r="CW730" s="1472"/>
      <c r="CX730" s="1472"/>
      <c r="CY730" s="1472"/>
      <c r="CZ730" s="1472">
        <f t="shared" si="22"/>
        <v>0</v>
      </c>
      <c r="DA730" s="1472"/>
      <c r="DB730" s="1472"/>
      <c r="DC730" s="1472"/>
      <c r="DD730" s="1472"/>
      <c r="DE730" s="1472">
        <f t="shared" si="23"/>
        <v>0</v>
      </c>
      <c r="DF730" s="1472"/>
      <c r="DG730" s="1472"/>
      <c r="DH730" s="1472"/>
      <c r="DI730" s="1472"/>
      <c r="DJ730" s="1472">
        <f t="shared" si="24"/>
        <v>0</v>
      </c>
      <c r="DK730" s="1472"/>
      <c r="DL730" s="1472"/>
      <c r="DM730" s="1472"/>
      <c r="DN730" s="1472"/>
      <c r="DO730" s="1472">
        <f t="shared" si="25"/>
        <v>0</v>
      </c>
      <c r="DP730" s="1472"/>
      <c r="DQ730" s="1472"/>
      <c r="DR730" s="1472"/>
      <c r="DS730" s="1472"/>
      <c r="DT730" s="257"/>
      <c r="DU730" s="1473">
        <f t="shared" si="26"/>
        <v>0</v>
      </c>
      <c r="DV730" s="1473"/>
      <c r="DW730" s="1473"/>
      <c r="DX730" s="1473"/>
      <c r="DY730" s="1473"/>
      <c r="DZ730" s="1473">
        <f t="shared" si="27"/>
        <v>0</v>
      </c>
      <c r="EA730" s="1473"/>
      <c r="EB730" s="1473"/>
      <c r="EC730" s="1473"/>
      <c r="ED730" s="1473"/>
      <c r="EE730" s="1473">
        <f t="shared" si="28"/>
        <v>0</v>
      </c>
      <c r="EF730" s="1473"/>
      <c r="EG730" s="1473"/>
      <c r="EH730" s="1473"/>
      <c r="EI730" s="1473"/>
      <c r="EJ730" s="1473">
        <f t="shared" si="29"/>
        <v>0</v>
      </c>
      <c r="EK730" s="1473"/>
      <c r="EL730" s="1473"/>
      <c r="EM730" s="1473"/>
      <c r="EN730" s="1473"/>
      <c r="EO730" s="1473">
        <f t="shared" si="30"/>
        <v>0</v>
      </c>
      <c r="EP730" s="1473"/>
      <c r="EQ730" s="1473"/>
      <c r="ER730" s="1473"/>
      <c r="ES730" s="1473"/>
      <c r="ET730" s="1473">
        <f t="shared" si="31"/>
        <v>0</v>
      </c>
      <c r="EU730" s="1473"/>
      <c r="EV730" s="1473"/>
      <c r="EW730" s="1473"/>
      <c r="EX730" s="1473"/>
      <c r="EZ730" s="1481" t="str">
        <f t="shared" si="32"/>
        <v/>
      </c>
      <c r="FA730" s="1482"/>
      <c r="FB730" s="1482"/>
      <c r="FC730" s="1482"/>
      <c r="FD730" s="1483"/>
      <c r="FE730" s="1481">
        <f t="shared" si="33"/>
        <v>1358</v>
      </c>
      <c r="FF730" s="1482"/>
      <c r="FG730" s="1482"/>
      <c r="FH730" s="1482"/>
      <c r="FI730" s="1483"/>
      <c r="FJ730" s="1481" t="str">
        <f t="shared" si="34"/>
        <v/>
      </c>
      <c r="FK730" s="1482"/>
      <c r="FL730" s="1482"/>
      <c r="FM730" s="1482"/>
      <c r="FN730" s="1483"/>
      <c r="FO730" s="1481" t="str">
        <f t="shared" si="35"/>
        <v/>
      </c>
      <c r="FP730" s="1482"/>
      <c r="FQ730" s="1482"/>
      <c r="FR730" s="1482"/>
      <c r="FS730" s="1483"/>
      <c r="FT730" s="1481" t="str">
        <f t="shared" si="36"/>
        <v/>
      </c>
      <c r="FU730" s="1482"/>
      <c r="FV730" s="1482"/>
      <c r="FW730" s="1482"/>
      <c r="FX730" s="1483"/>
      <c r="FY730" s="1481" t="str">
        <f t="shared" si="37"/>
        <v/>
      </c>
      <c r="FZ730" s="1482"/>
      <c r="GA730" s="1482"/>
      <c r="GB730" s="1482"/>
      <c r="GC730" s="1483"/>
    </row>
    <row r="731" spans="1:185" ht="12.95" customHeight="1">
      <c r="B731" s="1335" t="s">
        <v>844</v>
      </c>
      <c r="C731" s="1336"/>
      <c r="D731" s="1336"/>
      <c r="E731" s="1336"/>
      <c r="F731" s="1337"/>
      <c r="G731" s="1329">
        <v>4</v>
      </c>
      <c r="H731" s="1330"/>
      <c r="I731" s="1330"/>
      <c r="J731" s="1331"/>
      <c r="K731" s="1332">
        <v>830</v>
      </c>
      <c r="L731" s="1333"/>
      <c r="M731" s="1333"/>
      <c r="N731" s="1334"/>
      <c r="O731" s="1363">
        <f>1737-T731</f>
        <v>1623</v>
      </c>
      <c r="P731" s="1364"/>
      <c r="Q731" s="1364"/>
      <c r="R731" s="1364"/>
      <c r="S731" s="1365"/>
      <c r="T731" s="1363">
        <v>114</v>
      </c>
      <c r="U731" s="1364"/>
      <c r="V731" s="1364"/>
      <c r="W731" s="1365"/>
      <c r="X731" s="1366">
        <f t="shared" si="10"/>
        <v>1737</v>
      </c>
      <c r="Y731" s="1367"/>
      <c r="Z731" s="1367"/>
      <c r="AA731" s="1367"/>
      <c r="AB731" s="1368"/>
      <c r="AC731" s="1369">
        <v>0.6</v>
      </c>
      <c r="AD731" s="1370"/>
      <c r="AE731" s="1370"/>
      <c r="AF731" s="1370"/>
      <c r="AG731" s="1371"/>
      <c r="AH731" s="1387">
        <f t="shared" si="38"/>
        <v>0.60020732550103661</v>
      </c>
      <c r="AI731" s="1388"/>
      <c r="AJ731" s="1389"/>
      <c r="AK731" s="1335" t="s">
        <v>822</v>
      </c>
      <c r="AL731" s="1336"/>
      <c r="AM731" s="1336"/>
      <c r="AN731" s="1336"/>
      <c r="AO731" s="1337"/>
      <c r="AP731" s="3"/>
      <c r="AQ731" s="3"/>
      <c r="AR731" s="3"/>
      <c r="AS731" s="3"/>
      <c r="AY731" s="85"/>
      <c r="AZ731" s="84">
        <f t="shared" si="11"/>
        <v>2894</v>
      </c>
      <c r="BA731" s="3"/>
      <c r="BB731" s="3"/>
      <c r="BC731" s="3"/>
      <c r="BD731" s="3"/>
      <c r="BE731" s="136"/>
      <c r="BF731" s="203">
        <f t="shared" si="12"/>
        <v>4</v>
      </c>
      <c r="BG731" s="206">
        <f t="shared" si="13"/>
        <v>4.8192771084337352E-2</v>
      </c>
      <c r="BH731" s="207">
        <f t="shared" si="14"/>
        <v>2.891566265060241E-2</v>
      </c>
      <c r="BI731" s="3"/>
      <c r="BJ731" s="3"/>
      <c r="BK731" s="3"/>
      <c r="BL731" s="3"/>
      <c r="BM731" s="3"/>
      <c r="BN731" s="3"/>
      <c r="BS731" s="203">
        <f t="shared" si="15"/>
        <v>4</v>
      </c>
      <c r="BT731" s="206">
        <f t="shared" si="16"/>
        <v>4.8192771084337352E-2</v>
      </c>
      <c r="BU731" s="207">
        <f t="shared" si="17"/>
        <v>2.8925654241013815E-2</v>
      </c>
      <c r="CC731" s="3"/>
      <c r="CD731" s="3"/>
      <c r="CE731" s="3"/>
      <c r="CF731" s="3"/>
      <c r="CG731" s="1481">
        <f t="shared" si="39"/>
        <v>0</v>
      </c>
      <c r="CH731" s="1483"/>
      <c r="CI731" s="1481">
        <f t="shared" si="40"/>
        <v>0</v>
      </c>
      <c r="CJ731" s="1483"/>
      <c r="CK731" s="1481">
        <f t="shared" si="18"/>
        <v>0</v>
      </c>
      <c r="CL731" s="1483"/>
      <c r="CM731" s="1481">
        <f t="shared" si="19"/>
        <v>0</v>
      </c>
      <c r="CN731" s="1483"/>
      <c r="CO731" s="3"/>
      <c r="CP731" s="1474">
        <f t="shared" si="20"/>
        <v>0</v>
      </c>
      <c r="CQ731" s="1475"/>
      <c r="CR731" s="1475"/>
      <c r="CS731" s="1475"/>
      <c r="CT731" s="1476"/>
      <c r="CU731" s="1472">
        <f t="shared" si="21"/>
        <v>0</v>
      </c>
      <c r="CV731" s="1472"/>
      <c r="CW731" s="1472"/>
      <c r="CX731" s="1472"/>
      <c r="CY731" s="1472"/>
      <c r="CZ731" s="1472">
        <f t="shared" si="22"/>
        <v>4</v>
      </c>
      <c r="DA731" s="1472"/>
      <c r="DB731" s="1472"/>
      <c r="DC731" s="1472"/>
      <c r="DD731" s="1472"/>
      <c r="DE731" s="1472">
        <f t="shared" si="23"/>
        <v>0</v>
      </c>
      <c r="DF731" s="1472"/>
      <c r="DG731" s="1472"/>
      <c r="DH731" s="1472"/>
      <c r="DI731" s="1472"/>
      <c r="DJ731" s="1472">
        <f t="shared" si="24"/>
        <v>0</v>
      </c>
      <c r="DK731" s="1472"/>
      <c r="DL731" s="1472"/>
      <c r="DM731" s="1472"/>
      <c r="DN731" s="1472"/>
      <c r="DO731" s="1472">
        <f t="shared" si="25"/>
        <v>0</v>
      </c>
      <c r="DP731" s="1472"/>
      <c r="DQ731" s="1472"/>
      <c r="DR731" s="1472"/>
      <c r="DS731" s="1472"/>
      <c r="DT731" s="257"/>
      <c r="DU731" s="1473">
        <f t="shared" si="26"/>
        <v>0</v>
      </c>
      <c r="DV731" s="1473"/>
      <c r="DW731" s="1473"/>
      <c r="DX731" s="1473"/>
      <c r="DY731" s="1473"/>
      <c r="DZ731" s="1473">
        <f t="shared" si="27"/>
        <v>0</v>
      </c>
      <c r="EA731" s="1473"/>
      <c r="EB731" s="1473"/>
      <c r="EC731" s="1473"/>
      <c r="ED731" s="1473"/>
      <c r="EE731" s="1473">
        <f t="shared" si="28"/>
        <v>0</v>
      </c>
      <c r="EF731" s="1473"/>
      <c r="EG731" s="1473"/>
      <c r="EH731" s="1473"/>
      <c r="EI731" s="1473"/>
      <c r="EJ731" s="1473">
        <f t="shared" si="29"/>
        <v>0</v>
      </c>
      <c r="EK731" s="1473"/>
      <c r="EL731" s="1473"/>
      <c r="EM731" s="1473"/>
      <c r="EN731" s="1473"/>
      <c r="EO731" s="1473">
        <f t="shared" si="30"/>
        <v>0</v>
      </c>
      <c r="EP731" s="1473"/>
      <c r="EQ731" s="1473"/>
      <c r="ER731" s="1473"/>
      <c r="ES731" s="1473"/>
      <c r="ET731" s="1473">
        <f t="shared" si="31"/>
        <v>0</v>
      </c>
      <c r="EU731" s="1473"/>
      <c r="EV731" s="1473"/>
      <c r="EW731" s="1473"/>
      <c r="EX731" s="1473"/>
      <c r="EZ731" s="1481" t="str">
        <f t="shared" si="32"/>
        <v/>
      </c>
      <c r="FA731" s="1482"/>
      <c r="FB731" s="1482"/>
      <c r="FC731" s="1482"/>
      <c r="FD731" s="1483"/>
      <c r="FE731" s="1481" t="str">
        <f t="shared" si="33"/>
        <v/>
      </c>
      <c r="FF731" s="1482"/>
      <c r="FG731" s="1482"/>
      <c r="FH731" s="1482"/>
      <c r="FI731" s="1483"/>
      <c r="FJ731" s="1481">
        <f t="shared" si="34"/>
        <v>1623</v>
      </c>
      <c r="FK731" s="1482"/>
      <c r="FL731" s="1482"/>
      <c r="FM731" s="1482"/>
      <c r="FN731" s="1483"/>
      <c r="FO731" s="1481" t="str">
        <f t="shared" si="35"/>
        <v/>
      </c>
      <c r="FP731" s="1482"/>
      <c r="FQ731" s="1482"/>
      <c r="FR731" s="1482"/>
      <c r="FS731" s="1483"/>
      <c r="FT731" s="1481" t="str">
        <f t="shared" si="36"/>
        <v/>
      </c>
      <c r="FU731" s="1482"/>
      <c r="FV731" s="1482"/>
      <c r="FW731" s="1482"/>
      <c r="FX731" s="1483"/>
      <c r="FY731" s="1481" t="str">
        <f t="shared" si="37"/>
        <v/>
      </c>
      <c r="FZ731" s="1482"/>
      <c r="GA731" s="1482"/>
      <c r="GB731" s="1482"/>
      <c r="GC731" s="1483"/>
    </row>
    <row r="732" spans="1:185" ht="12.95" customHeight="1">
      <c r="B732" s="1335" t="s">
        <v>843</v>
      </c>
      <c r="C732" s="1336"/>
      <c r="D732" s="1336"/>
      <c r="E732" s="1336"/>
      <c r="F732" s="1337"/>
      <c r="G732" s="1329">
        <v>8</v>
      </c>
      <c r="H732" s="1330"/>
      <c r="I732" s="1330"/>
      <c r="J732" s="1331"/>
      <c r="K732" s="1332">
        <v>580</v>
      </c>
      <c r="L732" s="1333"/>
      <c r="M732" s="1333"/>
      <c r="N732" s="1334"/>
      <c r="O732" s="1363">
        <f>1760-T732</f>
        <v>1671</v>
      </c>
      <c r="P732" s="1364"/>
      <c r="Q732" s="1364"/>
      <c r="R732" s="1364"/>
      <c r="S732" s="1365"/>
      <c r="T732" s="1363">
        <v>89</v>
      </c>
      <c r="U732" s="1364"/>
      <c r="V732" s="1364"/>
      <c r="W732" s="1365"/>
      <c r="X732" s="1366">
        <f t="shared" si="10"/>
        <v>1760</v>
      </c>
      <c r="Y732" s="1367"/>
      <c r="Z732" s="1367"/>
      <c r="AA732" s="1367"/>
      <c r="AB732" s="1368"/>
      <c r="AC732" s="1369">
        <v>0.8</v>
      </c>
      <c r="AD732" s="1370"/>
      <c r="AE732" s="1370"/>
      <c r="AF732" s="1370"/>
      <c r="AG732" s="1371"/>
      <c r="AH732" s="1387">
        <f t="shared" si="38"/>
        <v>0.72968490878938641</v>
      </c>
      <c r="AI732" s="1388"/>
      <c r="AJ732" s="1389"/>
      <c r="AK732" s="1335" t="s">
        <v>822</v>
      </c>
      <c r="AL732" s="1336"/>
      <c r="AM732" s="1336"/>
      <c r="AN732" s="1336"/>
      <c r="AO732" s="1337"/>
      <c r="AP732" s="3"/>
      <c r="AQ732" s="3"/>
      <c r="AR732" s="3"/>
      <c r="AS732" s="3"/>
      <c r="AY732" s="85"/>
      <c r="AZ732" s="84">
        <f t="shared" si="11"/>
        <v>2412</v>
      </c>
      <c r="BA732" s="3"/>
      <c r="BB732" s="3"/>
      <c r="BC732" s="3"/>
      <c r="BD732" s="3"/>
      <c r="BE732" s="136"/>
      <c r="BF732" s="203">
        <f t="shared" si="12"/>
        <v>8</v>
      </c>
      <c r="BG732" s="206">
        <f t="shared" si="13"/>
        <v>9.6385542168674704E-2</v>
      </c>
      <c r="BH732" s="207">
        <f t="shared" si="14"/>
        <v>7.7108433734939766E-2</v>
      </c>
      <c r="BI732" s="3"/>
      <c r="BJ732" s="3"/>
      <c r="BK732" s="3"/>
      <c r="BL732" s="3"/>
      <c r="BM732" s="3"/>
      <c r="BN732" s="3"/>
      <c r="BS732" s="203">
        <f t="shared" si="15"/>
        <v>8</v>
      </c>
      <c r="BT732" s="206">
        <f t="shared" si="16"/>
        <v>9.6385542168674704E-2</v>
      </c>
      <c r="BU732" s="207">
        <f t="shared" si="17"/>
        <v>7.0331075545964961E-2</v>
      </c>
      <c r="CC732" s="3"/>
      <c r="CE732" s="3"/>
      <c r="CF732" s="3"/>
      <c r="CG732" s="1481">
        <f t="shared" si="39"/>
        <v>0</v>
      </c>
      <c r="CH732" s="1483"/>
      <c r="CI732" s="1481">
        <f t="shared" si="40"/>
        <v>0</v>
      </c>
      <c r="CJ732" s="1483"/>
      <c r="CK732" s="1481">
        <f t="shared" si="18"/>
        <v>0</v>
      </c>
      <c r="CL732" s="1483"/>
      <c r="CM732" s="1481">
        <f t="shared" si="19"/>
        <v>0</v>
      </c>
      <c r="CN732" s="1483"/>
      <c r="CO732" s="3"/>
      <c r="CP732" s="1474">
        <f t="shared" si="20"/>
        <v>0</v>
      </c>
      <c r="CQ732" s="1475"/>
      <c r="CR732" s="1475"/>
      <c r="CS732" s="1475"/>
      <c r="CT732" s="1476"/>
      <c r="CU732" s="1472">
        <f t="shared" si="21"/>
        <v>8</v>
      </c>
      <c r="CV732" s="1472"/>
      <c r="CW732" s="1472"/>
      <c r="CX732" s="1472"/>
      <c r="CY732" s="1472"/>
      <c r="CZ732" s="1472">
        <f t="shared" si="22"/>
        <v>0</v>
      </c>
      <c r="DA732" s="1472"/>
      <c r="DB732" s="1472"/>
      <c r="DC732" s="1472"/>
      <c r="DD732" s="1472"/>
      <c r="DE732" s="1472">
        <f t="shared" si="23"/>
        <v>0</v>
      </c>
      <c r="DF732" s="1472"/>
      <c r="DG732" s="1472"/>
      <c r="DH732" s="1472"/>
      <c r="DI732" s="1472"/>
      <c r="DJ732" s="1472">
        <f t="shared" si="24"/>
        <v>0</v>
      </c>
      <c r="DK732" s="1472"/>
      <c r="DL732" s="1472"/>
      <c r="DM732" s="1472"/>
      <c r="DN732" s="1472"/>
      <c r="DO732" s="1472">
        <f t="shared" si="25"/>
        <v>0</v>
      </c>
      <c r="DP732" s="1472"/>
      <c r="DQ732" s="1472"/>
      <c r="DR732" s="1472"/>
      <c r="DS732" s="1472"/>
      <c r="DT732" s="257"/>
      <c r="DU732" s="1473">
        <f t="shared" si="26"/>
        <v>0</v>
      </c>
      <c r="DV732" s="1473"/>
      <c r="DW732" s="1473"/>
      <c r="DX732" s="1473"/>
      <c r="DY732" s="1473"/>
      <c r="DZ732" s="1473">
        <f t="shared" si="27"/>
        <v>0</v>
      </c>
      <c r="EA732" s="1473"/>
      <c r="EB732" s="1473"/>
      <c r="EC732" s="1473"/>
      <c r="ED732" s="1473"/>
      <c r="EE732" s="1473">
        <f t="shared" si="28"/>
        <v>0</v>
      </c>
      <c r="EF732" s="1473"/>
      <c r="EG732" s="1473"/>
      <c r="EH732" s="1473"/>
      <c r="EI732" s="1473"/>
      <c r="EJ732" s="1473">
        <f t="shared" si="29"/>
        <v>0</v>
      </c>
      <c r="EK732" s="1473"/>
      <c r="EL732" s="1473"/>
      <c r="EM732" s="1473"/>
      <c r="EN732" s="1473"/>
      <c r="EO732" s="1473">
        <f t="shared" si="30"/>
        <v>0</v>
      </c>
      <c r="EP732" s="1473"/>
      <c r="EQ732" s="1473"/>
      <c r="ER732" s="1473"/>
      <c r="ES732" s="1473"/>
      <c r="ET732" s="1473">
        <f t="shared" si="31"/>
        <v>0</v>
      </c>
      <c r="EU732" s="1473"/>
      <c r="EV732" s="1473"/>
      <c r="EW732" s="1473"/>
      <c r="EX732" s="1473"/>
      <c r="EZ732" s="1481" t="str">
        <f t="shared" si="32"/>
        <v/>
      </c>
      <c r="FA732" s="1482"/>
      <c r="FB732" s="1482"/>
      <c r="FC732" s="1482"/>
      <c r="FD732" s="1483"/>
      <c r="FE732" s="1481">
        <f t="shared" si="33"/>
        <v>1671</v>
      </c>
      <c r="FF732" s="1482"/>
      <c r="FG732" s="1482"/>
      <c r="FH732" s="1482"/>
      <c r="FI732" s="1483"/>
      <c r="FJ732" s="1481" t="str">
        <f t="shared" si="34"/>
        <v/>
      </c>
      <c r="FK732" s="1482"/>
      <c r="FL732" s="1482"/>
      <c r="FM732" s="1482"/>
      <c r="FN732" s="1483"/>
      <c r="FO732" s="1481" t="str">
        <f t="shared" si="35"/>
        <v/>
      </c>
      <c r="FP732" s="1482"/>
      <c r="FQ732" s="1482"/>
      <c r="FR732" s="1482"/>
      <c r="FS732" s="1483"/>
      <c r="FT732" s="1481" t="str">
        <f t="shared" si="36"/>
        <v/>
      </c>
      <c r="FU732" s="1482"/>
      <c r="FV732" s="1482"/>
      <c r="FW732" s="1482"/>
      <c r="FX732" s="1483"/>
      <c r="FY732" s="1481" t="str">
        <f t="shared" si="37"/>
        <v/>
      </c>
      <c r="FZ732" s="1482"/>
      <c r="GA732" s="1482"/>
      <c r="GB732" s="1482"/>
      <c r="GC732" s="1483"/>
    </row>
    <row r="733" spans="1:185" ht="12.95" customHeight="1">
      <c r="B733" s="1335" t="s">
        <v>844</v>
      </c>
      <c r="C733" s="1336"/>
      <c r="D733" s="1336"/>
      <c r="E733" s="1336"/>
      <c r="F733" s="1337"/>
      <c r="G733" s="1329">
        <v>2</v>
      </c>
      <c r="H733" s="1330"/>
      <c r="I733" s="1330"/>
      <c r="J733" s="1331"/>
      <c r="K733" s="1332">
        <v>830</v>
      </c>
      <c r="L733" s="1333"/>
      <c r="M733" s="1333"/>
      <c r="N733" s="1334"/>
      <c r="O733" s="1363">
        <f>2316-T733</f>
        <v>2202</v>
      </c>
      <c r="P733" s="1364"/>
      <c r="Q733" s="1364"/>
      <c r="R733" s="1364"/>
      <c r="S733" s="1365"/>
      <c r="T733" s="1363">
        <v>114</v>
      </c>
      <c r="U733" s="1364"/>
      <c r="V733" s="1364"/>
      <c r="W733" s="1365"/>
      <c r="X733" s="1366">
        <f t="shared" si="10"/>
        <v>2316</v>
      </c>
      <c r="Y733" s="1367"/>
      <c r="Z733" s="1367"/>
      <c r="AA733" s="1367"/>
      <c r="AB733" s="1368"/>
      <c r="AC733" s="1369">
        <v>0.8</v>
      </c>
      <c r="AD733" s="1370"/>
      <c r="AE733" s="1370"/>
      <c r="AF733" s="1370"/>
      <c r="AG733" s="1371"/>
      <c r="AH733" s="1387">
        <f t="shared" si="38"/>
        <v>0.80027643400138215</v>
      </c>
      <c r="AI733" s="1388"/>
      <c r="AJ733" s="1389"/>
      <c r="AK733" s="1335" t="s">
        <v>822</v>
      </c>
      <c r="AL733" s="1336"/>
      <c r="AM733" s="1336"/>
      <c r="AN733" s="1336"/>
      <c r="AO733" s="1337"/>
      <c r="AP733" s="3"/>
      <c r="AQ733" s="3"/>
      <c r="AR733" s="3"/>
      <c r="AS733" s="3"/>
      <c r="AY733" s="852"/>
      <c r="AZ733" s="84">
        <f t="shared" si="11"/>
        <v>2894</v>
      </c>
      <c r="BA733" s="3"/>
      <c r="BB733" s="3"/>
      <c r="BC733" s="3"/>
      <c r="BD733" s="3"/>
      <c r="BE733" s="136"/>
      <c r="BF733" s="203">
        <f t="shared" si="12"/>
        <v>2</v>
      </c>
      <c r="BG733" s="206">
        <f t="shared" si="13"/>
        <v>2.4096385542168676E-2</v>
      </c>
      <c r="BH733" s="207">
        <f t="shared" si="14"/>
        <v>1.9277108433734941E-2</v>
      </c>
      <c r="BI733" s="3"/>
      <c r="BJ733" s="3"/>
      <c r="BK733" s="3"/>
      <c r="BL733" s="3"/>
      <c r="BM733" s="3"/>
      <c r="BN733" s="3"/>
      <c r="BS733" s="203">
        <f t="shared" si="15"/>
        <v>2</v>
      </c>
      <c r="BT733" s="206">
        <f t="shared" si="16"/>
        <v>2.4096385542168676E-2</v>
      </c>
      <c r="BU733" s="207">
        <f t="shared" si="17"/>
        <v>1.9283769494009211E-2</v>
      </c>
      <c r="BV733" s="1177"/>
      <c r="BW733" s="3"/>
      <c r="BX733" s="3"/>
      <c r="BY733" s="3"/>
      <c r="BZ733" s="3"/>
      <c r="CA733" s="3"/>
      <c r="CB733" s="3"/>
      <c r="CC733" s="3"/>
      <c r="CE733" s="3"/>
      <c r="CF733" s="3"/>
      <c r="CG733" s="1481">
        <f t="shared" si="39"/>
        <v>0</v>
      </c>
      <c r="CH733" s="1483"/>
      <c r="CI733" s="1481">
        <f t="shared" si="40"/>
        <v>0</v>
      </c>
      <c r="CJ733" s="1483"/>
      <c r="CK733" s="1481">
        <f t="shared" si="18"/>
        <v>0</v>
      </c>
      <c r="CL733" s="1483"/>
      <c r="CM733" s="1481">
        <f t="shared" si="19"/>
        <v>0</v>
      </c>
      <c r="CN733" s="1483"/>
      <c r="CO733" s="3"/>
      <c r="CP733" s="1474">
        <f t="shared" si="20"/>
        <v>0</v>
      </c>
      <c r="CQ733" s="1475"/>
      <c r="CR733" s="1475"/>
      <c r="CS733" s="1475"/>
      <c r="CT733" s="1476"/>
      <c r="CU733" s="1472">
        <f t="shared" si="21"/>
        <v>0</v>
      </c>
      <c r="CV733" s="1472"/>
      <c r="CW733" s="1472"/>
      <c r="CX733" s="1472"/>
      <c r="CY733" s="1472"/>
      <c r="CZ733" s="1472">
        <f t="shared" si="22"/>
        <v>2</v>
      </c>
      <c r="DA733" s="1472"/>
      <c r="DB733" s="1472"/>
      <c r="DC733" s="1472"/>
      <c r="DD733" s="1472"/>
      <c r="DE733" s="1472">
        <f t="shared" si="23"/>
        <v>0</v>
      </c>
      <c r="DF733" s="1472"/>
      <c r="DG733" s="1472"/>
      <c r="DH733" s="1472"/>
      <c r="DI733" s="1472"/>
      <c r="DJ733" s="1472">
        <f t="shared" si="24"/>
        <v>0</v>
      </c>
      <c r="DK733" s="1472"/>
      <c r="DL733" s="1472"/>
      <c r="DM733" s="1472"/>
      <c r="DN733" s="1472"/>
      <c r="DO733" s="1472">
        <f t="shared" si="25"/>
        <v>0</v>
      </c>
      <c r="DP733" s="1472"/>
      <c r="DQ733" s="1472"/>
      <c r="DR733" s="1472"/>
      <c r="DS733" s="1472"/>
      <c r="DT733" s="257"/>
      <c r="DU733" s="1473">
        <f t="shared" si="26"/>
        <v>0</v>
      </c>
      <c r="DV733" s="1473"/>
      <c r="DW733" s="1473"/>
      <c r="DX733" s="1473"/>
      <c r="DY733" s="1473"/>
      <c r="DZ733" s="1473">
        <f t="shared" si="27"/>
        <v>0</v>
      </c>
      <c r="EA733" s="1473"/>
      <c r="EB733" s="1473"/>
      <c r="EC733" s="1473"/>
      <c r="ED733" s="1473"/>
      <c r="EE733" s="1473">
        <f t="shared" si="28"/>
        <v>0</v>
      </c>
      <c r="EF733" s="1473"/>
      <c r="EG733" s="1473"/>
      <c r="EH733" s="1473"/>
      <c r="EI733" s="1473"/>
      <c r="EJ733" s="1473">
        <f t="shared" si="29"/>
        <v>0</v>
      </c>
      <c r="EK733" s="1473"/>
      <c r="EL733" s="1473"/>
      <c r="EM733" s="1473"/>
      <c r="EN733" s="1473"/>
      <c r="EO733" s="1473">
        <f t="shared" si="30"/>
        <v>0</v>
      </c>
      <c r="EP733" s="1473"/>
      <c r="EQ733" s="1473"/>
      <c r="ER733" s="1473"/>
      <c r="ES733" s="1473"/>
      <c r="ET733" s="1473">
        <f t="shared" si="31"/>
        <v>0</v>
      </c>
      <c r="EU733" s="1473"/>
      <c r="EV733" s="1473"/>
      <c r="EW733" s="1473"/>
      <c r="EX733" s="1473"/>
      <c r="EZ733" s="1481" t="str">
        <f t="shared" si="32"/>
        <v/>
      </c>
      <c r="FA733" s="1482"/>
      <c r="FB733" s="1482"/>
      <c r="FC733" s="1482"/>
      <c r="FD733" s="1483"/>
      <c r="FE733" s="1481" t="str">
        <f t="shared" si="33"/>
        <v/>
      </c>
      <c r="FF733" s="1482"/>
      <c r="FG733" s="1482"/>
      <c r="FH733" s="1482"/>
      <c r="FI733" s="1483"/>
      <c r="FJ733" s="1481">
        <f t="shared" si="34"/>
        <v>2202</v>
      </c>
      <c r="FK733" s="1482"/>
      <c r="FL733" s="1482"/>
      <c r="FM733" s="1482"/>
      <c r="FN733" s="1483"/>
      <c r="FO733" s="1481" t="str">
        <f t="shared" si="35"/>
        <v/>
      </c>
      <c r="FP733" s="1482"/>
      <c r="FQ733" s="1482"/>
      <c r="FR733" s="1482"/>
      <c r="FS733" s="1483"/>
      <c r="FT733" s="1481" t="str">
        <f t="shared" si="36"/>
        <v/>
      </c>
      <c r="FU733" s="1482"/>
      <c r="FV733" s="1482"/>
      <c r="FW733" s="1482"/>
      <c r="FX733" s="1483"/>
      <c r="FY733" s="1481" t="str">
        <f t="shared" si="37"/>
        <v/>
      </c>
      <c r="FZ733" s="1482"/>
      <c r="GA733" s="1482"/>
      <c r="GB733" s="1482"/>
      <c r="GC733" s="1483"/>
    </row>
    <row r="734" spans="1:185" ht="12.95" customHeight="1">
      <c r="B734" s="1335"/>
      <c r="C734" s="1336"/>
      <c r="D734" s="1336"/>
      <c r="E734" s="1336"/>
      <c r="F734" s="1337"/>
      <c r="G734" s="1329"/>
      <c r="H734" s="1330"/>
      <c r="I734" s="1330"/>
      <c r="J734" s="1331"/>
      <c r="K734" s="1332"/>
      <c r="L734" s="1333"/>
      <c r="M734" s="1333"/>
      <c r="N734" s="1334"/>
      <c r="O734" s="1363"/>
      <c r="P734" s="1364"/>
      <c r="Q734" s="1364"/>
      <c r="R734" s="1364"/>
      <c r="S734" s="1365"/>
      <c r="T734" s="1363"/>
      <c r="U734" s="1364"/>
      <c r="V734" s="1364"/>
      <c r="W734" s="1365"/>
      <c r="X734" s="1366">
        <f t="shared" si="10"/>
        <v>0</v>
      </c>
      <c r="Y734" s="1367"/>
      <c r="Z734" s="1367"/>
      <c r="AA734" s="1367"/>
      <c r="AB734" s="1368"/>
      <c r="AC734" s="1369"/>
      <c r="AD734" s="1370"/>
      <c r="AE734" s="1370"/>
      <c r="AF734" s="1370"/>
      <c r="AG734" s="1371"/>
      <c r="AH734" s="1387" t="str">
        <f t="shared" si="38"/>
        <v/>
      </c>
      <c r="AI734" s="1388"/>
      <c r="AJ734" s="1389"/>
      <c r="AK734" s="1335" t="s">
        <v>822</v>
      </c>
      <c r="AL734" s="1336"/>
      <c r="AM734" s="1336"/>
      <c r="AN734" s="1336"/>
      <c r="AO734" s="1337"/>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81">
        <f t="shared" si="39"/>
        <v>0</v>
      </c>
      <c r="CH734" s="1483"/>
      <c r="CI734" s="1481">
        <f t="shared" si="40"/>
        <v>0</v>
      </c>
      <c r="CJ734" s="1483"/>
      <c r="CK734" s="1481">
        <f t="shared" si="18"/>
        <v>0</v>
      </c>
      <c r="CL734" s="1483"/>
      <c r="CM734" s="1481">
        <f t="shared" si="19"/>
        <v>0</v>
      </c>
      <c r="CN734" s="1483"/>
      <c r="CO734" s="3"/>
      <c r="CP734" s="1474">
        <f t="shared" si="20"/>
        <v>0</v>
      </c>
      <c r="CQ734" s="1475"/>
      <c r="CR734" s="1475"/>
      <c r="CS734" s="1475"/>
      <c r="CT734" s="1476"/>
      <c r="CU734" s="1472">
        <f t="shared" si="21"/>
        <v>0</v>
      </c>
      <c r="CV734" s="1472"/>
      <c r="CW734" s="1472"/>
      <c r="CX734" s="1472"/>
      <c r="CY734" s="1472"/>
      <c r="CZ734" s="1472">
        <f t="shared" si="22"/>
        <v>0</v>
      </c>
      <c r="DA734" s="1472"/>
      <c r="DB734" s="1472"/>
      <c r="DC734" s="1472"/>
      <c r="DD734" s="1472"/>
      <c r="DE734" s="1472">
        <f t="shared" si="23"/>
        <v>0</v>
      </c>
      <c r="DF734" s="1472"/>
      <c r="DG734" s="1472"/>
      <c r="DH734" s="1472"/>
      <c r="DI734" s="1472"/>
      <c r="DJ734" s="1472">
        <f t="shared" si="24"/>
        <v>0</v>
      </c>
      <c r="DK734" s="1472"/>
      <c r="DL734" s="1472"/>
      <c r="DM734" s="1472"/>
      <c r="DN734" s="1472"/>
      <c r="DO734" s="1472">
        <f t="shared" si="25"/>
        <v>0</v>
      </c>
      <c r="DP734" s="1472"/>
      <c r="DQ734" s="1472"/>
      <c r="DR734" s="1472"/>
      <c r="DS734" s="1472"/>
      <c r="DT734" s="257"/>
      <c r="DU734" s="1473">
        <f t="shared" si="26"/>
        <v>0</v>
      </c>
      <c r="DV734" s="1473"/>
      <c r="DW734" s="1473"/>
      <c r="DX734" s="1473"/>
      <c r="DY734" s="1473"/>
      <c r="DZ734" s="1473">
        <f t="shared" si="27"/>
        <v>0</v>
      </c>
      <c r="EA734" s="1473"/>
      <c r="EB734" s="1473"/>
      <c r="EC734" s="1473"/>
      <c r="ED734" s="1473"/>
      <c r="EE734" s="1473">
        <f t="shared" si="28"/>
        <v>0</v>
      </c>
      <c r="EF734" s="1473"/>
      <c r="EG734" s="1473"/>
      <c r="EH734" s="1473"/>
      <c r="EI734" s="1473"/>
      <c r="EJ734" s="1473">
        <f t="shared" si="29"/>
        <v>0</v>
      </c>
      <c r="EK734" s="1473"/>
      <c r="EL734" s="1473"/>
      <c r="EM734" s="1473"/>
      <c r="EN734" s="1473"/>
      <c r="EO734" s="1473">
        <f t="shared" si="30"/>
        <v>0</v>
      </c>
      <c r="EP734" s="1473"/>
      <c r="EQ734" s="1473"/>
      <c r="ER734" s="1473"/>
      <c r="ES734" s="1473"/>
      <c r="ET734" s="1473">
        <f t="shared" si="31"/>
        <v>0</v>
      </c>
      <c r="EU734" s="1473"/>
      <c r="EV734" s="1473"/>
      <c r="EW734" s="1473"/>
      <c r="EX734" s="1473"/>
      <c r="EY734" s="3"/>
      <c r="EZ734" s="1481" t="str">
        <f t="shared" si="32"/>
        <v/>
      </c>
      <c r="FA734" s="1482"/>
      <c r="FB734" s="1482"/>
      <c r="FC734" s="1482"/>
      <c r="FD734" s="1483"/>
      <c r="FE734" s="1481" t="str">
        <f t="shared" si="33"/>
        <v/>
      </c>
      <c r="FF734" s="1482"/>
      <c r="FG734" s="1482"/>
      <c r="FH734" s="1482"/>
      <c r="FI734" s="1483"/>
      <c r="FJ734" s="1481" t="str">
        <f t="shared" si="34"/>
        <v/>
      </c>
      <c r="FK734" s="1482"/>
      <c r="FL734" s="1482"/>
      <c r="FM734" s="1482"/>
      <c r="FN734" s="1483"/>
      <c r="FO734" s="1481" t="str">
        <f t="shared" si="35"/>
        <v/>
      </c>
      <c r="FP734" s="1482"/>
      <c r="FQ734" s="1482"/>
      <c r="FR734" s="1482"/>
      <c r="FS734" s="1483"/>
      <c r="FT734" s="1481" t="str">
        <f t="shared" si="36"/>
        <v/>
      </c>
      <c r="FU734" s="1482"/>
      <c r="FV734" s="1482"/>
      <c r="FW734" s="1482"/>
      <c r="FX734" s="1483"/>
      <c r="FY734" s="1481" t="str">
        <f t="shared" si="37"/>
        <v/>
      </c>
      <c r="FZ734" s="1482"/>
      <c r="GA734" s="1482"/>
      <c r="GB734" s="1482"/>
      <c r="GC734" s="1483"/>
    </row>
    <row r="735" spans="1:185" ht="12.95" customHeight="1">
      <c r="A735" s="3"/>
      <c r="B735" s="1335"/>
      <c r="C735" s="1336"/>
      <c r="D735" s="1336"/>
      <c r="E735" s="1336"/>
      <c r="F735" s="1337"/>
      <c r="G735" s="1329"/>
      <c r="H735" s="1330"/>
      <c r="I735" s="1330"/>
      <c r="J735" s="1331"/>
      <c r="K735" s="1332"/>
      <c r="L735" s="1333"/>
      <c r="M735" s="1333"/>
      <c r="N735" s="1334"/>
      <c r="O735" s="1363"/>
      <c r="P735" s="1364"/>
      <c r="Q735" s="1364"/>
      <c r="R735" s="1364"/>
      <c r="S735" s="1365"/>
      <c r="T735" s="1363"/>
      <c r="U735" s="1364"/>
      <c r="V735" s="1364"/>
      <c r="W735" s="1365"/>
      <c r="X735" s="1366">
        <f t="shared" si="10"/>
        <v>0</v>
      </c>
      <c r="Y735" s="1367"/>
      <c r="Z735" s="1367"/>
      <c r="AA735" s="1367"/>
      <c r="AB735" s="1368"/>
      <c r="AC735" s="1369"/>
      <c r="AD735" s="1370"/>
      <c r="AE735" s="1370"/>
      <c r="AF735" s="1370"/>
      <c r="AG735" s="1371"/>
      <c r="AH735" s="1387" t="str">
        <f t="shared" si="38"/>
        <v/>
      </c>
      <c r="AI735" s="1388"/>
      <c r="AJ735" s="1389"/>
      <c r="AK735" s="1335" t="s">
        <v>822</v>
      </c>
      <c r="AL735" s="1336"/>
      <c r="AM735" s="1336"/>
      <c r="AN735" s="1336"/>
      <c r="AO735" s="1337"/>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81">
        <f t="shared" si="39"/>
        <v>0</v>
      </c>
      <c r="CH735" s="1483"/>
      <c r="CI735" s="1481">
        <f t="shared" si="40"/>
        <v>0</v>
      </c>
      <c r="CJ735" s="1483"/>
      <c r="CK735" s="1481">
        <f t="shared" si="18"/>
        <v>0</v>
      </c>
      <c r="CL735" s="1483"/>
      <c r="CM735" s="1481">
        <f t="shared" si="19"/>
        <v>0</v>
      </c>
      <c r="CN735" s="1483"/>
      <c r="CO735" s="3"/>
      <c r="CP735" s="1474">
        <f t="shared" si="20"/>
        <v>0</v>
      </c>
      <c r="CQ735" s="1475"/>
      <c r="CR735" s="1475"/>
      <c r="CS735" s="1475"/>
      <c r="CT735" s="1476"/>
      <c r="CU735" s="1472">
        <f t="shared" si="21"/>
        <v>0</v>
      </c>
      <c r="CV735" s="1472"/>
      <c r="CW735" s="1472"/>
      <c r="CX735" s="1472"/>
      <c r="CY735" s="1472"/>
      <c r="CZ735" s="1472">
        <f t="shared" si="22"/>
        <v>0</v>
      </c>
      <c r="DA735" s="1472"/>
      <c r="DB735" s="1472"/>
      <c r="DC735" s="1472"/>
      <c r="DD735" s="1472"/>
      <c r="DE735" s="1472">
        <f t="shared" si="23"/>
        <v>0</v>
      </c>
      <c r="DF735" s="1472"/>
      <c r="DG735" s="1472"/>
      <c r="DH735" s="1472"/>
      <c r="DI735" s="1472"/>
      <c r="DJ735" s="1472">
        <f t="shared" si="24"/>
        <v>0</v>
      </c>
      <c r="DK735" s="1472"/>
      <c r="DL735" s="1472"/>
      <c r="DM735" s="1472"/>
      <c r="DN735" s="1472"/>
      <c r="DO735" s="1472">
        <f t="shared" si="25"/>
        <v>0</v>
      </c>
      <c r="DP735" s="1472"/>
      <c r="DQ735" s="1472"/>
      <c r="DR735" s="1472"/>
      <c r="DS735" s="1472"/>
      <c r="DT735" s="257"/>
      <c r="DU735" s="1473">
        <f t="shared" si="26"/>
        <v>0</v>
      </c>
      <c r="DV735" s="1473"/>
      <c r="DW735" s="1473"/>
      <c r="DX735" s="1473"/>
      <c r="DY735" s="1473"/>
      <c r="DZ735" s="1473">
        <f t="shared" si="27"/>
        <v>0</v>
      </c>
      <c r="EA735" s="1473"/>
      <c r="EB735" s="1473"/>
      <c r="EC735" s="1473"/>
      <c r="ED735" s="1473"/>
      <c r="EE735" s="1473">
        <f t="shared" si="28"/>
        <v>0</v>
      </c>
      <c r="EF735" s="1473"/>
      <c r="EG735" s="1473"/>
      <c r="EH735" s="1473"/>
      <c r="EI735" s="1473"/>
      <c r="EJ735" s="1473">
        <f t="shared" si="29"/>
        <v>0</v>
      </c>
      <c r="EK735" s="1473"/>
      <c r="EL735" s="1473"/>
      <c r="EM735" s="1473"/>
      <c r="EN735" s="1473"/>
      <c r="EO735" s="1473">
        <f t="shared" si="30"/>
        <v>0</v>
      </c>
      <c r="EP735" s="1473"/>
      <c r="EQ735" s="1473"/>
      <c r="ER735" s="1473"/>
      <c r="ES735" s="1473"/>
      <c r="ET735" s="1473">
        <f t="shared" si="31"/>
        <v>0</v>
      </c>
      <c r="EU735" s="1473"/>
      <c r="EV735" s="1473"/>
      <c r="EW735" s="1473"/>
      <c r="EX735" s="1473"/>
      <c r="EY735" s="3"/>
      <c r="EZ735" s="1481" t="str">
        <f t="shared" si="32"/>
        <v/>
      </c>
      <c r="FA735" s="1482"/>
      <c r="FB735" s="1482"/>
      <c r="FC735" s="1482"/>
      <c r="FD735" s="1483"/>
      <c r="FE735" s="1481" t="str">
        <f t="shared" si="33"/>
        <v/>
      </c>
      <c r="FF735" s="1482"/>
      <c r="FG735" s="1482"/>
      <c r="FH735" s="1482"/>
      <c r="FI735" s="1483"/>
      <c r="FJ735" s="1481" t="str">
        <f t="shared" si="34"/>
        <v/>
      </c>
      <c r="FK735" s="1482"/>
      <c r="FL735" s="1482"/>
      <c r="FM735" s="1482"/>
      <c r="FN735" s="1483"/>
      <c r="FO735" s="1481" t="str">
        <f t="shared" si="35"/>
        <v/>
      </c>
      <c r="FP735" s="1482"/>
      <c r="FQ735" s="1482"/>
      <c r="FR735" s="1482"/>
      <c r="FS735" s="1483"/>
      <c r="FT735" s="1481" t="str">
        <f t="shared" si="36"/>
        <v/>
      </c>
      <c r="FU735" s="1482"/>
      <c r="FV735" s="1482"/>
      <c r="FW735" s="1482"/>
      <c r="FX735" s="1483"/>
      <c r="FY735" s="1481" t="str">
        <f t="shared" si="37"/>
        <v/>
      </c>
      <c r="FZ735" s="1482"/>
      <c r="GA735" s="1482"/>
      <c r="GB735" s="1482"/>
      <c r="GC735" s="1483"/>
    </row>
    <row r="736" spans="1:185" ht="12.95" customHeight="1">
      <c r="A736" s="3"/>
      <c r="B736" s="1335"/>
      <c r="C736" s="1336"/>
      <c r="D736" s="1336"/>
      <c r="E736" s="1336"/>
      <c r="F736" s="1337"/>
      <c r="G736" s="1329"/>
      <c r="H736" s="1330"/>
      <c r="I736" s="1330"/>
      <c r="J736" s="1331"/>
      <c r="K736" s="1332"/>
      <c r="L736" s="1333"/>
      <c r="M736" s="1333"/>
      <c r="N736" s="1334"/>
      <c r="O736" s="1363"/>
      <c r="P736" s="1364"/>
      <c r="Q736" s="1364"/>
      <c r="R736" s="1364"/>
      <c r="S736" s="1365"/>
      <c r="T736" s="1363"/>
      <c r="U736" s="1364"/>
      <c r="V736" s="1364"/>
      <c r="W736" s="1365"/>
      <c r="X736" s="1366">
        <f t="shared" si="10"/>
        <v>0</v>
      </c>
      <c r="Y736" s="1367"/>
      <c r="Z736" s="1367"/>
      <c r="AA736" s="1367"/>
      <c r="AB736" s="1368"/>
      <c r="AC736" s="1369"/>
      <c r="AD736" s="1370"/>
      <c r="AE736" s="1370"/>
      <c r="AF736" s="1370"/>
      <c r="AG736" s="1371"/>
      <c r="AH736" s="1387" t="str">
        <f t="shared" si="38"/>
        <v/>
      </c>
      <c r="AI736" s="1388"/>
      <c r="AJ736" s="1389"/>
      <c r="AK736" s="1335" t="s">
        <v>822</v>
      </c>
      <c r="AL736" s="1336"/>
      <c r="AM736" s="1336"/>
      <c r="AN736" s="1336"/>
      <c r="AO736" s="1337"/>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81">
        <f t="shared" si="39"/>
        <v>0</v>
      </c>
      <c r="CH736" s="1483"/>
      <c r="CI736" s="1481">
        <f t="shared" si="40"/>
        <v>0</v>
      </c>
      <c r="CJ736" s="1483"/>
      <c r="CK736" s="1481">
        <f t="shared" si="18"/>
        <v>0</v>
      </c>
      <c r="CL736" s="1483"/>
      <c r="CM736" s="1481">
        <f t="shared" si="19"/>
        <v>0</v>
      </c>
      <c r="CN736" s="1483"/>
      <c r="CO736" s="3"/>
      <c r="CP736" s="1474">
        <f t="shared" si="20"/>
        <v>0</v>
      </c>
      <c r="CQ736" s="1475"/>
      <c r="CR736" s="1475"/>
      <c r="CS736" s="1475"/>
      <c r="CT736" s="1476"/>
      <c r="CU736" s="1472">
        <f t="shared" si="21"/>
        <v>0</v>
      </c>
      <c r="CV736" s="1472"/>
      <c r="CW736" s="1472"/>
      <c r="CX736" s="1472"/>
      <c r="CY736" s="1472"/>
      <c r="CZ736" s="1472">
        <f t="shared" si="22"/>
        <v>0</v>
      </c>
      <c r="DA736" s="1472"/>
      <c r="DB736" s="1472"/>
      <c r="DC736" s="1472"/>
      <c r="DD736" s="1472"/>
      <c r="DE736" s="1472">
        <f t="shared" si="23"/>
        <v>0</v>
      </c>
      <c r="DF736" s="1472"/>
      <c r="DG736" s="1472"/>
      <c r="DH736" s="1472"/>
      <c r="DI736" s="1472"/>
      <c r="DJ736" s="1472">
        <f t="shared" si="24"/>
        <v>0</v>
      </c>
      <c r="DK736" s="1472"/>
      <c r="DL736" s="1472"/>
      <c r="DM736" s="1472"/>
      <c r="DN736" s="1472"/>
      <c r="DO736" s="1472">
        <f t="shared" si="25"/>
        <v>0</v>
      </c>
      <c r="DP736" s="1472"/>
      <c r="DQ736" s="1472"/>
      <c r="DR736" s="1472"/>
      <c r="DS736" s="1472"/>
      <c r="DT736" s="257"/>
      <c r="DU736" s="1473">
        <f t="shared" si="26"/>
        <v>0</v>
      </c>
      <c r="DV736" s="1473"/>
      <c r="DW736" s="1473"/>
      <c r="DX736" s="1473"/>
      <c r="DY736" s="1473"/>
      <c r="DZ736" s="1473">
        <f t="shared" si="27"/>
        <v>0</v>
      </c>
      <c r="EA736" s="1473"/>
      <c r="EB736" s="1473"/>
      <c r="EC736" s="1473"/>
      <c r="ED736" s="1473"/>
      <c r="EE736" s="1473">
        <f t="shared" si="28"/>
        <v>0</v>
      </c>
      <c r="EF736" s="1473"/>
      <c r="EG736" s="1473"/>
      <c r="EH736" s="1473"/>
      <c r="EI736" s="1473"/>
      <c r="EJ736" s="1473">
        <f t="shared" si="29"/>
        <v>0</v>
      </c>
      <c r="EK736" s="1473"/>
      <c r="EL736" s="1473"/>
      <c r="EM736" s="1473"/>
      <c r="EN736" s="1473"/>
      <c r="EO736" s="1473">
        <f t="shared" si="30"/>
        <v>0</v>
      </c>
      <c r="EP736" s="1473"/>
      <c r="EQ736" s="1473"/>
      <c r="ER736" s="1473"/>
      <c r="ES736" s="1473"/>
      <c r="ET736" s="1473">
        <f t="shared" si="31"/>
        <v>0</v>
      </c>
      <c r="EU736" s="1473"/>
      <c r="EV736" s="1473"/>
      <c r="EW736" s="1473"/>
      <c r="EX736" s="1473"/>
      <c r="EY736" s="3"/>
      <c r="EZ736" s="1481" t="str">
        <f t="shared" si="32"/>
        <v/>
      </c>
      <c r="FA736" s="1482"/>
      <c r="FB736" s="1482"/>
      <c r="FC736" s="1482"/>
      <c r="FD736" s="1483"/>
      <c r="FE736" s="1481" t="str">
        <f t="shared" si="33"/>
        <v/>
      </c>
      <c r="FF736" s="1482"/>
      <c r="FG736" s="1482"/>
      <c r="FH736" s="1482"/>
      <c r="FI736" s="1483"/>
      <c r="FJ736" s="1481" t="str">
        <f t="shared" si="34"/>
        <v/>
      </c>
      <c r="FK736" s="1482"/>
      <c r="FL736" s="1482"/>
      <c r="FM736" s="1482"/>
      <c r="FN736" s="1483"/>
      <c r="FO736" s="1481" t="str">
        <f t="shared" si="35"/>
        <v/>
      </c>
      <c r="FP736" s="1482"/>
      <c r="FQ736" s="1482"/>
      <c r="FR736" s="1482"/>
      <c r="FS736" s="1483"/>
      <c r="FT736" s="1481" t="str">
        <f t="shared" si="36"/>
        <v/>
      </c>
      <c r="FU736" s="1482"/>
      <c r="FV736" s="1482"/>
      <c r="FW736" s="1482"/>
      <c r="FX736" s="1483"/>
      <c r="FY736" s="1481" t="str">
        <f t="shared" si="37"/>
        <v/>
      </c>
      <c r="FZ736" s="1482"/>
      <c r="GA736" s="1482"/>
      <c r="GB736" s="1482"/>
      <c r="GC736" s="1483"/>
    </row>
    <row r="737" spans="1:185" ht="12.95" customHeight="1">
      <c r="A737" s="3"/>
      <c r="B737" s="1335"/>
      <c r="C737" s="1336"/>
      <c r="D737" s="1336"/>
      <c r="E737" s="1336"/>
      <c r="F737" s="1337"/>
      <c r="G737" s="1329"/>
      <c r="H737" s="1330"/>
      <c r="I737" s="1330"/>
      <c r="J737" s="1331"/>
      <c r="K737" s="1332"/>
      <c r="L737" s="1333"/>
      <c r="M737" s="1333"/>
      <c r="N737" s="1334"/>
      <c r="O737" s="1363"/>
      <c r="P737" s="1364"/>
      <c r="Q737" s="1364"/>
      <c r="R737" s="1364"/>
      <c r="S737" s="1365"/>
      <c r="T737" s="1363"/>
      <c r="U737" s="1364"/>
      <c r="V737" s="1364"/>
      <c r="W737" s="1365"/>
      <c r="X737" s="1366">
        <f t="shared" si="10"/>
        <v>0</v>
      </c>
      <c r="Y737" s="1367"/>
      <c r="Z737" s="1367"/>
      <c r="AA737" s="1367"/>
      <c r="AB737" s="1368"/>
      <c r="AC737" s="1369"/>
      <c r="AD737" s="1370"/>
      <c r="AE737" s="1370"/>
      <c r="AF737" s="1370"/>
      <c r="AG737" s="1371"/>
      <c r="AH737" s="1387" t="str">
        <f t="shared" si="38"/>
        <v/>
      </c>
      <c r="AI737" s="1388"/>
      <c r="AJ737" s="1389"/>
      <c r="AK737" s="1335" t="s">
        <v>822</v>
      </c>
      <c r="AL737" s="1336"/>
      <c r="AM737" s="1336"/>
      <c r="AN737" s="1336"/>
      <c r="AO737" s="1337"/>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81">
        <f t="shared" si="39"/>
        <v>0</v>
      </c>
      <c r="CH737" s="1483"/>
      <c r="CI737" s="1481">
        <f t="shared" si="40"/>
        <v>0</v>
      </c>
      <c r="CJ737" s="1483"/>
      <c r="CK737" s="1481">
        <f t="shared" si="18"/>
        <v>0</v>
      </c>
      <c r="CL737" s="1483"/>
      <c r="CM737" s="1481">
        <f t="shared" si="19"/>
        <v>0</v>
      </c>
      <c r="CN737" s="1483"/>
      <c r="CO737" s="3"/>
      <c r="CP737" s="1474">
        <f t="shared" si="20"/>
        <v>0</v>
      </c>
      <c r="CQ737" s="1475"/>
      <c r="CR737" s="1475"/>
      <c r="CS737" s="1475"/>
      <c r="CT737" s="1476"/>
      <c r="CU737" s="1472">
        <f t="shared" si="21"/>
        <v>0</v>
      </c>
      <c r="CV737" s="1472"/>
      <c r="CW737" s="1472"/>
      <c r="CX737" s="1472"/>
      <c r="CY737" s="1472"/>
      <c r="CZ737" s="1472">
        <f t="shared" si="22"/>
        <v>0</v>
      </c>
      <c r="DA737" s="1472"/>
      <c r="DB737" s="1472"/>
      <c r="DC737" s="1472"/>
      <c r="DD737" s="1472"/>
      <c r="DE737" s="1472">
        <f t="shared" si="23"/>
        <v>0</v>
      </c>
      <c r="DF737" s="1472"/>
      <c r="DG737" s="1472"/>
      <c r="DH737" s="1472"/>
      <c r="DI737" s="1472"/>
      <c r="DJ737" s="1472">
        <f t="shared" si="24"/>
        <v>0</v>
      </c>
      <c r="DK737" s="1472"/>
      <c r="DL737" s="1472"/>
      <c r="DM737" s="1472"/>
      <c r="DN737" s="1472"/>
      <c r="DO737" s="1472">
        <f t="shared" si="25"/>
        <v>0</v>
      </c>
      <c r="DP737" s="1472"/>
      <c r="DQ737" s="1472"/>
      <c r="DR737" s="1472"/>
      <c r="DS737" s="1472"/>
      <c r="DT737" s="257"/>
      <c r="DU737" s="1473">
        <f t="shared" si="26"/>
        <v>0</v>
      </c>
      <c r="DV737" s="1473"/>
      <c r="DW737" s="1473"/>
      <c r="DX737" s="1473"/>
      <c r="DY737" s="1473"/>
      <c r="DZ737" s="1473">
        <f t="shared" si="27"/>
        <v>0</v>
      </c>
      <c r="EA737" s="1473"/>
      <c r="EB737" s="1473"/>
      <c r="EC737" s="1473"/>
      <c r="ED737" s="1473"/>
      <c r="EE737" s="1473">
        <f t="shared" si="28"/>
        <v>0</v>
      </c>
      <c r="EF737" s="1473"/>
      <c r="EG737" s="1473"/>
      <c r="EH737" s="1473"/>
      <c r="EI737" s="1473"/>
      <c r="EJ737" s="1473">
        <f t="shared" si="29"/>
        <v>0</v>
      </c>
      <c r="EK737" s="1473"/>
      <c r="EL737" s="1473"/>
      <c r="EM737" s="1473"/>
      <c r="EN737" s="1473"/>
      <c r="EO737" s="1473">
        <f t="shared" si="30"/>
        <v>0</v>
      </c>
      <c r="EP737" s="1473"/>
      <c r="EQ737" s="1473"/>
      <c r="ER737" s="1473"/>
      <c r="ES737" s="1473"/>
      <c r="ET737" s="1473">
        <f t="shared" si="31"/>
        <v>0</v>
      </c>
      <c r="EU737" s="1473"/>
      <c r="EV737" s="1473"/>
      <c r="EW737" s="1473"/>
      <c r="EX737" s="1473"/>
      <c r="EZ737" s="1481" t="str">
        <f t="shared" si="32"/>
        <v/>
      </c>
      <c r="FA737" s="1482"/>
      <c r="FB737" s="1482"/>
      <c r="FC737" s="1482"/>
      <c r="FD737" s="1483"/>
      <c r="FE737" s="1481" t="str">
        <f t="shared" si="33"/>
        <v/>
      </c>
      <c r="FF737" s="1482"/>
      <c r="FG737" s="1482"/>
      <c r="FH737" s="1482"/>
      <c r="FI737" s="1483"/>
      <c r="FJ737" s="1481" t="str">
        <f t="shared" si="34"/>
        <v/>
      </c>
      <c r="FK737" s="1482"/>
      <c r="FL737" s="1482"/>
      <c r="FM737" s="1482"/>
      <c r="FN737" s="1483"/>
      <c r="FO737" s="1481" t="str">
        <f t="shared" si="35"/>
        <v/>
      </c>
      <c r="FP737" s="1482"/>
      <c r="FQ737" s="1482"/>
      <c r="FR737" s="1482"/>
      <c r="FS737" s="1483"/>
      <c r="FT737" s="1481" t="str">
        <f t="shared" si="36"/>
        <v/>
      </c>
      <c r="FU737" s="1482"/>
      <c r="FV737" s="1482"/>
      <c r="FW737" s="1482"/>
      <c r="FX737" s="1483"/>
      <c r="FY737" s="1481" t="str">
        <f t="shared" si="37"/>
        <v/>
      </c>
      <c r="FZ737" s="1482"/>
      <c r="GA737" s="1482"/>
      <c r="GB737" s="1482"/>
      <c r="GC737" s="1483"/>
    </row>
    <row r="738" spans="1:185" ht="12.95" customHeight="1">
      <c r="B738" s="1335"/>
      <c r="C738" s="1336"/>
      <c r="D738" s="1336"/>
      <c r="E738" s="1336"/>
      <c r="F738" s="1337"/>
      <c r="G738" s="1329"/>
      <c r="H738" s="1330"/>
      <c r="I738" s="1330"/>
      <c r="J738" s="1331"/>
      <c r="K738" s="1332"/>
      <c r="L738" s="1333"/>
      <c r="M738" s="1333"/>
      <c r="N738" s="1334"/>
      <c r="O738" s="1363"/>
      <c r="P738" s="1364"/>
      <c r="Q738" s="1364"/>
      <c r="R738" s="1364"/>
      <c r="S738" s="1365"/>
      <c r="T738" s="1363"/>
      <c r="U738" s="1364"/>
      <c r="V738" s="1364"/>
      <c r="W738" s="1365"/>
      <c r="X738" s="1366">
        <f t="shared" si="10"/>
        <v>0</v>
      </c>
      <c r="Y738" s="1367"/>
      <c r="Z738" s="1367"/>
      <c r="AA738" s="1367"/>
      <c r="AB738" s="1368"/>
      <c r="AC738" s="1369"/>
      <c r="AD738" s="1370"/>
      <c r="AE738" s="1370"/>
      <c r="AF738" s="1370"/>
      <c r="AG738" s="1371"/>
      <c r="AH738" s="1387" t="str">
        <f t="shared" si="38"/>
        <v/>
      </c>
      <c r="AI738" s="1388"/>
      <c r="AJ738" s="1389"/>
      <c r="AK738" s="1335" t="s">
        <v>822</v>
      </c>
      <c r="AL738" s="1336"/>
      <c r="AM738" s="1336"/>
      <c r="AN738" s="1336"/>
      <c r="AO738" s="1337"/>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81">
        <f t="shared" si="39"/>
        <v>0</v>
      </c>
      <c r="CH738" s="1483"/>
      <c r="CI738" s="1481">
        <f t="shared" si="40"/>
        <v>0</v>
      </c>
      <c r="CJ738" s="1483"/>
      <c r="CK738" s="1481">
        <f t="shared" si="18"/>
        <v>0</v>
      </c>
      <c r="CL738" s="1483"/>
      <c r="CM738" s="1481">
        <f t="shared" si="19"/>
        <v>0</v>
      </c>
      <c r="CN738" s="1483"/>
      <c r="CO738" s="3"/>
      <c r="CP738" s="1474">
        <f t="shared" si="20"/>
        <v>0</v>
      </c>
      <c r="CQ738" s="1475"/>
      <c r="CR738" s="1475"/>
      <c r="CS738" s="1475"/>
      <c r="CT738" s="1476"/>
      <c r="CU738" s="1472">
        <f t="shared" si="21"/>
        <v>0</v>
      </c>
      <c r="CV738" s="1472"/>
      <c r="CW738" s="1472"/>
      <c r="CX738" s="1472"/>
      <c r="CY738" s="1472"/>
      <c r="CZ738" s="1472">
        <f t="shared" si="22"/>
        <v>0</v>
      </c>
      <c r="DA738" s="1472"/>
      <c r="DB738" s="1472"/>
      <c r="DC738" s="1472"/>
      <c r="DD738" s="1472"/>
      <c r="DE738" s="1472">
        <f t="shared" si="23"/>
        <v>0</v>
      </c>
      <c r="DF738" s="1472"/>
      <c r="DG738" s="1472"/>
      <c r="DH738" s="1472"/>
      <c r="DI738" s="1472"/>
      <c r="DJ738" s="1472">
        <f t="shared" si="24"/>
        <v>0</v>
      </c>
      <c r="DK738" s="1472"/>
      <c r="DL738" s="1472"/>
      <c r="DM738" s="1472"/>
      <c r="DN738" s="1472"/>
      <c r="DO738" s="1472">
        <f t="shared" si="25"/>
        <v>0</v>
      </c>
      <c r="DP738" s="1472"/>
      <c r="DQ738" s="1472"/>
      <c r="DR738" s="1472"/>
      <c r="DS738" s="1472"/>
      <c r="DT738" s="257"/>
      <c r="DU738" s="1473">
        <f t="shared" si="26"/>
        <v>0</v>
      </c>
      <c r="DV738" s="1473"/>
      <c r="DW738" s="1473"/>
      <c r="DX738" s="1473"/>
      <c r="DY738" s="1473"/>
      <c r="DZ738" s="1473">
        <f t="shared" si="27"/>
        <v>0</v>
      </c>
      <c r="EA738" s="1473"/>
      <c r="EB738" s="1473"/>
      <c r="EC738" s="1473"/>
      <c r="ED738" s="1473"/>
      <c r="EE738" s="1473">
        <f t="shared" si="28"/>
        <v>0</v>
      </c>
      <c r="EF738" s="1473"/>
      <c r="EG738" s="1473"/>
      <c r="EH738" s="1473"/>
      <c r="EI738" s="1473"/>
      <c r="EJ738" s="1473">
        <f t="shared" si="29"/>
        <v>0</v>
      </c>
      <c r="EK738" s="1473"/>
      <c r="EL738" s="1473"/>
      <c r="EM738" s="1473"/>
      <c r="EN738" s="1473"/>
      <c r="EO738" s="1473">
        <f t="shared" si="30"/>
        <v>0</v>
      </c>
      <c r="EP738" s="1473"/>
      <c r="EQ738" s="1473"/>
      <c r="ER738" s="1473"/>
      <c r="ES738" s="1473"/>
      <c r="ET738" s="1473">
        <f t="shared" si="31"/>
        <v>0</v>
      </c>
      <c r="EU738" s="1473"/>
      <c r="EV738" s="1473"/>
      <c r="EW738" s="1473"/>
      <c r="EX738" s="1473"/>
      <c r="EZ738" s="1481" t="str">
        <f t="shared" si="32"/>
        <v/>
      </c>
      <c r="FA738" s="1482"/>
      <c r="FB738" s="1482"/>
      <c r="FC738" s="1482"/>
      <c r="FD738" s="1483"/>
      <c r="FE738" s="1481" t="str">
        <f t="shared" si="33"/>
        <v/>
      </c>
      <c r="FF738" s="1482"/>
      <c r="FG738" s="1482"/>
      <c r="FH738" s="1482"/>
      <c r="FI738" s="1483"/>
      <c r="FJ738" s="1481" t="str">
        <f t="shared" si="34"/>
        <v/>
      </c>
      <c r="FK738" s="1482"/>
      <c r="FL738" s="1482"/>
      <c r="FM738" s="1482"/>
      <c r="FN738" s="1483"/>
      <c r="FO738" s="1481" t="str">
        <f t="shared" si="35"/>
        <v/>
      </c>
      <c r="FP738" s="1482"/>
      <c r="FQ738" s="1482"/>
      <c r="FR738" s="1482"/>
      <c r="FS738" s="1483"/>
      <c r="FT738" s="1481" t="str">
        <f t="shared" si="36"/>
        <v/>
      </c>
      <c r="FU738" s="1482"/>
      <c r="FV738" s="1482"/>
      <c r="FW738" s="1482"/>
      <c r="FX738" s="1483"/>
      <c r="FY738" s="1481" t="str">
        <f t="shared" si="37"/>
        <v/>
      </c>
      <c r="FZ738" s="1482"/>
      <c r="GA738" s="1482"/>
      <c r="GB738" s="1482"/>
      <c r="GC738" s="1483"/>
    </row>
    <row r="739" spans="1:185" ht="12.95" customHeight="1">
      <c r="B739" s="1335"/>
      <c r="C739" s="1336"/>
      <c r="D739" s="1336"/>
      <c r="E739" s="1336"/>
      <c r="F739" s="1337"/>
      <c r="G739" s="1329"/>
      <c r="H739" s="1330"/>
      <c r="I739" s="1330"/>
      <c r="J739" s="1331"/>
      <c r="K739" s="1332"/>
      <c r="L739" s="1333"/>
      <c r="M739" s="1333"/>
      <c r="N739" s="1334"/>
      <c r="O739" s="1363"/>
      <c r="P739" s="1364"/>
      <c r="Q739" s="1364"/>
      <c r="R739" s="1364"/>
      <c r="S739" s="1365"/>
      <c r="T739" s="1363"/>
      <c r="U739" s="1364"/>
      <c r="V739" s="1364"/>
      <c r="W739" s="1365"/>
      <c r="X739" s="1366">
        <f t="shared" si="10"/>
        <v>0</v>
      </c>
      <c r="Y739" s="1367"/>
      <c r="Z739" s="1367"/>
      <c r="AA739" s="1367"/>
      <c r="AB739" s="1368"/>
      <c r="AC739" s="1369"/>
      <c r="AD739" s="1370"/>
      <c r="AE739" s="1370"/>
      <c r="AF739" s="1370"/>
      <c r="AG739" s="1371"/>
      <c r="AH739" s="1387" t="str">
        <f t="shared" si="38"/>
        <v/>
      </c>
      <c r="AI739" s="1388"/>
      <c r="AJ739" s="1389"/>
      <c r="AK739" s="1335" t="s">
        <v>822</v>
      </c>
      <c r="AL739" s="1336"/>
      <c r="AM739" s="1336"/>
      <c r="AN739" s="1336"/>
      <c r="AO739" s="1337"/>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81">
        <f t="shared" si="39"/>
        <v>0</v>
      </c>
      <c r="CH739" s="1483"/>
      <c r="CI739" s="1481">
        <f t="shared" si="40"/>
        <v>0</v>
      </c>
      <c r="CJ739" s="1483"/>
      <c r="CK739" s="1481">
        <f t="shared" si="18"/>
        <v>0</v>
      </c>
      <c r="CL739" s="1483"/>
      <c r="CM739" s="1481">
        <f t="shared" si="19"/>
        <v>0</v>
      </c>
      <c r="CN739" s="1483"/>
      <c r="CO739" s="3"/>
      <c r="CP739" s="1474">
        <f t="shared" si="20"/>
        <v>0</v>
      </c>
      <c r="CQ739" s="1475"/>
      <c r="CR739" s="1475"/>
      <c r="CS739" s="1475"/>
      <c r="CT739" s="1476"/>
      <c r="CU739" s="1472">
        <f t="shared" si="21"/>
        <v>0</v>
      </c>
      <c r="CV739" s="1472"/>
      <c r="CW739" s="1472"/>
      <c r="CX739" s="1472"/>
      <c r="CY739" s="1472"/>
      <c r="CZ739" s="1472">
        <f t="shared" si="22"/>
        <v>0</v>
      </c>
      <c r="DA739" s="1472"/>
      <c r="DB739" s="1472"/>
      <c r="DC739" s="1472"/>
      <c r="DD739" s="1472"/>
      <c r="DE739" s="1472">
        <f t="shared" si="23"/>
        <v>0</v>
      </c>
      <c r="DF739" s="1472"/>
      <c r="DG739" s="1472"/>
      <c r="DH739" s="1472"/>
      <c r="DI739" s="1472"/>
      <c r="DJ739" s="1472">
        <f t="shared" si="24"/>
        <v>0</v>
      </c>
      <c r="DK739" s="1472"/>
      <c r="DL739" s="1472"/>
      <c r="DM739" s="1472"/>
      <c r="DN739" s="1472"/>
      <c r="DO739" s="1472">
        <f t="shared" si="25"/>
        <v>0</v>
      </c>
      <c r="DP739" s="1472"/>
      <c r="DQ739" s="1472"/>
      <c r="DR739" s="1472"/>
      <c r="DS739" s="1472"/>
      <c r="DT739" s="257"/>
      <c r="DU739" s="1473">
        <f t="shared" si="26"/>
        <v>0</v>
      </c>
      <c r="DV739" s="1473"/>
      <c r="DW739" s="1473"/>
      <c r="DX739" s="1473"/>
      <c r="DY739" s="1473"/>
      <c r="DZ739" s="1473">
        <f t="shared" si="27"/>
        <v>0</v>
      </c>
      <c r="EA739" s="1473"/>
      <c r="EB739" s="1473"/>
      <c r="EC739" s="1473"/>
      <c r="ED739" s="1473"/>
      <c r="EE739" s="1473">
        <f t="shared" si="28"/>
        <v>0</v>
      </c>
      <c r="EF739" s="1473"/>
      <c r="EG739" s="1473"/>
      <c r="EH739" s="1473"/>
      <c r="EI739" s="1473"/>
      <c r="EJ739" s="1473">
        <f t="shared" si="29"/>
        <v>0</v>
      </c>
      <c r="EK739" s="1473"/>
      <c r="EL739" s="1473"/>
      <c r="EM739" s="1473"/>
      <c r="EN739" s="1473"/>
      <c r="EO739" s="1473">
        <f t="shared" si="30"/>
        <v>0</v>
      </c>
      <c r="EP739" s="1473"/>
      <c r="EQ739" s="1473"/>
      <c r="ER739" s="1473"/>
      <c r="ES739" s="1473"/>
      <c r="ET739" s="1473">
        <f t="shared" si="31"/>
        <v>0</v>
      </c>
      <c r="EU739" s="1473"/>
      <c r="EV739" s="1473"/>
      <c r="EW739" s="1473"/>
      <c r="EX739" s="1473"/>
      <c r="EZ739" s="1481" t="str">
        <f t="shared" si="32"/>
        <v/>
      </c>
      <c r="FA739" s="1482"/>
      <c r="FB739" s="1482"/>
      <c r="FC739" s="1482"/>
      <c r="FD739" s="1483"/>
      <c r="FE739" s="1481" t="str">
        <f t="shared" si="33"/>
        <v/>
      </c>
      <c r="FF739" s="1482"/>
      <c r="FG739" s="1482"/>
      <c r="FH739" s="1482"/>
      <c r="FI739" s="1483"/>
      <c r="FJ739" s="1481" t="str">
        <f t="shared" si="34"/>
        <v/>
      </c>
      <c r="FK739" s="1482"/>
      <c r="FL739" s="1482"/>
      <c r="FM739" s="1482"/>
      <c r="FN739" s="1483"/>
      <c r="FO739" s="1481" t="str">
        <f t="shared" si="35"/>
        <v/>
      </c>
      <c r="FP739" s="1482"/>
      <c r="FQ739" s="1482"/>
      <c r="FR739" s="1482"/>
      <c r="FS739" s="1483"/>
      <c r="FT739" s="1481" t="str">
        <f t="shared" si="36"/>
        <v/>
      </c>
      <c r="FU739" s="1482"/>
      <c r="FV739" s="1482"/>
      <c r="FW739" s="1482"/>
      <c r="FX739" s="1483"/>
      <c r="FY739" s="1481" t="str">
        <f t="shared" si="37"/>
        <v/>
      </c>
      <c r="FZ739" s="1482"/>
      <c r="GA739" s="1482"/>
      <c r="GB739" s="1482"/>
      <c r="GC739" s="1483"/>
    </row>
    <row r="740" spans="1:185" ht="12.95" customHeight="1">
      <c r="B740" s="1335"/>
      <c r="C740" s="1336"/>
      <c r="D740" s="1336"/>
      <c r="E740" s="1336"/>
      <c r="F740" s="1337"/>
      <c r="G740" s="1329"/>
      <c r="H740" s="1330"/>
      <c r="I740" s="1330"/>
      <c r="J740" s="1331"/>
      <c r="K740" s="1332"/>
      <c r="L740" s="1333"/>
      <c r="M740" s="1333"/>
      <c r="N740" s="1334"/>
      <c r="O740" s="1363"/>
      <c r="P740" s="1364"/>
      <c r="Q740" s="1364"/>
      <c r="R740" s="1364"/>
      <c r="S740" s="1365"/>
      <c r="T740" s="1363"/>
      <c r="U740" s="1364"/>
      <c r="V740" s="1364"/>
      <c r="W740" s="1365"/>
      <c r="X740" s="1366">
        <f t="shared" si="10"/>
        <v>0</v>
      </c>
      <c r="Y740" s="1367"/>
      <c r="Z740" s="1367"/>
      <c r="AA740" s="1367"/>
      <c r="AB740" s="1368"/>
      <c r="AC740" s="1369"/>
      <c r="AD740" s="1370"/>
      <c r="AE740" s="1370"/>
      <c r="AF740" s="1370"/>
      <c r="AG740" s="1371"/>
      <c r="AH740" s="1387" t="str">
        <f t="shared" si="38"/>
        <v/>
      </c>
      <c r="AI740" s="1388"/>
      <c r="AJ740" s="1389"/>
      <c r="AK740" s="1335" t="s">
        <v>822</v>
      </c>
      <c r="AL740" s="1336"/>
      <c r="AM740" s="1336"/>
      <c r="AN740" s="1336"/>
      <c r="AO740" s="1337"/>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81">
        <f t="shared" si="39"/>
        <v>0</v>
      </c>
      <c r="CH740" s="1483"/>
      <c r="CI740" s="1481">
        <f t="shared" si="40"/>
        <v>0</v>
      </c>
      <c r="CJ740" s="1483"/>
      <c r="CK740" s="1481">
        <f t="shared" si="18"/>
        <v>0</v>
      </c>
      <c r="CL740" s="1483"/>
      <c r="CM740" s="1481">
        <f t="shared" si="19"/>
        <v>0</v>
      </c>
      <c r="CN740" s="1483"/>
      <c r="CO740" s="3"/>
      <c r="CP740" s="1474">
        <f t="shared" si="20"/>
        <v>0</v>
      </c>
      <c r="CQ740" s="1475"/>
      <c r="CR740" s="1475"/>
      <c r="CS740" s="1475"/>
      <c r="CT740" s="1476"/>
      <c r="CU740" s="1472">
        <f t="shared" si="21"/>
        <v>0</v>
      </c>
      <c r="CV740" s="1472"/>
      <c r="CW740" s="1472"/>
      <c r="CX740" s="1472"/>
      <c r="CY740" s="1472"/>
      <c r="CZ740" s="1472">
        <f t="shared" si="22"/>
        <v>0</v>
      </c>
      <c r="DA740" s="1472"/>
      <c r="DB740" s="1472"/>
      <c r="DC740" s="1472"/>
      <c r="DD740" s="1472"/>
      <c r="DE740" s="1472">
        <f t="shared" si="23"/>
        <v>0</v>
      </c>
      <c r="DF740" s="1472"/>
      <c r="DG740" s="1472"/>
      <c r="DH740" s="1472"/>
      <c r="DI740" s="1472"/>
      <c r="DJ740" s="1472">
        <f t="shared" si="24"/>
        <v>0</v>
      </c>
      <c r="DK740" s="1472"/>
      <c r="DL740" s="1472"/>
      <c r="DM740" s="1472"/>
      <c r="DN740" s="1472"/>
      <c r="DO740" s="1472">
        <f t="shared" si="25"/>
        <v>0</v>
      </c>
      <c r="DP740" s="1472"/>
      <c r="DQ740" s="1472"/>
      <c r="DR740" s="1472"/>
      <c r="DS740" s="1472"/>
      <c r="DT740" s="257"/>
      <c r="DU740" s="1473">
        <f t="shared" si="26"/>
        <v>0</v>
      </c>
      <c r="DV740" s="1473"/>
      <c r="DW740" s="1473"/>
      <c r="DX740" s="1473"/>
      <c r="DY740" s="1473"/>
      <c r="DZ740" s="1473">
        <f t="shared" si="27"/>
        <v>0</v>
      </c>
      <c r="EA740" s="1473"/>
      <c r="EB740" s="1473"/>
      <c r="EC740" s="1473"/>
      <c r="ED740" s="1473"/>
      <c r="EE740" s="1473">
        <f t="shared" si="28"/>
        <v>0</v>
      </c>
      <c r="EF740" s="1473"/>
      <c r="EG740" s="1473"/>
      <c r="EH740" s="1473"/>
      <c r="EI740" s="1473"/>
      <c r="EJ740" s="1473">
        <f t="shared" si="29"/>
        <v>0</v>
      </c>
      <c r="EK740" s="1473"/>
      <c r="EL740" s="1473"/>
      <c r="EM740" s="1473"/>
      <c r="EN740" s="1473"/>
      <c r="EO740" s="1473">
        <f t="shared" si="30"/>
        <v>0</v>
      </c>
      <c r="EP740" s="1473"/>
      <c r="EQ740" s="1473"/>
      <c r="ER740" s="1473"/>
      <c r="ES740" s="1473"/>
      <c r="ET740" s="1473">
        <f t="shared" si="31"/>
        <v>0</v>
      </c>
      <c r="EU740" s="1473"/>
      <c r="EV740" s="1473"/>
      <c r="EW740" s="1473"/>
      <c r="EX740" s="1473"/>
      <c r="EZ740" s="1481" t="str">
        <f t="shared" si="32"/>
        <v/>
      </c>
      <c r="FA740" s="1482"/>
      <c r="FB740" s="1482"/>
      <c r="FC740" s="1482"/>
      <c r="FD740" s="1483"/>
      <c r="FE740" s="1481" t="str">
        <f t="shared" si="33"/>
        <v/>
      </c>
      <c r="FF740" s="1482"/>
      <c r="FG740" s="1482"/>
      <c r="FH740" s="1482"/>
      <c r="FI740" s="1483"/>
      <c r="FJ740" s="1481" t="str">
        <f t="shared" si="34"/>
        <v/>
      </c>
      <c r="FK740" s="1482"/>
      <c r="FL740" s="1482"/>
      <c r="FM740" s="1482"/>
      <c r="FN740" s="1483"/>
      <c r="FO740" s="1481" t="str">
        <f t="shared" si="35"/>
        <v/>
      </c>
      <c r="FP740" s="1482"/>
      <c r="FQ740" s="1482"/>
      <c r="FR740" s="1482"/>
      <c r="FS740" s="1483"/>
      <c r="FT740" s="1481" t="str">
        <f t="shared" si="36"/>
        <v/>
      </c>
      <c r="FU740" s="1482"/>
      <c r="FV740" s="1482"/>
      <c r="FW740" s="1482"/>
      <c r="FX740" s="1483"/>
      <c r="FY740" s="1481" t="str">
        <f t="shared" si="37"/>
        <v/>
      </c>
      <c r="FZ740" s="1482"/>
      <c r="GA740" s="1482"/>
      <c r="GB740" s="1482"/>
      <c r="GC740" s="1483"/>
    </row>
    <row r="741" spans="1:185" ht="12.95" customHeight="1">
      <c r="B741" s="1335"/>
      <c r="C741" s="1336"/>
      <c r="D741" s="1336"/>
      <c r="E741" s="1336"/>
      <c r="F741" s="1337"/>
      <c r="G741" s="1329"/>
      <c r="H741" s="1330"/>
      <c r="I741" s="1330"/>
      <c r="J741" s="1331"/>
      <c r="K741" s="1332"/>
      <c r="L741" s="1333"/>
      <c r="M741" s="1333"/>
      <c r="N741" s="1334"/>
      <c r="O741" s="1363"/>
      <c r="P741" s="1364"/>
      <c r="Q741" s="1364"/>
      <c r="R741" s="1364"/>
      <c r="S741" s="1365"/>
      <c r="T741" s="1363"/>
      <c r="U741" s="1364"/>
      <c r="V741" s="1364"/>
      <c r="W741" s="1365"/>
      <c r="X741" s="1366">
        <f t="shared" si="10"/>
        <v>0</v>
      </c>
      <c r="Y741" s="1367"/>
      <c r="Z741" s="1367"/>
      <c r="AA741" s="1367"/>
      <c r="AB741" s="1368"/>
      <c r="AC741" s="1369"/>
      <c r="AD741" s="1370"/>
      <c r="AE741" s="1370"/>
      <c r="AF741" s="1370"/>
      <c r="AG741" s="1371"/>
      <c r="AH741" s="1387" t="str">
        <f t="shared" si="38"/>
        <v/>
      </c>
      <c r="AI741" s="1388"/>
      <c r="AJ741" s="1389"/>
      <c r="AK741" s="1335" t="s">
        <v>822</v>
      </c>
      <c r="AL741" s="1336"/>
      <c r="AM741" s="1336"/>
      <c r="AN741" s="1336"/>
      <c r="AO741" s="1337"/>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81">
        <f t="shared" si="39"/>
        <v>0</v>
      </c>
      <c r="CH741" s="1483"/>
      <c r="CI741" s="1481">
        <f t="shared" si="40"/>
        <v>0</v>
      </c>
      <c r="CJ741" s="1483"/>
      <c r="CK741" s="1481">
        <f t="shared" si="18"/>
        <v>0</v>
      </c>
      <c r="CL741" s="1483"/>
      <c r="CM741" s="1481">
        <f t="shared" si="19"/>
        <v>0</v>
      </c>
      <c r="CN741" s="1483"/>
      <c r="CO741" s="3"/>
      <c r="CP741" s="1474">
        <f t="shared" si="20"/>
        <v>0</v>
      </c>
      <c r="CQ741" s="1475"/>
      <c r="CR741" s="1475"/>
      <c r="CS741" s="1475"/>
      <c r="CT741" s="1476"/>
      <c r="CU741" s="1472">
        <f t="shared" si="21"/>
        <v>0</v>
      </c>
      <c r="CV741" s="1472"/>
      <c r="CW741" s="1472"/>
      <c r="CX741" s="1472"/>
      <c r="CY741" s="1472"/>
      <c r="CZ741" s="1472">
        <f t="shared" si="22"/>
        <v>0</v>
      </c>
      <c r="DA741" s="1472"/>
      <c r="DB741" s="1472"/>
      <c r="DC741" s="1472"/>
      <c r="DD741" s="1472"/>
      <c r="DE741" s="1472">
        <f t="shared" si="23"/>
        <v>0</v>
      </c>
      <c r="DF741" s="1472"/>
      <c r="DG741" s="1472"/>
      <c r="DH741" s="1472"/>
      <c r="DI741" s="1472"/>
      <c r="DJ741" s="1472">
        <f t="shared" si="24"/>
        <v>0</v>
      </c>
      <c r="DK741" s="1472"/>
      <c r="DL741" s="1472"/>
      <c r="DM741" s="1472"/>
      <c r="DN741" s="1472"/>
      <c r="DO741" s="1472">
        <f t="shared" si="25"/>
        <v>0</v>
      </c>
      <c r="DP741" s="1472"/>
      <c r="DQ741" s="1472"/>
      <c r="DR741" s="1472"/>
      <c r="DS741" s="1472"/>
      <c r="DT741" s="257"/>
      <c r="DU741" s="1473">
        <f t="shared" si="26"/>
        <v>0</v>
      </c>
      <c r="DV741" s="1473"/>
      <c r="DW741" s="1473"/>
      <c r="DX741" s="1473"/>
      <c r="DY741" s="1473"/>
      <c r="DZ741" s="1473">
        <f t="shared" si="27"/>
        <v>0</v>
      </c>
      <c r="EA741" s="1473"/>
      <c r="EB741" s="1473"/>
      <c r="EC741" s="1473"/>
      <c r="ED741" s="1473"/>
      <c r="EE741" s="1473">
        <f t="shared" si="28"/>
        <v>0</v>
      </c>
      <c r="EF741" s="1473"/>
      <c r="EG741" s="1473"/>
      <c r="EH741" s="1473"/>
      <c r="EI741" s="1473"/>
      <c r="EJ741" s="1473">
        <f t="shared" si="29"/>
        <v>0</v>
      </c>
      <c r="EK741" s="1473"/>
      <c r="EL741" s="1473"/>
      <c r="EM741" s="1473"/>
      <c r="EN741" s="1473"/>
      <c r="EO741" s="1473">
        <f t="shared" si="30"/>
        <v>0</v>
      </c>
      <c r="EP741" s="1473"/>
      <c r="EQ741" s="1473"/>
      <c r="ER741" s="1473"/>
      <c r="ES741" s="1473"/>
      <c r="ET741" s="1473">
        <f t="shared" si="31"/>
        <v>0</v>
      </c>
      <c r="EU741" s="1473"/>
      <c r="EV741" s="1473"/>
      <c r="EW741" s="1473"/>
      <c r="EX741" s="1473"/>
      <c r="EZ741" s="1481" t="str">
        <f t="shared" si="32"/>
        <v/>
      </c>
      <c r="FA741" s="1482"/>
      <c r="FB741" s="1482"/>
      <c r="FC741" s="1482"/>
      <c r="FD741" s="1483"/>
      <c r="FE741" s="1481" t="str">
        <f t="shared" si="33"/>
        <v/>
      </c>
      <c r="FF741" s="1482"/>
      <c r="FG741" s="1482"/>
      <c r="FH741" s="1482"/>
      <c r="FI741" s="1483"/>
      <c r="FJ741" s="1481" t="str">
        <f t="shared" si="34"/>
        <v/>
      </c>
      <c r="FK741" s="1482"/>
      <c r="FL741" s="1482"/>
      <c r="FM741" s="1482"/>
      <c r="FN741" s="1483"/>
      <c r="FO741" s="1481" t="str">
        <f t="shared" si="35"/>
        <v/>
      </c>
      <c r="FP741" s="1482"/>
      <c r="FQ741" s="1482"/>
      <c r="FR741" s="1482"/>
      <c r="FS741" s="1483"/>
      <c r="FT741" s="1481" t="str">
        <f t="shared" si="36"/>
        <v/>
      </c>
      <c r="FU741" s="1482"/>
      <c r="FV741" s="1482"/>
      <c r="FW741" s="1482"/>
      <c r="FX741" s="1483"/>
      <c r="FY741" s="1481" t="str">
        <f t="shared" si="37"/>
        <v/>
      </c>
      <c r="FZ741" s="1482"/>
      <c r="GA741" s="1482"/>
      <c r="GB741" s="1482"/>
      <c r="GC741" s="1483"/>
    </row>
    <row r="742" spans="1:185" ht="12.95" customHeight="1">
      <c r="B742" s="1335"/>
      <c r="C742" s="1336"/>
      <c r="D742" s="1336"/>
      <c r="E742" s="1336"/>
      <c r="F742" s="1337"/>
      <c r="G742" s="1329"/>
      <c r="H742" s="1330"/>
      <c r="I742" s="1330"/>
      <c r="J742" s="1331"/>
      <c r="K742" s="1332"/>
      <c r="L742" s="1333"/>
      <c r="M742" s="1333"/>
      <c r="N742" s="1334"/>
      <c r="O742" s="1363"/>
      <c r="P742" s="1364"/>
      <c r="Q742" s="1364"/>
      <c r="R742" s="1364"/>
      <c r="S742" s="1365"/>
      <c r="T742" s="1363"/>
      <c r="U742" s="1364"/>
      <c r="V742" s="1364"/>
      <c r="W742" s="1365"/>
      <c r="X742" s="1366">
        <f t="shared" si="10"/>
        <v>0</v>
      </c>
      <c r="Y742" s="1367"/>
      <c r="Z742" s="1367"/>
      <c r="AA742" s="1367"/>
      <c r="AB742" s="1368"/>
      <c r="AC742" s="1369"/>
      <c r="AD742" s="1370"/>
      <c r="AE742" s="1370"/>
      <c r="AF742" s="1370"/>
      <c r="AG742" s="1371"/>
      <c r="AH742" s="1387" t="str">
        <f t="shared" si="38"/>
        <v/>
      </c>
      <c r="AI742" s="1388"/>
      <c r="AJ742" s="1389"/>
      <c r="AK742" s="1335" t="s">
        <v>822</v>
      </c>
      <c r="AL742" s="1336"/>
      <c r="AM742" s="1336"/>
      <c r="AN742" s="1336"/>
      <c r="AO742" s="1337"/>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81">
        <f t="shared" si="39"/>
        <v>0</v>
      </c>
      <c r="CH742" s="1483"/>
      <c r="CI742" s="1481">
        <f t="shared" si="40"/>
        <v>0</v>
      </c>
      <c r="CJ742" s="1483"/>
      <c r="CK742" s="1481">
        <f t="shared" si="18"/>
        <v>0</v>
      </c>
      <c r="CL742" s="1483"/>
      <c r="CM742" s="1481">
        <f t="shared" si="19"/>
        <v>0</v>
      </c>
      <c r="CN742" s="1483"/>
      <c r="CO742" s="3"/>
      <c r="CP742" s="1474">
        <f t="shared" si="20"/>
        <v>0</v>
      </c>
      <c r="CQ742" s="1475"/>
      <c r="CR742" s="1475"/>
      <c r="CS742" s="1475"/>
      <c r="CT742" s="1476"/>
      <c r="CU742" s="1472">
        <f t="shared" si="21"/>
        <v>0</v>
      </c>
      <c r="CV742" s="1472"/>
      <c r="CW742" s="1472"/>
      <c r="CX742" s="1472"/>
      <c r="CY742" s="1472"/>
      <c r="CZ742" s="1472">
        <f t="shared" si="22"/>
        <v>0</v>
      </c>
      <c r="DA742" s="1472"/>
      <c r="DB742" s="1472"/>
      <c r="DC742" s="1472"/>
      <c r="DD742" s="1472"/>
      <c r="DE742" s="1472">
        <f t="shared" si="23"/>
        <v>0</v>
      </c>
      <c r="DF742" s="1472"/>
      <c r="DG742" s="1472"/>
      <c r="DH742" s="1472"/>
      <c r="DI742" s="1472"/>
      <c r="DJ742" s="1472">
        <f t="shared" si="24"/>
        <v>0</v>
      </c>
      <c r="DK742" s="1472"/>
      <c r="DL742" s="1472"/>
      <c r="DM742" s="1472"/>
      <c r="DN742" s="1472"/>
      <c r="DO742" s="1472">
        <f t="shared" si="25"/>
        <v>0</v>
      </c>
      <c r="DP742" s="1472"/>
      <c r="DQ742" s="1472"/>
      <c r="DR742" s="1472"/>
      <c r="DS742" s="1472"/>
      <c r="DT742" s="257"/>
      <c r="DU742" s="1473">
        <f t="shared" si="26"/>
        <v>0</v>
      </c>
      <c r="DV742" s="1473"/>
      <c r="DW742" s="1473"/>
      <c r="DX742" s="1473"/>
      <c r="DY742" s="1473"/>
      <c r="DZ742" s="1473">
        <f t="shared" si="27"/>
        <v>0</v>
      </c>
      <c r="EA742" s="1473"/>
      <c r="EB742" s="1473"/>
      <c r="EC742" s="1473"/>
      <c r="ED742" s="1473"/>
      <c r="EE742" s="1473">
        <f t="shared" si="28"/>
        <v>0</v>
      </c>
      <c r="EF742" s="1473"/>
      <c r="EG742" s="1473"/>
      <c r="EH742" s="1473"/>
      <c r="EI742" s="1473"/>
      <c r="EJ742" s="1473">
        <f t="shared" si="29"/>
        <v>0</v>
      </c>
      <c r="EK742" s="1473"/>
      <c r="EL742" s="1473"/>
      <c r="EM742" s="1473"/>
      <c r="EN742" s="1473"/>
      <c r="EO742" s="1473">
        <f t="shared" si="30"/>
        <v>0</v>
      </c>
      <c r="EP742" s="1473"/>
      <c r="EQ742" s="1473"/>
      <c r="ER742" s="1473"/>
      <c r="ES742" s="1473"/>
      <c r="ET742" s="1473">
        <f t="shared" si="31"/>
        <v>0</v>
      </c>
      <c r="EU742" s="1473"/>
      <c r="EV742" s="1473"/>
      <c r="EW742" s="1473"/>
      <c r="EX742" s="1473"/>
      <c r="EZ742" s="1481" t="str">
        <f t="shared" si="32"/>
        <v/>
      </c>
      <c r="FA742" s="1482"/>
      <c r="FB742" s="1482"/>
      <c r="FC742" s="1482"/>
      <c r="FD742" s="1483"/>
      <c r="FE742" s="1481" t="str">
        <f t="shared" si="33"/>
        <v/>
      </c>
      <c r="FF742" s="1482"/>
      <c r="FG742" s="1482"/>
      <c r="FH742" s="1482"/>
      <c r="FI742" s="1483"/>
      <c r="FJ742" s="1481" t="str">
        <f t="shared" si="34"/>
        <v/>
      </c>
      <c r="FK742" s="1482"/>
      <c r="FL742" s="1482"/>
      <c r="FM742" s="1482"/>
      <c r="FN742" s="1483"/>
      <c r="FO742" s="1481" t="str">
        <f t="shared" si="35"/>
        <v/>
      </c>
      <c r="FP742" s="1482"/>
      <c r="FQ742" s="1482"/>
      <c r="FR742" s="1482"/>
      <c r="FS742" s="1483"/>
      <c r="FT742" s="1481" t="str">
        <f t="shared" si="36"/>
        <v/>
      </c>
      <c r="FU742" s="1482"/>
      <c r="FV742" s="1482"/>
      <c r="FW742" s="1482"/>
      <c r="FX742" s="1483"/>
      <c r="FY742" s="1481" t="str">
        <f t="shared" si="37"/>
        <v/>
      </c>
      <c r="FZ742" s="1482"/>
      <c r="GA742" s="1482"/>
      <c r="GB742" s="1482"/>
      <c r="GC742" s="1483"/>
    </row>
    <row r="743" spans="1:185" ht="12.95" customHeight="1">
      <c r="B743" s="1335"/>
      <c r="C743" s="1336"/>
      <c r="D743" s="1336"/>
      <c r="E743" s="1336"/>
      <c r="F743" s="1337"/>
      <c r="G743" s="1329"/>
      <c r="H743" s="1330"/>
      <c r="I743" s="1330"/>
      <c r="J743" s="1331"/>
      <c r="K743" s="1332"/>
      <c r="L743" s="1333"/>
      <c r="M743" s="1333"/>
      <c r="N743" s="1334"/>
      <c r="O743" s="1363"/>
      <c r="P743" s="1364"/>
      <c r="Q743" s="1364"/>
      <c r="R743" s="1364"/>
      <c r="S743" s="1365"/>
      <c r="T743" s="1363"/>
      <c r="U743" s="1364"/>
      <c r="V743" s="1364"/>
      <c r="W743" s="1365"/>
      <c r="X743" s="1366">
        <f t="shared" si="10"/>
        <v>0</v>
      </c>
      <c r="Y743" s="1367"/>
      <c r="Z743" s="1367"/>
      <c r="AA743" s="1367"/>
      <c r="AB743" s="1368"/>
      <c r="AC743" s="1369"/>
      <c r="AD743" s="1370"/>
      <c r="AE743" s="1370"/>
      <c r="AF743" s="1370"/>
      <c r="AG743" s="1371"/>
      <c r="AH743" s="1387" t="str">
        <f t="shared" si="38"/>
        <v/>
      </c>
      <c r="AI743" s="1388"/>
      <c r="AJ743" s="1389"/>
      <c r="AK743" s="1335" t="s">
        <v>822</v>
      </c>
      <c r="AL743" s="1336"/>
      <c r="AM743" s="1336"/>
      <c r="AN743" s="1336"/>
      <c r="AO743" s="1337"/>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81">
        <f t="shared" si="39"/>
        <v>0</v>
      </c>
      <c r="CH743" s="1483"/>
      <c r="CI743" s="1481">
        <f t="shared" si="40"/>
        <v>0</v>
      </c>
      <c r="CJ743" s="1483"/>
      <c r="CK743" s="1481">
        <f t="shared" si="18"/>
        <v>0</v>
      </c>
      <c r="CL743" s="1483"/>
      <c r="CM743" s="1481">
        <f t="shared" si="19"/>
        <v>0</v>
      </c>
      <c r="CN743" s="1483"/>
      <c r="CO743" s="3"/>
      <c r="CP743" s="1474">
        <f t="shared" si="20"/>
        <v>0</v>
      </c>
      <c r="CQ743" s="1475"/>
      <c r="CR743" s="1475"/>
      <c r="CS743" s="1475"/>
      <c r="CT743" s="1476"/>
      <c r="CU743" s="1472">
        <f t="shared" si="21"/>
        <v>0</v>
      </c>
      <c r="CV743" s="1472"/>
      <c r="CW743" s="1472"/>
      <c r="CX743" s="1472"/>
      <c r="CY743" s="1472"/>
      <c r="CZ743" s="1472">
        <f t="shared" si="22"/>
        <v>0</v>
      </c>
      <c r="DA743" s="1472"/>
      <c r="DB743" s="1472"/>
      <c r="DC743" s="1472"/>
      <c r="DD743" s="1472"/>
      <c r="DE743" s="1472">
        <f t="shared" si="23"/>
        <v>0</v>
      </c>
      <c r="DF743" s="1472"/>
      <c r="DG743" s="1472"/>
      <c r="DH743" s="1472"/>
      <c r="DI743" s="1472"/>
      <c r="DJ743" s="1472">
        <f t="shared" si="24"/>
        <v>0</v>
      </c>
      <c r="DK743" s="1472"/>
      <c r="DL743" s="1472"/>
      <c r="DM743" s="1472"/>
      <c r="DN743" s="1472"/>
      <c r="DO743" s="1472">
        <f t="shared" si="25"/>
        <v>0</v>
      </c>
      <c r="DP743" s="1472"/>
      <c r="DQ743" s="1472"/>
      <c r="DR743" s="1472"/>
      <c r="DS743" s="1472"/>
      <c r="DT743" s="257"/>
      <c r="DU743" s="1473">
        <f t="shared" si="26"/>
        <v>0</v>
      </c>
      <c r="DV743" s="1473"/>
      <c r="DW743" s="1473"/>
      <c r="DX743" s="1473"/>
      <c r="DY743" s="1473"/>
      <c r="DZ743" s="1473">
        <f t="shared" si="27"/>
        <v>0</v>
      </c>
      <c r="EA743" s="1473"/>
      <c r="EB743" s="1473"/>
      <c r="EC743" s="1473"/>
      <c r="ED743" s="1473"/>
      <c r="EE743" s="1473">
        <f t="shared" si="28"/>
        <v>0</v>
      </c>
      <c r="EF743" s="1473"/>
      <c r="EG743" s="1473"/>
      <c r="EH743" s="1473"/>
      <c r="EI743" s="1473"/>
      <c r="EJ743" s="1473">
        <f t="shared" si="29"/>
        <v>0</v>
      </c>
      <c r="EK743" s="1473"/>
      <c r="EL743" s="1473"/>
      <c r="EM743" s="1473"/>
      <c r="EN743" s="1473"/>
      <c r="EO743" s="1473">
        <f t="shared" si="30"/>
        <v>0</v>
      </c>
      <c r="EP743" s="1473"/>
      <c r="EQ743" s="1473"/>
      <c r="ER743" s="1473"/>
      <c r="ES743" s="1473"/>
      <c r="ET743" s="1473">
        <f t="shared" si="31"/>
        <v>0</v>
      </c>
      <c r="EU743" s="1473"/>
      <c r="EV743" s="1473"/>
      <c r="EW743" s="1473"/>
      <c r="EX743" s="1473"/>
      <c r="EZ743" s="1481" t="str">
        <f t="shared" si="32"/>
        <v/>
      </c>
      <c r="FA743" s="1482"/>
      <c r="FB743" s="1482"/>
      <c r="FC743" s="1482"/>
      <c r="FD743" s="1483"/>
      <c r="FE743" s="1481" t="str">
        <f t="shared" si="33"/>
        <v/>
      </c>
      <c r="FF743" s="1482"/>
      <c r="FG743" s="1482"/>
      <c r="FH743" s="1482"/>
      <c r="FI743" s="1483"/>
      <c r="FJ743" s="1481" t="str">
        <f t="shared" si="34"/>
        <v/>
      </c>
      <c r="FK743" s="1482"/>
      <c r="FL743" s="1482"/>
      <c r="FM743" s="1482"/>
      <c r="FN743" s="1483"/>
      <c r="FO743" s="1481" t="str">
        <f t="shared" si="35"/>
        <v/>
      </c>
      <c r="FP743" s="1482"/>
      <c r="FQ743" s="1482"/>
      <c r="FR743" s="1482"/>
      <c r="FS743" s="1483"/>
      <c r="FT743" s="1481" t="str">
        <f t="shared" si="36"/>
        <v/>
      </c>
      <c r="FU743" s="1482"/>
      <c r="FV743" s="1482"/>
      <c r="FW743" s="1482"/>
      <c r="FX743" s="1483"/>
      <c r="FY743" s="1481" t="str">
        <f t="shared" si="37"/>
        <v/>
      </c>
      <c r="FZ743" s="1482"/>
      <c r="GA743" s="1482"/>
      <c r="GB743" s="1482"/>
      <c r="GC743" s="1483"/>
    </row>
    <row r="744" spans="1:185" ht="12.95" customHeight="1">
      <c r="B744" s="1335"/>
      <c r="C744" s="1336"/>
      <c r="D744" s="1336"/>
      <c r="E744" s="1336"/>
      <c r="F744" s="1337"/>
      <c r="G744" s="1329"/>
      <c r="H744" s="1330"/>
      <c r="I744" s="1330"/>
      <c r="J744" s="1331"/>
      <c r="K744" s="1332"/>
      <c r="L744" s="1333"/>
      <c r="M744" s="1333"/>
      <c r="N744" s="1334"/>
      <c r="O744" s="1363"/>
      <c r="P744" s="1364"/>
      <c r="Q744" s="1364"/>
      <c r="R744" s="1364"/>
      <c r="S744" s="1365"/>
      <c r="T744" s="1363"/>
      <c r="U744" s="1364"/>
      <c r="V744" s="1364"/>
      <c r="W744" s="1365"/>
      <c r="X744" s="1366">
        <f t="shared" si="10"/>
        <v>0</v>
      </c>
      <c r="Y744" s="1367"/>
      <c r="Z744" s="1367"/>
      <c r="AA744" s="1367"/>
      <c r="AB744" s="1368"/>
      <c r="AC744" s="1369"/>
      <c r="AD744" s="1370"/>
      <c r="AE744" s="1370"/>
      <c r="AF744" s="1370"/>
      <c r="AG744" s="1371"/>
      <c r="AH744" s="1387" t="str">
        <f t="shared" si="38"/>
        <v/>
      </c>
      <c r="AI744" s="1388"/>
      <c r="AJ744" s="1389"/>
      <c r="AK744" s="1335" t="s">
        <v>822</v>
      </c>
      <c r="AL744" s="1336"/>
      <c r="AM744" s="1336"/>
      <c r="AN744" s="1336"/>
      <c r="AO744" s="1337"/>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81">
        <f t="shared" si="39"/>
        <v>0</v>
      </c>
      <c r="CH744" s="1483"/>
      <c r="CI744" s="1481">
        <f t="shared" si="40"/>
        <v>0</v>
      </c>
      <c r="CJ744" s="1483"/>
      <c r="CK744" s="1481">
        <f t="shared" si="18"/>
        <v>0</v>
      </c>
      <c r="CL744" s="1483"/>
      <c r="CM744" s="1481">
        <f t="shared" si="19"/>
        <v>0</v>
      </c>
      <c r="CN744" s="1483"/>
      <c r="CO744" s="3"/>
      <c r="CP744" s="1474">
        <f t="shared" si="20"/>
        <v>0</v>
      </c>
      <c r="CQ744" s="1475"/>
      <c r="CR744" s="1475"/>
      <c r="CS744" s="1475"/>
      <c r="CT744" s="1476"/>
      <c r="CU744" s="1472">
        <f t="shared" si="21"/>
        <v>0</v>
      </c>
      <c r="CV744" s="1472"/>
      <c r="CW744" s="1472"/>
      <c r="CX744" s="1472"/>
      <c r="CY744" s="1472"/>
      <c r="CZ744" s="1472">
        <f t="shared" si="22"/>
        <v>0</v>
      </c>
      <c r="DA744" s="1472"/>
      <c r="DB744" s="1472"/>
      <c r="DC744" s="1472"/>
      <c r="DD744" s="1472"/>
      <c r="DE744" s="1472">
        <f t="shared" si="23"/>
        <v>0</v>
      </c>
      <c r="DF744" s="1472"/>
      <c r="DG744" s="1472"/>
      <c r="DH744" s="1472"/>
      <c r="DI744" s="1472"/>
      <c r="DJ744" s="1472">
        <f t="shared" si="24"/>
        <v>0</v>
      </c>
      <c r="DK744" s="1472"/>
      <c r="DL744" s="1472"/>
      <c r="DM744" s="1472"/>
      <c r="DN744" s="1472"/>
      <c r="DO744" s="1472">
        <f t="shared" si="25"/>
        <v>0</v>
      </c>
      <c r="DP744" s="1472"/>
      <c r="DQ744" s="1472"/>
      <c r="DR744" s="1472"/>
      <c r="DS744" s="1472"/>
      <c r="DT744" s="257"/>
      <c r="DU744" s="1473">
        <f t="shared" si="26"/>
        <v>0</v>
      </c>
      <c r="DV744" s="1473"/>
      <c r="DW744" s="1473"/>
      <c r="DX744" s="1473"/>
      <c r="DY744" s="1473"/>
      <c r="DZ744" s="1473">
        <f t="shared" si="27"/>
        <v>0</v>
      </c>
      <c r="EA744" s="1473"/>
      <c r="EB744" s="1473"/>
      <c r="EC744" s="1473"/>
      <c r="ED744" s="1473"/>
      <c r="EE744" s="1473">
        <f t="shared" si="28"/>
        <v>0</v>
      </c>
      <c r="EF744" s="1473"/>
      <c r="EG744" s="1473"/>
      <c r="EH744" s="1473"/>
      <c r="EI744" s="1473"/>
      <c r="EJ744" s="1473">
        <f t="shared" si="29"/>
        <v>0</v>
      </c>
      <c r="EK744" s="1473"/>
      <c r="EL744" s="1473"/>
      <c r="EM744" s="1473"/>
      <c r="EN744" s="1473"/>
      <c r="EO744" s="1473">
        <f t="shared" si="30"/>
        <v>0</v>
      </c>
      <c r="EP744" s="1473"/>
      <c r="EQ744" s="1473"/>
      <c r="ER744" s="1473"/>
      <c r="ES744" s="1473"/>
      <c r="ET744" s="1473">
        <f t="shared" si="31"/>
        <v>0</v>
      </c>
      <c r="EU744" s="1473"/>
      <c r="EV744" s="1473"/>
      <c r="EW744" s="1473"/>
      <c r="EX744" s="1473"/>
      <c r="EZ744" s="1481" t="str">
        <f t="shared" si="32"/>
        <v/>
      </c>
      <c r="FA744" s="1482"/>
      <c r="FB744" s="1482"/>
      <c r="FC744" s="1482"/>
      <c r="FD744" s="1483"/>
      <c r="FE744" s="1481" t="str">
        <f t="shared" si="33"/>
        <v/>
      </c>
      <c r="FF744" s="1482"/>
      <c r="FG744" s="1482"/>
      <c r="FH744" s="1482"/>
      <c r="FI744" s="1483"/>
      <c r="FJ744" s="1481" t="str">
        <f t="shared" si="34"/>
        <v/>
      </c>
      <c r="FK744" s="1482"/>
      <c r="FL744" s="1482"/>
      <c r="FM744" s="1482"/>
      <c r="FN744" s="1483"/>
      <c r="FO744" s="1481" t="str">
        <f t="shared" si="35"/>
        <v/>
      </c>
      <c r="FP744" s="1482"/>
      <c r="FQ744" s="1482"/>
      <c r="FR744" s="1482"/>
      <c r="FS744" s="1483"/>
      <c r="FT744" s="1481" t="str">
        <f t="shared" si="36"/>
        <v/>
      </c>
      <c r="FU744" s="1482"/>
      <c r="FV744" s="1482"/>
      <c r="FW744" s="1482"/>
      <c r="FX744" s="1483"/>
      <c r="FY744" s="1481" t="str">
        <f t="shared" si="37"/>
        <v/>
      </c>
      <c r="FZ744" s="1482"/>
      <c r="GA744" s="1482"/>
      <c r="GB744" s="1482"/>
      <c r="GC744" s="1483"/>
    </row>
    <row r="745" spans="1:185" ht="12.95" customHeight="1">
      <c r="B745" s="1335"/>
      <c r="C745" s="1336"/>
      <c r="D745" s="1336"/>
      <c r="E745" s="1336"/>
      <c r="F745" s="1337"/>
      <c r="G745" s="1329"/>
      <c r="H745" s="1330"/>
      <c r="I745" s="1330"/>
      <c r="J745" s="1331"/>
      <c r="K745" s="1332"/>
      <c r="L745" s="1333"/>
      <c r="M745" s="1333"/>
      <c r="N745" s="1334"/>
      <c r="O745" s="1363"/>
      <c r="P745" s="1364"/>
      <c r="Q745" s="1364"/>
      <c r="R745" s="1364"/>
      <c r="S745" s="1365"/>
      <c r="T745" s="1363"/>
      <c r="U745" s="1364"/>
      <c r="V745" s="1364"/>
      <c r="W745" s="1365"/>
      <c r="X745" s="1366">
        <f t="shared" si="10"/>
        <v>0</v>
      </c>
      <c r="Y745" s="1367"/>
      <c r="Z745" s="1367"/>
      <c r="AA745" s="1367"/>
      <c r="AB745" s="1368"/>
      <c r="AC745" s="1369"/>
      <c r="AD745" s="1370"/>
      <c r="AE745" s="1370"/>
      <c r="AF745" s="1370"/>
      <c r="AG745" s="1371"/>
      <c r="AH745" s="1387" t="str">
        <f t="shared" si="38"/>
        <v/>
      </c>
      <c r="AI745" s="1388"/>
      <c r="AJ745" s="1389"/>
      <c r="AK745" s="1335" t="s">
        <v>822</v>
      </c>
      <c r="AL745" s="1336"/>
      <c r="AM745" s="1336"/>
      <c r="AN745" s="1336"/>
      <c r="AO745" s="1337"/>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81">
        <f t="shared" si="39"/>
        <v>0</v>
      </c>
      <c r="CH745" s="1483"/>
      <c r="CI745" s="1481">
        <f t="shared" si="40"/>
        <v>0</v>
      </c>
      <c r="CJ745" s="1483"/>
      <c r="CK745" s="1481">
        <f t="shared" si="18"/>
        <v>0</v>
      </c>
      <c r="CL745" s="1483"/>
      <c r="CM745" s="1481">
        <f t="shared" si="19"/>
        <v>0</v>
      </c>
      <c r="CN745" s="1483"/>
      <c r="CO745" s="3"/>
      <c r="CP745" s="1474">
        <f t="shared" si="20"/>
        <v>0</v>
      </c>
      <c r="CQ745" s="1475"/>
      <c r="CR745" s="1475"/>
      <c r="CS745" s="1475"/>
      <c r="CT745" s="1476"/>
      <c r="CU745" s="1472">
        <f t="shared" si="21"/>
        <v>0</v>
      </c>
      <c r="CV745" s="1472"/>
      <c r="CW745" s="1472"/>
      <c r="CX745" s="1472"/>
      <c r="CY745" s="1472"/>
      <c r="CZ745" s="1472">
        <f t="shared" si="22"/>
        <v>0</v>
      </c>
      <c r="DA745" s="1472"/>
      <c r="DB745" s="1472"/>
      <c r="DC745" s="1472"/>
      <c r="DD745" s="1472"/>
      <c r="DE745" s="1472">
        <f t="shared" si="23"/>
        <v>0</v>
      </c>
      <c r="DF745" s="1472"/>
      <c r="DG745" s="1472"/>
      <c r="DH745" s="1472"/>
      <c r="DI745" s="1472"/>
      <c r="DJ745" s="1472">
        <f t="shared" si="24"/>
        <v>0</v>
      </c>
      <c r="DK745" s="1472"/>
      <c r="DL745" s="1472"/>
      <c r="DM745" s="1472"/>
      <c r="DN745" s="1472"/>
      <c r="DO745" s="1472">
        <f t="shared" si="25"/>
        <v>0</v>
      </c>
      <c r="DP745" s="1472"/>
      <c r="DQ745" s="1472"/>
      <c r="DR745" s="1472"/>
      <c r="DS745" s="1472"/>
      <c r="DT745" s="257"/>
      <c r="DU745" s="1473">
        <f t="shared" si="26"/>
        <v>0</v>
      </c>
      <c r="DV745" s="1473"/>
      <c r="DW745" s="1473"/>
      <c r="DX745" s="1473"/>
      <c r="DY745" s="1473"/>
      <c r="DZ745" s="1473">
        <f t="shared" si="27"/>
        <v>0</v>
      </c>
      <c r="EA745" s="1473"/>
      <c r="EB745" s="1473"/>
      <c r="EC745" s="1473"/>
      <c r="ED745" s="1473"/>
      <c r="EE745" s="1473">
        <f t="shared" si="28"/>
        <v>0</v>
      </c>
      <c r="EF745" s="1473"/>
      <c r="EG745" s="1473"/>
      <c r="EH745" s="1473"/>
      <c r="EI745" s="1473"/>
      <c r="EJ745" s="1473">
        <f t="shared" si="29"/>
        <v>0</v>
      </c>
      <c r="EK745" s="1473"/>
      <c r="EL745" s="1473"/>
      <c r="EM745" s="1473"/>
      <c r="EN745" s="1473"/>
      <c r="EO745" s="1473">
        <f t="shared" si="30"/>
        <v>0</v>
      </c>
      <c r="EP745" s="1473"/>
      <c r="EQ745" s="1473"/>
      <c r="ER745" s="1473"/>
      <c r="ES745" s="1473"/>
      <c r="ET745" s="1473">
        <f t="shared" si="31"/>
        <v>0</v>
      </c>
      <c r="EU745" s="1473"/>
      <c r="EV745" s="1473"/>
      <c r="EW745" s="1473"/>
      <c r="EX745" s="1473"/>
      <c r="EZ745" s="1481" t="str">
        <f t="shared" si="32"/>
        <v/>
      </c>
      <c r="FA745" s="1482"/>
      <c r="FB745" s="1482"/>
      <c r="FC745" s="1482"/>
      <c r="FD745" s="1483"/>
      <c r="FE745" s="1481" t="str">
        <f t="shared" si="33"/>
        <v/>
      </c>
      <c r="FF745" s="1482"/>
      <c r="FG745" s="1482"/>
      <c r="FH745" s="1482"/>
      <c r="FI745" s="1483"/>
      <c r="FJ745" s="1481" t="str">
        <f t="shared" si="34"/>
        <v/>
      </c>
      <c r="FK745" s="1482"/>
      <c r="FL745" s="1482"/>
      <c r="FM745" s="1482"/>
      <c r="FN745" s="1483"/>
      <c r="FO745" s="1481" t="str">
        <f t="shared" si="35"/>
        <v/>
      </c>
      <c r="FP745" s="1482"/>
      <c r="FQ745" s="1482"/>
      <c r="FR745" s="1482"/>
      <c r="FS745" s="1483"/>
      <c r="FT745" s="1481" t="str">
        <f t="shared" si="36"/>
        <v/>
      </c>
      <c r="FU745" s="1482"/>
      <c r="FV745" s="1482"/>
      <c r="FW745" s="1482"/>
      <c r="FX745" s="1483"/>
      <c r="FY745" s="1481" t="str">
        <f t="shared" si="37"/>
        <v/>
      </c>
      <c r="FZ745" s="1482"/>
      <c r="GA745" s="1482"/>
      <c r="GB745" s="1482"/>
      <c r="GC745" s="1483"/>
    </row>
    <row r="746" spans="1:185" ht="12.95" customHeight="1">
      <c r="B746" s="1335"/>
      <c r="C746" s="1336"/>
      <c r="D746" s="1336"/>
      <c r="E746" s="1336"/>
      <c r="F746" s="1337"/>
      <c r="G746" s="1329"/>
      <c r="H746" s="1330"/>
      <c r="I746" s="1330"/>
      <c r="J746" s="1331"/>
      <c r="K746" s="1332"/>
      <c r="L746" s="1333"/>
      <c r="M746" s="1333"/>
      <c r="N746" s="1334"/>
      <c r="O746" s="1363"/>
      <c r="P746" s="1364"/>
      <c r="Q746" s="1364"/>
      <c r="R746" s="1364"/>
      <c r="S746" s="1365"/>
      <c r="T746" s="1363"/>
      <c r="U746" s="1364"/>
      <c r="V746" s="1364"/>
      <c r="W746" s="1365"/>
      <c r="X746" s="1366">
        <f t="shared" si="10"/>
        <v>0</v>
      </c>
      <c r="Y746" s="1367"/>
      <c r="Z746" s="1367"/>
      <c r="AA746" s="1367"/>
      <c r="AB746" s="1368"/>
      <c r="AC746" s="1369"/>
      <c r="AD746" s="1370"/>
      <c r="AE746" s="1370"/>
      <c r="AF746" s="1370"/>
      <c r="AG746" s="1371"/>
      <c r="AH746" s="1387" t="str">
        <f t="shared" si="38"/>
        <v/>
      </c>
      <c r="AI746" s="1388"/>
      <c r="AJ746" s="1389"/>
      <c r="AK746" s="1335" t="s">
        <v>822</v>
      </c>
      <c r="AL746" s="1336"/>
      <c r="AM746" s="1336"/>
      <c r="AN746" s="1336"/>
      <c r="AO746" s="1337"/>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81">
        <f t="shared" si="39"/>
        <v>0</v>
      </c>
      <c r="CH746" s="1483"/>
      <c r="CI746" s="1481">
        <f t="shared" si="40"/>
        <v>0</v>
      </c>
      <c r="CJ746" s="1483"/>
      <c r="CK746" s="1481">
        <f t="shared" si="18"/>
        <v>0</v>
      </c>
      <c r="CL746" s="1483"/>
      <c r="CM746" s="1481">
        <f t="shared" si="19"/>
        <v>0</v>
      </c>
      <c r="CN746" s="1483"/>
      <c r="CO746" s="3"/>
      <c r="CP746" s="1474">
        <f t="shared" si="20"/>
        <v>0</v>
      </c>
      <c r="CQ746" s="1475"/>
      <c r="CR746" s="1475"/>
      <c r="CS746" s="1475"/>
      <c r="CT746" s="1476"/>
      <c r="CU746" s="1472">
        <f t="shared" si="21"/>
        <v>0</v>
      </c>
      <c r="CV746" s="1472"/>
      <c r="CW746" s="1472"/>
      <c r="CX746" s="1472"/>
      <c r="CY746" s="1472"/>
      <c r="CZ746" s="1472">
        <f t="shared" si="22"/>
        <v>0</v>
      </c>
      <c r="DA746" s="1472"/>
      <c r="DB746" s="1472"/>
      <c r="DC746" s="1472"/>
      <c r="DD746" s="1472"/>
      <c r="DE746" s="1472">
        <f t="shared" si="23"/>
        <v>0</v>
      </c>
      <c r="DF746" s="1472"/>
      <c r="DG746" s="1472"/>
      <c r="DH746" s="1472"/>
      <c r="DI746" s="1472"/>
      <c r="DJ746" s="1472">
        <f t="shared" si="24"/>
        <v>0</v>
      </c>
      <c r="DK746" s="1472"/>
      <c r="DL746" s="1472"/>
      <c r="DM746" s="1472"/>
      <c r="DN746" s="1472"/>
      <c r="DO746" s="1472">
        <f t="shared" si="25"/>
        <v>0</v>
      </c>
      <c r="DP746" s="1472"/>
      <c r="DQ746" s="1472"/>
      <c r="DR746" s="1472"/>
      <c r="DS746" s="1472"/>
      <c r="DT746" s="257"/>
      <c r="DU746" s="1473">
        <f t="shared" si="26"/>
        <v>0</v>
      </c>
      <c r="DV746" s="1473"/>
      <c r="DW746" s="1473"/>
      <c r="DX746" s="1473"/>
      <c r="DY746" s="1473"/>
      <c r="DZ746" s="1473">
        <f t="shared" si="27"/>
        <v>0</v>
      </c>
      <c r="EA746" s="1473"/>
      <c r="EB746" s="1473"/>
      <c r="EC746" s="1473"/>
      <c r="ED746" s="1473"/>
      <c r="EE746" s="1473">
        <f t="shared" si="28"/>
        <v>0</v>
      </c>
      <c r="EF746" s="1473"/>
      <c r="EG746" s="1473"/>
      <c r="EH746" s="1473"/>
      <c r="EI746" s="1473"/>
      <c r="EJ746" s="1473">
        <f t="shared" si="29"/>
        <v>0</v>
      </c>
      <c r="EK746" s="1473"/>
      <c r="EL746" s="1473"/>
      <c r="EM746" s="1473"/>
      <c r="EN746" s="1473"/>
      <c r="EO746" s="1473">
        <f t="shared" si="30"/>
        <v>0</v>
      </c>
      <c r="EP746" s="1473"/>
      <c r="EQ746" s="1473"/>
      <c r="ER746" s="1473"/>
      <c r="ES746" s="1473"/>
      <c r="ET746" s="1473">
        <f t="shared" si="31"/>
        <v>0</v>
      </c>
      <c r="EU746" s="1473"/>
      <c r="EV746" s="1473"/>
      <c r="EW746" s="1473"/>
      <c r="EX746" s="1473"/>
      <c r="EZ746" s="1481" t="str">
        <f t="shared" si="32"/>
        <v/>
      </c>
      <c r="FA746" s="1482"/>
      <c r="FB746" s="1482"/>
      <c r="FC746" s="1482"/>
      <c r="FD746" s="1483"/>
      <c r="FE746" s="1481" t="str">
        <f t="shared" si="33"/>
        <v/>
      </c>
      <c r="FF746" s="1482"/>
      <c r="FG746" s="1482"/>
      <c r="FH746" s="1482"/>
      <c r="FI746" s="1483"/>
      <c r="FJ746" s="1481" t="str">
        <f t="shared" si="34"/>
        <v/>
      </c>
      <c r="FK746" s="1482"/>
      <c r="FL746" s="1482"/>
      <c r="FM746" s="1482"/>
      <c r="FN746" s="1483"/>
      <c r="FO746" s="1481" t="str">
        <f t="shared" si="35"/>
        <v/>
      </c>
      <c r="FP746" s="1482"/>
      <c r="FQ746" s="1482"/>
      <c r="FR746" s="1482"/>
      <c r="FS746" s="1483"/>
      <c r="FT746" s="1481" t="str">
        <f t="shared" si="36"/>
        <v/>
      </c>
      <c r="FU746" s="1482"/>
      <c r="FV746" s="1482"/>
      <c r="FW746" s="1482"/>
      <c r="FX746" s="1483"/>
      <c r="FY746" s="1481" t="str">
        <f t="shared" si="37"/>
        <v/>
      </c>
      <c r="FZ746" s="1482"/>
      <c r="GA746" s="1482"/>
      <c r="GB746" s="1482"/>
      <c r="GC746" s="1483"/>
    </row>
    <row r="747" spans="1:185" ht="12.95" customHeight="1">
      <c r="B747" s="1335"/>
      <c r="C747" s="1336"/>
      <c r="D747" s="1336"/>
      <c r="E747" s="1336"/>
      <c r="F747" s="1337"/>
      <c r="G747" s="1329"/>
      <c r="H747" s="1330"/>
      <c r="I747" s="1330"/>
      <c r="J747" s="1331"/>
      <c r="K747" s="1332"/>
      <c r="L747" s="1333"/>
      <c r="M747" s="1333"/>
      <c r="N747" s="1334"/>
      <c r="O747" s="1363"/>
      <c r="P747" s="1364"/>
      <c r="Q747" s="1364"/>
      <c r="R747" s="1364"/>
      <c r="S747" s="1365"/>
      <c r="T747" s="1363"/>
      <c r="U747" s="1364"/>
      <c r="V747" s="1364"/>
      <c r="W747" s="1365"/>
      <c r="X747" s="1366">
        <f t="shared" si="10"/>
        <v>0</v>
      </c>
      <c r="Y747" s="1367"/>
      <c r="Z747" s="1367"/>
      <c r="AA747" s="1367"/>
      <c r="AB747" s="1368"/>
      <c r="AC747" s="1369"/>
      <c r="AD747" s="1370"/>
      <c r="AE747" s="1370"/>
      <c r="AF747" s="1370"/>
      <c r="AG747" s="1371"/>
      <c r="AH747" s="1387" t="str">
        <f t="shared" si="38"/>
        <v/>
      </c>
      <c r="AI747" s="1388"/>
      <c r="AJ747" s="1389"/>
      <c r="AK747" s="1335" t="s">
        <v>822</v>
      </c>
      <c r="AL747" s="1336"/>
      <c r="AM747" s="1336"/>
      <c r="AN747" s="1336"/>
      <c r="AO747" s="1337"/>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81">
        <f t="shared" si="39"/>
        <v>0</v>
      </c>
      <c r="CH747" s="1483"/>
      <c r="CI747" s="1481">
        <f t="shared" si="40"/>
        <v>0</v>
      </c>
      <c r="CJ747" s="1483"/>
      <c r="CK747" s="1481">
        <f t="shared" si="18"/>
        <v>0</v>
      </c>
      <c r="CL747" s="1483"/>
      <c r="CM747" s="1481">
        <f t="shared" si="19"/>
        <v>0</v>
      </c>
      <c r="CN747" s="1483"/>
      <c r="CO747" s="3"/>
      <c r="CP747" s="1474">
        <f t="shared" si="20"/>
        <v>0</v>
      </c>
      <c r="CQ747" s="1475"/>
      <c r="CR747" s="1475"/>
      <c r="CS747" s="1475"/>
      <c r="CT747" s="1476"/>
      <c r="CU747" s="1472">
        <f t="shared" si="21"/>
        <v>0</v>
      </c>
      <c r="CV747" s="1472"/>
      <c r="CW747" s="1472"/>
      <c r="CX747" s="1472"/>
      <c r="CY747" s="1472"/>
      <c r="CZ747" s="1472">
        <f t="shared" si="22"/>
        <v>0</v>
      </c>
      <c r="DA747" s="1472"/>
      <c r="DB747" s="1472"/>
      <c r="DC747" s="1472"/>
      <c r="DD747" s="1472"/>
      <c r="DE747" s="1472">
        <f t="shared" si="23"/>
        <v>0</v>
      </c>
      <c r="DF747" s="1472"/>
      <c r="DG747" s="1472"/>
      <c r="DH747" s="1472"/>
      <c r="DI747" s="1472"/>
      <c r="DJ747" s="1472">
        <f t="shared" si="24"/>
        <v>0</v>
      </c>
      <c r="DK747" s="1472"/>
      <c r="DL747" s="1472"/>
      <c r="DM747" s="1472"/>
      <c r="DN747" s="1472"/>
      <c r="DO747" s="1472">
        <f t="shared" si="25"/>
        <v>0</v>
      </c>
      <c r="DP747" s="1472"/>
      <c r="DQ747" s="1472"/>
      <c r="DR747" s="1472"/>
      <c r="DS747" s="1472"/>
      <c r="DT747" s="257"/>
      <c r="DU747" s="1473">
        <f t="shared" si="26"/>
        <v>0</v>
      </c>
      <c r="DV747" s="1473"/>
      <c r="DW747" s="1473"/>
      <c r="DX747" s="1473"/>
      <c r="DY747" s="1473"/>
      <c r="DZ747" s="1473">
        <f t="shared" si="27"/>
        <v>0</v>
      </c>
      <c r="EA747" s="1473"/>
      <c r="EB747" s="1473"/>
      <c r="EC747" s="1473"/>
      <c r="ED747" s="1473"/>
      <c r="EE747" s="1473">
        <f t="shared" si="28"/>
        <v>0</v>
      </c>
      <c r="EF747" s="1473"/>
      <c r="EG747" s="1473"/>
      <c r="EH747" s="1473"/>
      <c r="EI747" s="1473"/>
      <c r="EJ747" s="1473">
        <f t="shared" si="29"/>
        <v>0</v>
      </c>
      <c r="EK747" s="1473"/>
      <c r="EL747" s="1473"/>
      <c r="EM747" s="1473"/>
      <c r="EN747" s="1473"/>
      <c r="EO747" s="1473">
        <f t="shared" si="30"/>
        <v>0</v>
      </c>
      <c r="EP747" s="1473"/>
      <c r="EQ747" s="1473"/>
      <c r="ER747" s="1473"/>
      <c r="ES747" s="1473"/>
      <c r="ET747" s="1473">
        <f t="shared" si="31"/>
        <v>0</v>
      </c>
      <c r="EU747" s="1473"/>
      <c r="EV747" s="1473"/>
      <c r="EW747" s="1473"/>
      <c r="EX747" s="1473"/>
      <c r="EZ747" s="1481" t="str">
        <f t="shared" si="32"/>
        <v/>
      </c>
      <c r="FA747" s="1482"/>
      <c r="FB747" s="1482"/>
      <c r="FC747" s="1482"/>
      <c r="FD747" s="1483"/>
      <c r="FE747" s="1481" t="str">
        <f t="shared" si="33"/>
        <v/>
      </c>
      <c r="FF747" s="1482"/>
      <c r="FG747" s="1482"/>
      <c r="FH747" s="1482"/>
      <c r="FI747" s="1483"/>
      <c r="FJ747" s="1481" t="str">
        <f t="shared" si="34"/>
        <v/>
      </c>
      <c r="FK747" s="1482"/>
      <c r="FL747" s="1482"/>
      <c r="FM747" s="1482"/>
      <c r="FN747" s="1483"/>
      <c r="FO747" s="1481" t="str">
        <f t="shared" si="35"/>
        <v/>
      </c>
      <c r="FP747" s="1482"/>
      <c r="FQ747" s="1482"/>
      <c r="FR747" s="1482"/>
      <c r="FS747" s="1483"/>
      <c r="FT747" s="1481" t="str">
        <f t="shared" si="36"/>
        <v/>
      </c>
      <c r="FU747" s="1482"/>
      <c r="FV747" s="1482"/>
      <c r="FW747" s="1482"/>
      <c r="FX747" s="1483"/>
      <c r="FY747" s="1481" t="str">
        <f t="shared" si="37"/>
        <v/>
      </c>
      <c r="FZ747" s="1482"/>
      <c r="GA747" s="1482"/>
      <c r="GB747" s="1482"/>
      <c r="GC747" s="1483"/>
    </row>
    <row r="748" spans="1:185" ht="12.95" customHeight="1">
      <c r="B748" s="1335"/>
      <c r="C748" s="1336"/>
      <c r="D748" s="1336"/>
      <c r="E748" s="1336"/>
      <c r="F748" s="1337"/>
      <c r="G748" s="1329"/>
      <c r="H748" s="1330"/>
      <c r="I748" s="1330"/>
      <c r="J748" s="1331"/>
      <c r="K748" s="1332"/>
      <c r="L748" s="1333"/>
      <c r="M748" s="1333"/>
      <c r="N748" s="1334"/>
      <c r="O748" s="1363"/>
      <c r="P748" s="1364"/>
      <c r="Q748" s="1364"/>
      <c r="R748" s="1364"/>
      <c r="S748" s="1365"/>
      <c r="T748" s="1363"/>
      <c r="U748" s="1364"/>
      <c r="V748" s="1364"/>
      <c r="W748" s="1365"/>
      <c r="X748" s="1366">
        <f t="shared" si="10"/>
        <v>0</v>
      </c>
      <c r="Y748" s="1367"/>
      <c r="Z748" s="1367"/>
      <c r="AA748" s="1367"/>
      <c r="AB748" s="1368"/>
      <c r="AC748" s="1369"/>
      <c r="AD748" s="1370"/>
      <c r="AE748" s="1370"/>
      <c r="AF748" s="1370"/>
      <c r="AG748" s="1371"/>
      <c r="AH748" s="1387" t="str">
        <f t="shared" si="38"/>
        <v/>
      </c>
      <c r="AI748" s="1388"/>
      <c r="AJ748" s="1389"/>
      <c r="AK748" s="1335" t="s">
        <v>822</v>
      </c>
      <c r="AL748" s="1336"/>
      <c r="AM748" s="1336"/>
      <c r="AN748" s="1336"/>
      <c r="AO748" s="1337"/>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81">
        <f t="shared" si="39"/>
        <v>0</v>
      </c>
      <c r="CH748" s="1483"/>
      <c r="CI748" s="1481">
        <f t="shared" si="40"/>
        <v>0</v>
      </c>
      <c r="CJ748" s="1483"/>
      <c r="CK748" s="1481">
        <f t="shared" si="18"/>
        <v>0</v>
      </c>
      <c r="CL748" s="1483"/>
      <c r="CM748" s="1481">
        <f t="shared" si="19"/>
        <v>0</v>
      </c>
      <c r="CN748" s="1483"/>
      <c r="CO748" s="3"/>
      <c r="CP748" s="1474">
        <f t="shared" si="20"/>
        <v>0</v>
      </c>
      <c r="CQ748" s="1475"/>
      <c r="CR748" s="1475"/>
      <c r="CS748" s="1475"/>
      <c r="CT748" s="1476"/>
      <c r="CU748" s="1472">
        <f t="shared" si="21"/>
        <v>0</v>
      </c>
      <c r="CV748" s="1472"/>
      <c r="CW748" s="1472"/>
      <c r="CX748" s="1472"/>
      <c r="CY748" s="1472"/>
      <c r="CZ748" s="1472">
        <f t="shared" si="22"/>
        <v>0</v>
      </c>
      <c r="DA748" s="1472"/>
      <c r="DB748" s="1472"/>
      <c r="DC748" s="1472"/>
      <c r="DD748" s="1472"/>
      <c r="DE748" s="1472">
        <f t="shared" si="23"/>
        <v>0</v>
      </c>
      <c r="DF748" s="1472"/>
      <c r="DG748" s="1472"/>
      <c r="DH748" s="1472"/>
      <c r="DI748" s="1472"/>
      <c r="DJ748" s="1472">
        <f t="shared" si="24"/>
        <v>0</v>
      </c>
      <c r="DK748" s="1472"/>
      <c r="DL748" s="1472"/>
      <c r="DM748" s="1472"/>
      <c r="DN748" s="1472"/>
      <c r="DO748" s="1472">
        <f t="shared" si="25"/>
        <v>0</v>
      </c>
      <c r="DP748" s="1472"/>
      <c r="DQ748" s="1472"/>
      <c r="DR748" s="1472"/>
      <c r="DS748" s="1472"/>
      <c r="DT748" s="257"/>
      <c r="DU748" s="1473">
        <f t="shared" si="26"/>
        <v>0</v>
      </c>
      <c r="DV748" s="1473"/>
      <c r="DW748" s="1473"/>
      <c r="DX748" s="1473"/>
      <c r="DY748" s="1473"/>
      <c r="DZ748" s="1473">
        <f t="shared" si="27"/>
        <v>0</v>
      </c>
      <c r="EA748" s="1473"/>
      <c r="EB748" s="1473"/>
      <c r="EC748" s="1473"/>
      <c r="ED748" s="1473"/>
      <c r="EE748" s="1473">
        <f t="shared" si="28"/>
        <v>0</v>
      </c>
      <c r="EF748" s="1473"/>
      <c r="EG748" s="1473"/>
      <c r="EH748" s="1473"/>
      <c r="EI748" s="1473"/>
      <c r="EJ748" s="1473">
        <f t="shared" si="29"/>
        <v>0</v>
      </c>
      <c r="EK748" s="1473"/>
      <c r="EL748" s="1473"/>
      <c r="EM748" s="1473"/>
      <c r="EN748" s="1473"/>
      <c r="EO748" s="1473">
        <f t="shared" si="30"/>
        <v>0</v>
      </c>
      <c r="EP748" s="1473"/>
      <c r="EQ748" s="1473"/>
      <c r="ER748" s="1473"/>
      <c r="ES748" s="1473"/>
      <c r="ET748" s="1473">
        <f t="shared" si="31"/>
        <v>0</v>
      </c>
      <c r="EU748" s="1473"/>
      <c r="EV748" s="1473"/>
      <c r="EW748" s="1473"/>
      <c r="EX748" s="1473"/>
      <c r="EZ748" s="1481" t="str">
        <f t="shared" si="32"/>
        <v/>
      </c>
      <c r="FA748" s="1482"/>
      <c r="FB748" s="1482"/>
      <c r="FC748" s="1482"/>
      <c r="FD748" s="1483"/>
      <c r="FE748" s="1481" t="str">
        <f t="shared" si="33"/>
        <v/>
      </c>
      <c r="FF748" s="1482"/>
      <c r="FG748" s="1482"/>
      <c r="FH748" s="1482"/>
      <c r="FI748" s="1483"/>
      <c r="FJ748" s="1481" t="str">
        <f t="shared" si="34"/>
        <v/>
      </c>
      <c r="FK748" s="1482"/>
      <c r="FL748" s="1482"/>
      <c r="FM748" s="1482"/>
      <c r="FN748" s="1483"/>
      <c r="FO748" s="1481" t="str">
        <f t="shared" si="35"/>
        <v/>
      </c>
      <c r="FP748" s="1482"/>
      <c r="FQ748" s="1482"/>
      <c r="FR748" s="1482"/>
      <c r="FS748" s="1483"/>
      <c r="FT748" s="1481" t="str">
        <f t="shared" si="36"/>
        <v/>
      </c>
      <c r="FU748" s="1482"/>
      <c r="FV748" s="1482"/>
      <c r="FW748" s="1482"/>
      <c r="FX748" s="1483"/>
      <c r="FY748" s="1481" t="str">
        <f t="shared" si="37"/>
        <v/>
      </c>
      <c r="FZ748" s="1482"/>
      <c r="GA748" s="1482"/>
      <c r="GB748" s="1482"/>
      <c r="GC748" s="1483"/>
    </row>
    <row r="749" spans="1:185" ht="12.95" customHeight="1">
      <c r="B749" s="1335"/>
      <c r="C749" s="1336"/>
      <c r="D749" s="1336"/>
      <c r="E749" s="1336"/>
      <c r="F749" s="1337"/>
      <c r="G749" s="1329"/>
      <c r="H749" s="1330"/>
      <c r="I749" s="1330"/>
      <c r="J749" s="1331"/>
      <c r="K749" s="1332"/>
      <c r="L749" s="1333"/>
      <c r="M749" s="1333"/>
      <c r="N749" s="1334"/>
      <c r="O749" s="1363"/>
      <c r="P749" s="1364"/>
      <c r="Q749" s="1364"/>
      <c r="R749" s="1364"/>
      <c r="S749" s="1365"/>
      <c r="T749" s="1363"/>
      <c r="U749" s="1364"/>
      <c r="V749" s="1364"/>
      <c r="W749" s="1365"/>
      <c r="X749" s="1366">
        <f t="shared" si="10"/>
        <v>0</v>
      </c>
      <c r="Y749" s="1367"/>
      <c r="Z749" s="1367"/>
      <c r="AA749" s="1367"/>
      <c r="AB749" s="1368"/>
      <c r="AC749" s="1369"/>
      <c r="AD749" s="1370"/>
      <c r="AE749" s="1370"/>
      <c r="AF749" s="1370"/>
      <c r="AG749" s="1371"/>
      <c r="AH749" s="1387" t="str">
        <f t="shared" si="38"/>
        <v/>
      </c>
      <c r="AI749" s="1388"/>
      <c r="AJ749" s="1389"/>
      <c r="AK749" s="1335" t="s">
        <v>822</v>
      </c>
      <c r="AL749" s="1336"/>
      <c r="AM749" s="1336"/>
      <c r="AN749" s="1336"/>
      <c r="AO749" s="1337"/>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81">
        <f t="shared" si="39"/>
        <v>0</v>
      </c>
      <c r="CH749" s="1483"/>
      <c r="CI749" s="1481">
        <f t="shared" si="40"/>
        <v>0</v>
      </c>
      <c r="CJ749" s="1483"/>
      <c r="CK749" s="1481">
        <f t="shared" si="18"/>
        <v>0</v>
      </c>
      <c r="CL749" s="1483"/>
      <c r="CM749" s="1481">
        <f t="shared" si="19"/>
        <v>0</v>
      </c>
      <c r="CN749" s="1483"/>
      <c r="CO749" s="3"/>
      <c r="CP749" s="1474">
        <f t="shared" si="20"/>
        <v>0</v>
      </c>
      <c r="CQ749" s="1475"/>
      <c r="CR749" s="1475"/>
      <c r="CS749" s="1475"/>
      <c r="CT749" s="1476"/>
      <c r="CU749" s="1472">
        <f t="shared" si="21"/>
        <v>0</v>
      </c>
      <c r="CV749" s="1472"/>
      <c r="CW749" s="1472"/>
      <c r="CX749" s="1472"/>
      <c r="CY749" s="1472"/>
      <c r="CZ749" s="1472">
        <f t="shared" si="22"/>
        <v>0</v>
      </c>
      <c r="DA749" s="1472"/>
      <c r="DB749" s="1472"/>
      <c r="DC749" s="1472"/>
      <c r="DD749" s="1472"/>
      <c r="DE749" s="1472">
        <f t="shared" si="23"/>
        <v>0</v>
      </c>
      <c r="DF749" s="1472"/>
      <c r="DG749" s="1472"/>
      <c r="DH749" s="1472"/>
      <c r="DI749" s="1472"/>
      <c r="DJ749" s="1472">
        <f t="shared" si="24"/>
        <v>0</v>
      </c>
      <c r="DK749" s="1472"/>
      <c r="DL749" s="1472"/>
      <c r="DM749" s="1472"/>
      <c r="DN749" s="1472"/>
      <c r="DO749" s="1472">
        <f t="shared" si="25"/>
        <v>0</v>
      </c>
      <c r="DP749" s="1472"/>
      <c r="DQ749" s="1472"/>
      <c r="DR749" s="1472"/>
      <c r="DS749" s="1472"/>
      <c r="DT749" s="257"/>
      <c r="DU749" s="1473">
        <f t="shared" si="26"/>
        <v>0</v>
      </c>
      <c r="DV749" s="1473"/>
      <c r="DW749" s="1473"/>
      <c r="DX749" s="1473"/>
      <c r="DY749" s="1473"/>
      <c r="DZ749" s="1473">
        <f t="shared" si="27"/>
        <v>0</v>
      </c>
      <c r="EA749" s="1473"/>
      <c r="EB749" s="1473"/>
      <c r="EC749" s="1473"/>
      <c r="ED749" s="1473"/>
      <c r="EE749" s="1473">
        <f t="shared" si="28"/>
        <v>0</v>
      </c>
      <c r="EF749" s="1473"/>
      <c r="EG749" s="1473"/>
      <c r="EH749" s="1473"/>
      <c r="EI749" s="1473"/>
      <c r="EJ749" s="1473">
        <f t="shared" si="29"/>
        <v>0</v>
      </c>
      <c r="EK749" s="1473"/>
      <c r="EL749" s="1473"/>
      <c r="EM749" s="1473"/>
      <c r="EN749" s="1473"/>
      <c r="EO749" s="1473">
        <f t="shared" si="30"/>
        <v>0</v>
      </c>
      <c r="EP749" s="1473"/>
      <c r="EQ749" s="1473"/>
      <c r="ER749" s="1473"/>
      <c r="ES749" s="1473"/>
      <c r="ET749" s="1473">
        <f t="shared" si="31"/>
        <v>0</v>
      </c>
      <c r="EU749" s="1473"/>
      <c r="EV749" s="1473"/>
      <c r="EW749" s="1473"/>
      <c r="EX749" s="1473"/>
      <c r="EZ749" s="1481" t="str">
        <f t="shared" si="32"/>
        <v/>
      </c>
      <c r="FA749" s="1482"/>
      <c r="FB749" s="1482"/>
      <c r="FC749" s="1482"/>
      <c r="FD749" s="1483"/>
      <c r="FE749" s="1481" t="str">
        <f t="shared" si="33"/>
        <v/>
      </c>
      <c r="FF749" s="1482"/>
      <c r="FG749" s="1482"/>
      <c r="FH749" s="1482"/>
      <c r="FI749" s="1483"/>
      <c r="FJ749" s="1481" t="str">
        <f t="shared" si="34"/>
        <v/>
      </c>
      <c r="FK749" s="1482"/>
      <c r="FL749" s="1482"/>
      <c r="FM749" s="1482"/>
      <c r="FN749" s="1483"/>
      <c r="FO749" s="1481" t="str">
        <f t="shared" si="35"/>
        <v/>
      </c>
      <c r="FP749" s="1482"/>
      <c r="FQ749" s="1482"/>
      <c r="FR749" s="1482"/>
      <c r="FS749" s="1483"/>
      <c r="FT749" s="1481" t="str">
        <f t="shared" si="36"/>
        <v/>
      </c>
      <c r="FU749" s="1482"/>
      <c r="FV749" s="1482"/>
      <c r="FW749" s="1482"/>
      <c r="FX749" s="1483"/>
      <c r="FY749" s="1481" t="str">
        <f t="shared" si="37"/>
        <v/>
      </c>
      <c r="FZ749" s="1482"/>
      <c r="GA749" s="1482"/>
      <c r="GB749" s="1482"/>
      <c r="GC749" s="1483"/>
    </row>
    <row r="750" spans="1:185" ht="12.95" customHeight="1">
      <c r="B750" s="1335"/>
      <c r="C750" s="1336"/>
      <c r="D750" s="1336"/>
      <c r="E750" s="1336"/>
      <c r="F750" s="1337"/>
      <c r="G750" s="1329"/>
      <c r="H750" s="1330"/>
      <c r="I750" s="1330"/>
      <c r="J750" s="1331"/>
      <c r="K750" s="1332"/>
      <c r="L750" s="1333"/>
      <c r="M750" s="1333"/>
      <c r="N750" s="1334"/>
      <c r="O750" s="1363"/>
      <c r="P750" s="1364"/>
      <c r="Q750" s="1364"/>
      <c r="R750" s="1364"/>
      <c r="S750" s="1365"/>
      <c r="T750" s="1363"/>
      <c r="U750" s="1364"/>
      <c r="V750" s="1364"/>
      <c r="W750" s="1365"/>
      <c r="X750" s="1366">
        <f t="shared" ref="X750:X759" si="41">O750+T750</f>
        <v>0</v>
      </c>
      <c r="Y750" s="1367"/>
      <c r="Z750" s="1367"/>
      <c r="AA750" s="1367"/>
      <c r="AB750" s="1368"/>
      <c r="AC750" s="1369"/>
      <c r="AD750" s="1370"/>
      <c r="AE750" s="1370"/>
      <c r="AF750" s="1370"/>
      <c r="AG750" s="1371"/>
      <c r="AH750" s="1387" t="str">
        <f t="shared" si="38"/>
        <v/>
      </c>
      <c r="AI750" s="1388"/>
      <c r="AJ750" s="1389"/>
      <c r="AK750" s="1335" t="s">
        <v>822</v>
      </c>
      <c r="AL750" s="1336"/>
      <c r="AM750" s="1336"/>
      <c r="AN750" s="1336"/>
      <c r="AO750" s="1337"/>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81">
        <f t="shared" si="39"/>
        <v>0</v>
      </c>
      <c r="CH750" s="1483"/>
      <c r="CI750" s="1481">
        <f t="shared" si="40"/>
        <v>0</v>
      </c>
      <c r="CJ750" s="1483"/>
      <c r="CK750" s="1481">
        <f t="shared" si="18"/>
        <v>0</v>
      </c>
      <c r="CL750" s="1483"/>
      <c r="CM750" s="1481">
        <f t="shared" si="19"/>
        <v>0</v>
      </c>
      <c r="CN750" s="1483"/>
      <c r="CO750" s="3"/>
      <c r="CP750" s="1474">
        <f t="shared" si="20"/>
        <v>0</v>
      </c>
      <c r="CQ750" s="1475"/>
      <c r="CR750" s="1475"/>
      <c r="CS750" s="1475"/>
      <c r="CT750" s="1476"/>
      <c r="CU750" s="1472">
        <f t="shared" si="21"/>
        <v>0</v>
      </c>
      <c r="CV750" s="1472"/>
      <c r="CW750" s="1472"/>
      <c r="CX750" s="1472"/>
      <c r="CY750" s="1472"/>
      <c r="CZ750" s="1472">
        <f t="shared" si="22"/>
        <v>0</v>
      </c>
      <c r="DA750" s="1472"/>
      <c r="DB750" s="1472"/>
      <c r="DC750" s="1472"/>
      <c r="DD750" s="1472"/>
      <c r="DE750" s="1472">
        <f t="shared" si="23"/>
        <v>0</v>
      </c>
      <c r="DF750" s="1472"/>
      <c r="DG750" s="1472"/>
      <c r="DH750" s="1472"/>
      <c r="DI750" s="1472"/>
      <c r="DJ750" s="1472">
        <f t="shared" si="24"/>
        <v>0</v>
      </c>
      <c r="DK750" s="1472"/>
      <c r="DL750" s="1472"/>
      <c r="DM750" s="1472"/>
      <c r="DN750" s="1472"/>
      <c r="DO750" s="1472">
        <f t="shared" si="25"/>
        <v>0</v>
      </c>
      <c r="DP750" s="1472"/>
      <c r="DQ750" s="1472"/>
      <c r="DR750" s="1472"/>
      <c r="DS750" s="1472"/>
      <c r="DT750" s="257"/>
      <c r="DU750" s="1473">
        <f t="shared" si="26"/>
        <v>0</v>
      </c>
      <c r="DV750" s="1473"/>
      <c r="DW750" s="1473"/>
      <c r="DX750" s="1473"/>
      <c r="DY750" s="1473"/>
      <c r="DZ750" s="1473">
        <f t="shared" si="27"/>
        <v>0</v>
      </c>
      <c r="EA750" s="1473"/>
      <c r="EB750" s="1473"/>
      <c r="EC750" s="1473"/>
      <c r="ED750" s="1473"/>
      <c r="EE750" s="1473">
        <f t="shared" si="28"/>
        <v>0</v>
      </c>
      <c r="EF750" s="1473"/>
      <c r="EG750" s="1473"/>
      <c r="EH750" s="1473"/>
      <c r="EI750" s="1473"/>
      <c r="EJ750" s="1473">
        <f t="shared" si="29"/>
        <v>0</v>
      </c>
      <c r="EK750" s="1473"/>
      <c r="EL750" s="1473"/>
      <c r="EM750" s="1473"/>
      <c r="EN750" s="1473"/>
      <c r="EO750" s="1473">
        <f t="shared" si="30"/>
        <v>0</v>
      </c>
      <c r="EP750" s="1473"/>
      <c r="EQ750" s="1473"/>
      <c r="ER750" s="1473"/>
      <c r="ES750" s="1473"/>
      <c r="ET750" s="1473">
        <f t="shared" si="31"/>
        <v>0</v>
      </c>
      <c r="EU750" s="1473"/>
      <c r="EV750" s="1473"/>
      <c r="EW750" s="1473"/>
      <c r="EX750" s="1473"/>
      <c r="EZ750" s="1481" t="str">
        <f t="shared" si="32"/>
        <v/>
      </c>
      <c r="FA750" s="1482"/>
      <c r="FB750" s="1482"/>
      <c r="FC750" s="1482"/>
      <c r="FD750" s="1483"/>
      <c r="FE750" s="1481" t="str">
        <f t="shared" si="33"/>
        <v/>
      </c>
      <c r="FF750" s="1482"/>
      <c r="FG750" s="1482"/>
      <c r="FH750" s="1482"/>
      <c r="FI750" s="1483"/>
      <c r="FJ750" s="1481" t="str">
        <f t="shared" si="34"/>
        <v/>
      </c>
      <c r="FK750" s="1482"/>
      <c r="FL750" s="1482"/>
      <c r="FM750" s="1482"/>
      <c r="FN750" s="1483"/>
      <c r="FO750" s="1481" t="str">
        <f t="shared" si="35"/>
        <v/>
      </c>
      <c r="FP750" s="1482"/>
      <c r="FQ750" s="1482"/>
      <c r="FR750" s="1482"/>
      <c r="FS750" s="1483"/>
      <c r="FT750" s="1481" t="str">
        <f t="shared" si="36"/>
        <v/>
      </c>
      <c r="FU750" s="1482"/>
      <c r="FV750" s="1482"/>
      <c r="FW750" s="1482"/>
      <c r="FX750" s="1483"/>
      <c r="FY750" s="1481" t="str">
        <f t="shared" si="37"/>
        <v/>
      </c>
      <c r="FZ750" s="1482"/>
      <c r="GA750" s="1482"/>
      <c r="GB750" s="1482"/>
      <c r="GC750" s="1483"/>
    </row>
    <row r="751" spans="1:185" s="3" customFormat="1" ht="12.95" customHeight="1">
      <c r="A751"/>
      <c r="B751" s="1335"/>
      <c r="C751" s="1336"/>
      <c r="D751" s="1336"/>
      <c r="E751" s="1336"/>
      <c r="F751" s="1337"/>
      <c r="G751" s="1329"/>
      <c r="H751" s="1330"/>
      <c r="I751" s="1330"/>
      <c r="J751" s="1331"/>
      <c r="K751" s="1332"/>
      <c r="L751" s="1333"/>
      <c r="M751" s="1333"/>
      <c r="N751" s="1334"/>
      <c r="O751" s="1363"/>
      <c r="P751" s="1364"/>
      <c r="Q751" s="1364"/>
      <c r="R751" s="1364"/>
      <c r="S751" s="1365"/>
      <c r="T751" s="1363"/>
      <c r="U751" s="1364"/>
      <c r="V751" s="1364"/>
      <c r="W751" s="1365"/>
      <c r="X751" s="1366">
        <f t="shared" si="41"/>
        <v>0</v>
      </c>
      <c r="Y751" s="1367"/>
      <c r="Z751" s="1367"/>
      <c r="AA751" s="1367"/>
      <c r="AB751" s="1368"/>
      <c r="AC751" s="1369"/>
      <c r="AD751" s="1370"/>
      <c r="AE751" s="1370"/>
      <c r="AF751" s="1370"/>
      <c r="AG751" s="1371"/>
      <c r="AH751" s="1387" t="str">
        <f t="shared" si="38"/>
        <v/>
      </c>
      <c r="AI751" s="1388"/>
      <c r="AJ751" s="1389"/>
      <c r="AK751" s="1335" t="s">
        <v>822</v>
      </c>
      <c r="AL751" s="1336"/>
      <c r="AM751" s="1336"/>
      <c r="AN751" s="1336"/>
      <c r="AO751" s="1337"/>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81">
        <f t="shared" si="39"/>
        <v>0</v>
      </c>
      <c r="CH751" s="1483"/>
      <c r="CI751" s="1481">
        <f t="shared" si="40"/>
        <v>0</v>
      </c>
      <c r="CJ751" s="1483"/>
      <c r="CK751" s="1481">
        <f t="shared" si="18"/>
        <v>0</v>
      </c>
      <c r="CL751" s="1483"/>
      <c r="CM751" s="1481">
        <f t="shared" si="19"/>
        <v>0</v>
      </c>
      <c r="CN751" s="1483"/>
      <c r="CP751" s="1474">
        <f t="shared" si="20"/>
        <v>0</v>
      </c>
      <c r="CQ751" s="1475"/>
      <c r="CR751" s="1475"/>
      <c r="CS751" s="1475"/>
      <c r="CT751" s="1476"/>
      <c r="CU751" s="1472">
        <f t="shared" si="21"/>
        <v>0</v>
      </c>
      <c r="CV751" s="1472"/>
      <c r="CW751" s="1472"/>
      <c r="CX751" s="1472"/>
      <c r="CY751" s="1472"/>
      <c r="CZ751" s="1472">
        <f t="shared" si="22"/>
        <v>0</v>
      </c>
      <c r="DA751" s="1472"/>
      <c r="DB751" s="1472"/>
      <c r="DC751" s="1472"/>
      <c r="DD751" s="1472"/>
      <c r="DE751" s="1472">
        <f t="shared" si="23"/>
        <v>0</v>
      </c>
      <c r="DF751" s="1472"/>
      <c r="DG751" s="1472"/>
      <c r="DH751" s="1472"/>
      <c r="DI751" s="1472"/>
      <c r="DJ751" s="1472">
        <f t="shared" si="24"/>
        <v>0</v>
      </c>
      <c r="DK751" s="1472"/>
      <c r="DL751" s="1472"/>
      <c r="DM751" s="1472"/>
      <c r="DN751" s="1472"/>
      <c r="DO751" s="1472">
        <f t="shared" si="25"/>
        <v>0</v>
      </c>
      <c r="DP751" s="1472"/>
      <c r="DQ751" s="1472"/>
      <c r="DR751" s="1472"/>
      <c r="DS751" s="1472"/>
      <c r="DT751" s="257"/>
      <c r="DU751" s="1473">
        <f t="shared" si="26"/>
        <v>0</v>
      </c>
      <c r="DV751" s="1473"/>
      <c r="DW751" s="1473"/>
      <c r="DX751" s="1473"/>
      <c r="DY751" s="1473"/>
      <c r="DZ751" s="1473">
        <f t="shared" si="27"/>
        <v>0</v>
      </c>
      <c r="EA751" s="1473"/>
      <c r="EB751" s="1473"/>
      <c r="EC751" s="1473"/>
      <c r="ED751" s="1473"/>
      <c r="EE751" s="1473">
        <f t="shared" si="28"/>
        <v>0</v>
      </c>
      <c r="EF751" s="1473"/>
      <c r="EG751" s="1473"/>
      <c r="EH751" s="1473"/>
      <c r="EI751" s="1473"/>
      <c r="EJ751" s="1473">
        <f t="shared" si="29"/>
        <v>0</v>
      </c>
      <c r="EK751" s="1473"/>
      <c r="EL751" s="1473"/>
      <c r="EM751" s="1473"/>
      <c r="EN751" s="1473"/>
      <c r="EO751" s="1473">
        <f t="shared" si="30"/>
        <v>0</v>
      </c>
      <c r="EP751" s="1473"/>
      <c r="EQ751" s="1473"/>
      <c r="ER751" s="1473"/>
      <c r="ES751" s="1473"/>
      <c r="ET751" s="1473">
        <f t="shared" si="31"/>
        <v>0</v>
      </c>
      <c r="EU751" s="1473"/>
      <c r="EV751" s="1473"/>
      <c r="EW751" s="1473"/>
      <c r="EX751" s="1473"/>
      <c r="EY751"/>
      <c r="EZ751" s="1481" t="str">
        <f t="shared" si="32"/>
        <v/>
      </c>
      <c r="FA751" s="1482"/>
      <c r="FB751" s="1482"/>
      <c r="FC751" s="1482"/>
      <c r="FD751" s="1483"/>
      <c r="FE751" s="1481" t="str">
        <f t="shared" si="33"/>
        <v/>
      </c>
      <c r="FF751" s="1482"/>
      <c r="FG751" s="1482"/>
      <c r="FH751" s="1482"/>
      <c r="FI751" s="1483"/>
      <c r="FJ751" s="1481" t="str">
        <f t="shared" si="34"/>
        <v/>
      </c>
      <c r="FK751" s="1482"/>
      <c r="FL751" s="1482"/>
      <c r="FM751" s="1482"/>
      <c r="FN751" s="1483"/>
      <c r="FO751" s="1481" t="str">
        <f t="shared" si="35"/>
        <v/>
      </c>
      <c r="FP751" s="1482"/>
      <c r="FQ751" s="1482"/>
      <c r="FR751" s="1482"/>
      <c r="FS751" s="1483"/>
      <c r="FT751" s="1481" t="str">
        <f t="shared" si="36"/>
        <v/>
      </c>
      <c r="FU751" s="1482"/>
      <c r="FV751" s="1482"/>
      <c r="FW751" s="1482"/>
      <c r="FX751" s="1483"/>
      <c r="FY751" s="1481" t="str">
        <f t="shared" si="37"/>
        <v/>
      </c>
      <c r="FZ751" s="1482"/>
      <c r="GA751" s="1482"/>
      <c r="GB751" s="1482"/>
      <c r="GC751" s="1483"/>
    </row>
    <row r="752" spans="1:185" ht="12.95" customHeight="1">
      <c r="B752" s="1335"/>
      <c r="C752" s="1336"/>
      <c r="D752" s="1336"/>
      <c r="E752" s="1336"/>
      <c r="F752" s="1337"/>
      <c r="G752" s="1329"/>
      <c r="H752" s="1330"/>
      <c r="I752" s="1330"/>
      <c r="J752" s="1331"/>
      <c r="K752" s="1332"/>
      <c r="L752" s="1333"/>
      <c r="M752" s="1333"/>
      <c r="N752" s="1334"/>
      <c r="O752" s="1363"/>
      <c r="P752" s="1364"/>
      <c r="Q752" s="1364"/>
      <c r="R752" s="1364"/>
      <c r="S752" s="1365"/>
      <c r="T752" s="1363"/>
      <c r="U752" s="1364"/>
      <c r="V752" s="1364"/>
      <c r="W752" s="1365"/>
      <c r="X752" s="1366">
        <f t="shared" si="41"/>
        <v>0</v>
      </c>
      <c r="Y752" s="1367"/>
      <c r="Z752" s="1367"/>
      <c r="AA752" s="1367"/>
      <c r="AB752" s="1368"/>
      <c r="AC752" s="1369"/>
      <c r="AD752" s="1370"/>
      <c r="AE752" s="1370"/>
      <c r="AF752" s="1370"/>
      <c r="AG752" s="1371"/>
      <c r="AH752" s="1387" t="str">
        <f t="shared" si="38"/>
        <v/>
      </c>
      <c r="AI752" s="1388"/>
      <c r="AJ752" s="1389"/>
      <c r="AK752" s="1335" t="s">
        <v>822</v>
      </c>
      <c r="AL752" s="1336"/>
      <c r="AM752" s="1336"/>
      <c r="AN752" s="1336"/>
      <c r="AO752" s="1337"/>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81">
        <f t="shared" si="39"/>
        <v>0</v>
      </c>
      <c r="CH752" s="1483"/>
      <c r="CI752" s="1481">
        <f t="shared" si="40"/>
        <v>0</v>
      </c>
      <c r="CJ752" s="1483"/>
      <c r="CK752" s="1481">
        <f t="shared" si="18"/>
        <v>0</v>
      </c>
      <c r="CL752" s="1483"/>
      <c r="CM752" s="1481">
        <f t="shared" si="19"/>
        <v>0</v>
      </c>
      <c r="CN752" s="1483"/>
      <c r="CO752" s="3"/>
      <c r="CP752" s="1474">
        <f t="shared" si="20"/>
        <v>0</v>
      </c>
      <c r="CQ752" s="1475"/>
      <c r="CR752" s="1475"/>
      <c r="CS752" s="1475"/>
      <c r="CT752" s="1476"/>
      <c r="CU752" s="1472">
        <f t="shared" si="21"/>
        <v>0</v>
      </c>
      <c r="CV752" s="1472"/>
      <c r="CW752" s="1472"/>
      <c r="CX752" s="1472"/>
      <c r="CY752" s="1472"/>
      <c r="CZ752" s="1472">
        <f t="shared" si="22"/>
        <v>0</v>
      </c>
      <c r="DA752" s="1472"/>
      <c r="DB752" s="1472"/>
      <c r="DC752" s="1472"/>
      <c r="DD752" s="1472"/>
      <c r="DE752" s="1472">
        <f t="shared" si="23"/>
        <v>0</v>
      </c>
      <c r="DF752" s="1472"/>
      <c r="DG752" s="1472"/>
      <c r="DH752" s="1472"/>
      <c r="DI752" s="1472"/>
      <c r="DJ752" s="1472">
        <f t="shared" si="24"/>
        <v>0</v>
      </c>
      <c r="DK752" s="1472"/>
      <c r="DL752" s="1472"/>
      <c r="DM752" s="1472"/>
      <c r="DN752" s="1472"/>
      <c r="DO752" s="1472">
        <f t="shared" si="25"/>
        <v>0</v>
      </c>
      <c r="DP752" s="1472"/>
      <c r="DQ752" s="1472"/>
      <c r="DR752" s="1472"/>
      <c r="DS752" s="1472"/>
      <c r="DT752" s="257"/>
      <c r="DU752" s="1473">
        <f t="shared" si="26"/>
        <v>0</v>
      </c>
      <c r="DV752" s="1473"/>
      <c r="DW752" s="1473"/>
      <c r="DX752" s="1473"/>
      <c r="DY752" s="1473"/>
      <c r="DZ752" s="1473">
        <f t="shared" si="27"/>
        <v>0</v>
      </c>
      <c r="EA752" s="1473"/>
      <c r="EB752" s="1473"/>
      <c r="EC752" s="1473"/>
      <c r="ED752" s="1473"/>
      <c r="EE752" s="1473">
        <f t="shared" si="28"/>
        <v>0</v>
      </c>
      <c r="EF752" s="1473"/>
      <c r="EG752" s="1473"/>
      <c r="EH752" s="1473"/>
      <c r="EI752" s="1473"/>
      <c r="EJ752" s="1473">
        <f t="shared" si="29"/>
        <v>0</v>
      </c>
      <c r="EK752" s="1473"/>
      <c r="EL752" s="1473"/>
      <c r="EM752" s="1473"/>
      <c r="EN752" s="1473"/>
      <c r="EO752" s="1473">
        <f t="shared" si="30"/>
        <v>0</v>
      </c>
      <c r="EP752" s="1473"/>
      <c r="EQ752" s="1473"/>
      <c r="ER752" s="1473"/>
      <c r="ES752" s="1473"/>
      <c r="ET752" s="1473">
        <f t="shared" si="31"/>
        <v>0</v>
      </c>
      <c r="EU752" s="1473"/>
      <c r="EV752" s="1473"/>
      <c r="EW752" s="1473"/>
      <c r="EX752" s="1473"/>
      <c r="EZ752" s="1481" t="str">
        <f t="shared" si="32"/>
        <v/>
      </c>
      <c r="FA752" s="1482"/>
      <c r="FB752" s="1482"/>
      <c r="FC752" s="1482"/>
      <c r="FD752" s="1483"/>
      <c r="FE752" s="1481" t="str">
        <f t="shared" si="33"/>
        <v/>
      </c>
      <c r="FF752" s="1482"/>
      <c r="FG752" s="1482"/>
      <c r="FH752" s="1482"/>
      <c r="FI752" s="1483"/>
      <c r="FJ752" s="1481" t="str">
        <f t="shared" si="34"/>
        <v/>
      </c>
      <c r="FK752" s="1482"/>
      <c r="FL752" s="1482"/>
      <c r="FM752" s="1482"/>
      <c r="FN752" s="1483"/>
      <c r="FO752" s="1481" t="str">
        <f t="shared" si="35"/>
        <v/>
      </c>
      <c r="FP752" s="1482"/>
      <c r="FQ752" s="1482"/>
      <c r="FR752" s="1482"/>
      <c r="FS752" s="1483"/>
      <c r="FT752" s="1481" t="str">
        <f t="shared" si="36"/>
        <v/>
      </c>
      <c r="FU752" s="1482"/>
      <c r="FV752" s="1482"/>
      <c r="FW752" s="1482"/>
      <c r="FX752" s="1483"/>
      <c r="FY752" s="1481" t="str">
        <f t="shared" si="37"/>
        <v/>
      </c>
      <c r="FZ752" s="1482"/>
      <c r="GA752" s="1482"/>
      <c r="GB752" s="1482"/>
      <c r="GC752" s="1483"/>
    </row>
    <row r="753" spans="1:185" ht="12.95" customHeight="1">
      <c r="B753" s="1335"/>
      <c r="C753" s="1336"/>
      <c r="D753" s="1336"/>
      <c r="E753" s="1336"/>
      <c r="F753" s="1337"/>
      <c r="G753" s="1329"/>
      <c r="H753" s="1330"/>
      <c r="I753" s="1330"/>
      <c r="J753" s="1331"/>
      <c r="K753" s="1332"/>
      <c r="L753" s="1333"/>
      <c r="M753" s="1333"/>
      <c r="N753" s="1334"/>
      <c r="O753" s="1363"/>
      <c r="P753" s="1364"/>
      <c r="Q753" s="1364"/>
      <c r="R753" s="1364"/>
      <c r="S753" s="1365"/>
      <c r="T753" s="1363"/>
      <c r="U753" s="1364"/>
      <c r="V753" s="1364"/>
      <c r="W753" s="1365"/>
      <c r="X753" s="1366">
        <f t="shared" si="41"/>
        <v>0</v>
      </c>
      <c r="Y753" s="1367"/>
      <c r="Z753" s="1367"/>
      <c r="AA753" s="1367"/>
      <c r="AB753" s="1368"/>
      <c r="AC753" s="1369"/>
      <c r="AD753" s="1370"/>
      <c r="AE753" s="1370"/>
      <c r="AF753" s="1370"/>
      <c r="AG753" s="1371"/>
      <c r="AH753" s="1387" t="str">
        <f t="shared" si="38"/>
        <v/>
      </c>
      <c r="AI753" s="1388"/>
      <c r="AJ753" s="1389"/>
      <c r="AK753" s="1335" t="s">
        <v>822</v>
      </c>
      <c r="AL753" s="1336"/>
      <c r="AM753" s="1336"/>
      <c r="AN753" s="1336"/>
      <c r="AO753" s="1337"/>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81">
        <f t="shared" si="39"/>
        <v>0</v>
      </c>
      <c r="CH753" s="1483"/>
      <c r="CI753" s="1481">
        <f t="shared" si="40"/>
        <v>0</v>
      </c>
      <c r="CJ753" s="1483"/>
      <c r="CK753" s="1481">
        <f t="shared" si="18"/>
        <v>0</v>
      </c>
      <c r="CL753" s="1483"/>
      <c r="CM753" s="1481">
        <f t="shared" si="19"/>
        <v>0</v>
      </c>
      <c r="CN753" s="1483"/>
      <c r="CO753" s="3"/>
      <c r="CP753" s="1474">
        <f t="shared" si="20"/>
        <v>0</v>
      </c>
      <c r="CQ753" s="1475"/>
      <c r="CR753" s="1475"/>
      <c r="CS753" s="1475"/>
      <c r="CT753" s="1476"/>
      <c r="CU753" s="1472">
        <f t="shared" si="21"/>
        <v>0</v>
      </c>
      <c r="CV753" s="1472"/>
      <c r="CW753" s="1472"/>
      <c r="CX753" s="1472"/>
      <c r="CY753" s="1472"/>
      <c r="CZ753" s="1472">
        <f t="shared" si="22"/>
        <v>0</v>
      </c>
      <c r="DA753" s="1472"/>
      <c r="DB753" s="1472"/>
      <c r="DC753" s="1472"/>
      <c r="DD753" s="1472"/>
      <c r="DE753" s="1472">
        <f t="shared" si="23"/>
        <v>0</v>
      </c>
      <c r="DF753" s="1472"/>
      <c r="DG753" s="1472"/>
      <c r="DH753" s="1472"/>
      <c r="DI753" s="1472"/>
      <c r="DJ753" s="1472">
        <f t="shared" si="24"/>
        <v>0</v>
      </c>
      <c r="DK753" s="1472"/>
      <c r="DL753" s="1472"/>
      <c r="DM753" s="1472"/>
      <c r="DN753" s="1472"/>
      <c r="DO753" s="1472">
        <f t="shared" si="25"/>
        <v>0</v>
      </c>
      <c r="DP753" s="1472"/>
      <c r="DQ753" s="1472"/>
      <c r="DR753" s="1472"/>
      <c r="DS753" s="1472"/>
      <c r="DT753" s="257"/>
      <c r="DU753" s="1473">
        <f t="shared" si="26"/>
        <v>0</v>
      </c>
      <c r="DV753" s="1473"/>
      <c r="DW753" s="1473"/>
      <c r="DX753" s="1473"/>
      <c r="DY753" s="1473"/>
      <c r="DZ753" s="1473">
        <f t="shared" si="27"/>
        <v>0</v>
      </c>
      <c r="EA753" s="1473"/>
      <c r="EB753" s="1473"/>
      <c r="EC753" s="1473"/>
      <c r="ED753" s="1473"/>
      <c r="EE753" s="1473">
        <f t="shared" si="28"/>
        <v>0</v>
      </c>
      <c r="EF753" s="1473"/>
      <c r="EG753" s="1473"/>
      <c r="EH753" s="1473"/>
      <c r="EI753" s="1473"/>
      <c r="EJ753" s="1473">
        <f t="shared" si="29"/>
        <v>0</v>
      </c>
      <c r="EK753" s="1473"/>
      <c r="EL753" s="1473"/>
      <c r="EM753" s="1473"/>
      <c r="EN753" s="1473"/>
      <c r="EO753" s="1473">
        <f t="shared" si="30"/>
        <v>0</v>
      </c>
      <c r="EP753" s="1473"/>
      <c r="EQ753" s="1473"/>
      <c r="ER753" s="1473"/>
      <c r="ES753" s="1473"/>
      <c r="ET753" s="1473">
        <f t="shared" si="31"/>
        <v>0</v>
      </c>
      <c r="EU753" s="1473"/>
      <c r="EV753" s="1473"/>
      <c r="EW753" s="1473"/>
      <c r="EX753" s="1473"/>
      <c r="EZ753" s="1481" t="str">
        <f t="shared" si="32"/>
        <v/>
      </c>
      <c r="FA753" s="1482"/>
      <c r="FB753" s="1482"/>
      <c r="FC753" s="1482"/>
      <c r="FD753" s="1483"/>
      <c r="FE753" s="1481" t="str">
        <f t="shared" si="33"/>
        <v/>
      </c>
      <c r="FF753" s="1482"/>
      <c r="FG753" s="1482"/>
      <c r="FH753" s="1482"/>
      <c r="FI753" s="1483"/>
      <c r="FJ753" s="1481" t="str">
        <f t="shared" si="34"/>
        <v/>
      </c>
      <c r="FK753" s="1482"/>
      <c r="FL753" s="1482"/>
      <c r="FM753" s="1482"/>
      <c r="FN753" s="1483"/>
      <c r="FO753" s="1481" t="str">
        <f t="shared" si="35"/>
        <v/>
      </c>
      <c r="FP753" s="1482"/>
      <c r="FQ753" s="1482"/>
      <c r="FR753" s="1482"/>
      <c r="FS753" s="1483"/>
      <c r="FT753" s="1481" t="str">
        <f t="shared" si="36"/>
        <v/>
      </c>
      <c r="FU753" s="1482"/>
      <c r="FV753" s="1482"/>
      <c r="FW753" s="1482"/>
      <c r="FX753" s="1483"/>
      <c r="FY753" s="1481" t="str">
        <f t="shared" si="37"/>
        <v/>
      </c>
      <c r="FZ753" s="1482"/>
      <c r="GA753" s="1482"/>
      <c r="GB753" s="1482"/>
      <c r="GC753" s="1483"/>
    </row>
    <row r="754" spans="1:185" ht="12.95" customHeight="1">
      <c r="B754" s="1335"/>
      <c r="C754" s="1336"/>
      <c r="D754" s="1336"/>
      <c r="E754" s="1336"/>
      <c r="F754" s="1337"/>
      <c r="G754" s="1329"/>
      <c r="H754" s="1330"/>
      <c r="I754" s="1330"/>
      <c r="J754" s="1331"/>
      <c r="K754" s="1332"/>
      <c r="L754" s="1333"/>
      <c r="M754" s="1333"/>
      <c r="N754" s="1334"/>
      <c r="O754" s="1363"/>
      <c r="P754" s="1364"/>
      <c r="Q754" s="1364"/>
      <c r="R754" s="1364"/>
      <c r="S754" s="1365"/>
      <c r="T754" s="1363"/>
      <c r="U754" s="1364"/>
      <c r="V754" s="1364"/>
      <c r="W754" s="1365"/>
      <c r="X754" s="1366">
        <f t="shared" si="41"/>
        <v>0</v>
      </c>
      <c r="Y754" s="1367"/>
      <c r="Z754" s="1367"/>
      <c r="AA754" s="1367"/>
      <c r="AB754" s="1368"/>
      <c r="AC754" s="1369"/>
      <c r="AD754" s="1370"/>
      <c r="AE754" s="1370"/>
      <c r="AF754" s="1370"/>
      <c r="AG754" s="1371"/>
      <c r="AH754" s="1387" t="str">
        <f t="shared" si="38"/>
        <v/>
      </c>
      <c r="AI754" s="1388"/>
      <c r="AJ754" s="1389"/>
      <c r="AK754" s="1335" t="s">
        <v>822</v>
      </c>
      <c r="AL754" s="1336"/>
      <c r="AM754" s="1336"/>
      <c r="AN754" s="1336"/>
      <c r="AO754" s="1337"/>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81">
        <f t="shared" si="39"/>
        <v>0</v>
      </c>
      <c r="CH754" s="1483"/>
      <c r="CI754" s="1481">
        <f t="shared" si="40"/>
        <v>0</v>
      </c>
      <c r="CJ754" s="1483"/>
      <c r="CK754" s="1481">
        <f t="shared" si="18"/>
        <v>0</v>
      </c>
      <c r="CL754" s="1483"/>
      <c r="CM754" s="1481">
        <f t="shared" si="19"/>
        <v>0</v>
      </c>
      <c r="CN754" s="1483"/>
      <c r="CO754" s="3"/>
      <c r="CP754" s="1474">
        <f t="shared" si="20"/>
        <v>0</v>
      </c>
      <c r="CQ754" s="1475"/>
      <c r="CR754" s="1475"/>
      <c r="CS754" s="1475"/>
      <c r="CT754" s="1476"/>
      <c r="CU754" s="1472">
        <f t="shared" si="21"/>
        <v>0</v>
      </c>
      <c r="CV754" s="1472"/>
      <c r="CW754" s="1472"/>
      <c r="CX754" s="1472"/>
      <c r="CY754" s="1472"/>
      <c r="CZ754" s="1472">
        <f t="shared" si="22"/>
        <v>0</v>
      </c>
      <c r="DA754" s="1472"/>
      <c r="DB754" s="1472"/>
      <c r="DC754" s="1472"/>
      <c r="DD754" s="1472"/>
      <c r="DE754" s="1472">
        <f t="shared" si="23"/>
        <v>0</v>
      </c>
      <c r="DF754" s="1472"/>
      <c r="DG754" s="1472"/>
      <c r="DH754" s="1472"/>
      <c r="DI754" s="1472"/>
      <c r="DJ754" s="1472">
        <f t="shared" si="24"/>
        <v>0</v>
      </c>
      <c r="DK754" s="1472"/>
      <c r="DL754" s="1472"/>
      <c r="DM754" s="1472"/>
      <c r="DN754" s="1472"/>
      <c r="DO754" s="1472">
        <f t="shared" si="25"/>
        <v>0</v>
      </c>
      <c r="DP754" s="1472"/>
      <c r="DQ754" s="1472"/>
      <c r="DR754" s="1472"/>
      <c r="DS754" s="1472"/>
      <c r="DT754" s="257"/>
      <c r="DU754" s="1473">
        <f t="shared" si="26"/>
        <v>0</v>
      </c>
      <c r="DV754" s="1473"/>
      <c r="DW754" s="1473"/>
      <c r="DX754" s="1473"/>
      <c r="DY754" s="1473"/>
      <c r="DZ754" s="1473">
        <f t="shared" si="27"/>
        <v>0</v>
      </c>
      <c r="EA754" s="1473"/>
      <c r="EB754" s="1473"/>
      <c r="EC754" s="1473"/>
      <c r="ED754" s="1473"/>
      <c r="EE754" s="1473">
        <f t="shared" si="28"/>
        <v>0</v>
      </c>
      <c r="EF754" s="1473"/>
      <c r="EG754" s="1473"/>
      <c r="EH754" s="1473"/>
      <c r="EI754" s="1473"/>
      <c r="EJ754" s="1473">
        <f t="shared" si="29"/>
        <v>0</v>
      </c>
      <c r="EK754" s="1473"/>
      <c r="EL754" s="1473"/>
      <c r="EM754" s="1473"/>
      <c r="EN754" s="1473"/>
      <c r="EO754" s="1473">
        <f t="shared" si="30"/>
        <v>0</v>
      </c>
      <c r="EP754" s="1473"/>
      <c r="EQ754" s="1473"/>
      <c r="ER754" s="1473"/>
      <c r="ES754" s="1473"/>
      <c r="ET754" s="1473">
        <f t="shared" si="31"/>
        <v>0</v>
      </c>
      <c r="EU754" s="1473"/>
      <c r="EV754" s="1473"/>
      <c r="EW754" s="1473"/>
      <c r="EX754" s="1473"/>
      <c r="EZ754" s="1481" t="str">
        <f t="shared" si="32"/>
        <v/>
      </c>
      <c r="FA754" s="1482"/>
      <c r="FB754" s="1482"/>
      <c r="FC754" s="1482"/>
      <c r="FD754" s="1483"/>
      <c r="FE754" s="1481" t="str">
        <f t="shared" si="33"/>
        <v/>
      </c>
      <c r="FF754" s="1482"/>
      <c r="FG754" s="1482"/>
      <c r="FH754" s="1482"/>
      <c r="FI754" s="1483"/>
      <c r="FJ754" s="1481" t="str">
        <f t="shared" si="34"/>
        <v/>
      </c>
      <c r="FK754" s="1482"/>
      <c r="FL754" s="1482"/>
      <c r="FM754" s="1482"/>
      <c r="FN754" s="1483"/>
      <c r="FO754" s="1481" t="str">
        <f t="shared" si="35"/>
        <v/>
      </c>
      <c r="FP754" s="1482"/>
      <c r="FQ754" s="1482"/>
      <c r="FR754" s="1482"/>
      <c r="FS754" s="1483"/>
      <c r="FT754" s="1481" t="str">
        <f t="shared" si="36"/>
        <v/>
      </c>
      <c r="FU754" s="1482"/>
      <c r="FV754" s="1482"/>
      <c r="FW754" s="1482"/>
      <c r="FX754" s="1483"/>
      <c r="FY754" s="1481" t="str">
        <f t="shared" si="37"/>
        <v/>
      </c>
      <c r="FZ754" s="1482"/>
      <c r="GA754" s="1482"/>
      <c r="GB754" s="1482"/>
      <c r="GC754" s="1483"/>
    </row>
    <row r="755" spans="1:185" ht="12.95" customHeight="1">
      <c r="B755" s="1335"/>
      <c r="C755" s="1336"/>
      <c r="D755" s="1336"/>
      <c r="E755" s="1336"/>
      <c r="F755" s="1337"/>
      <c r="G755" s="1329"/>
      <c r="H755" s="1330"/>
      <c r="I755" s="1330"/>
      <c r="J755" s="1331"/>
      <c r="K755" s="1332"/>
      <c r="L755" s="1333"/>
      <c r="M755" s="1333"/>
      <c r="N755" s="1334"/>
      <c r="O755" s="1363"/>
      <c r="P755" s="1364"/>
      <c r="Q755" s="1364"/>
      <c r="R755" s="1364"/>
      <c r="S755" s="1365"/>
      <c r="T755" s="1363"/>
      <c r="U755" s="1364"/>
      <c r="V755" s="1364"/>
      <c r="W755" s="1365"/>
      <c r="X755" s="1366">
        <f t="shared" si="41"/>
        <v>0</v>
      </c>
      <c r="Y755" s="1367"/>
      <c r="Z755" s="1367"/>
      <c r="AA755" s="1367"/>
      <c r="AB755" s="1368"/>
      <c r="AC755" s="1369"/>
      <c r="AD755" s="1370"/>
      <c r="AE755" s="1370"/>
      <c r="AF755" s="1370"/>
      <c r="AG755" s="1371"/>
      <c r="AH755" s="1387" t="str">
        <f t="shared" si="38"/>
        <v/>
      </c>
      <c r="AI755" s="1388"/>
      <c r="AJ755" s="1389"/>
      <c r="AK755" s="1335" t="s">
        <v>822</v>
      </c>
      <c r="AL755" s="1336"/>
      <c r="AM755" s="1336"/>
      <c r="AN755" s="1336"/>
      <c r="AO755" s="1337"/>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81">
        <f t="shared" si="39"/>
        <v>0</v>
      </c>
      <c r="CH755" s="1483"/>
      <c r="CI755" s="1481">
        <f t="shared" si="40"/>
        <v>0</v>
      </c>
      <c r="CJ755" s="1483"/>
      <c r="CK755" s="1481">
        <f t="shared" si="18"/>
        <v>0</v>
      </c>
      <c r="CL755" s="1483"/>
      <c r="CM755" s="1481">
        <f t="shared" si="19"/>
        <v>0</v>
      </c>
      <c r="CN755" s="1483"/>
      <c r="CO755" s="3"/>
      <c r="CP755" s="1474">
        <f t="shared" si="20"/>
        <v>0</v>
      </c>
      <c r="CQ755" s="1475"/>
      <c r="CR755" s="1475"/>
      <c r="CS755" s="1475"/>
      <c r="CT755" s="1476"/>
      <c r="CU755" s="1472">
        <f t="shared" si="21"/>
        <v>0</v>
      </c>
      <c r="CV755" s="1472"/>
      <c r="CW755" s="1472"/>
      <c r="CX755" s="1472"/>
      <c r="CY755" s="1472"/>
      <c r="CZ755" s="1472">
        <f t="shared" si="22"/>
        <v>0</v>
      </c>
      <c r="DA755" s="1472"/>
      <c r="DB755" s="1472"/>
      <c r="DC755" s="1472"/>
      <c r="DD755" s="1472"/>
      <c r="DE755" s="1472">
        <f t="shared" si="23"/>
        <v>0</v>
      </c>
      <c r="DF755" s="1472"/>
      <c r="DG755" s="1472"/>
      <c r="DH755" s="1472"/>
      <c r="DI755" s="1472"/>
      <c r="DJ755" s="1472">
        <f t="shared" si="24"/>
        <v>0</v>
      </c>
      <c r="DK755" s="1472"/>
      <c r="DL755" s="1472"/>
      <c r="DM755" s="1472"/>
      <c r="DN755" s="1472"/>
      <c r="DO755" s="1472">
        <f t="shared" si="25"/>
        <v>0</v>
      </c>
      <c r="DP755" s="1472"/>
      <c r="DQ755" s="1472"/>
      <c r="DR755" s="1472"/>
      <c r="DS755" s="1472"/>
      <c r="DT755" s="257"/>
      <c r="DU755" s="1473">
        <f t="shared" si="26"/>
        <v>0</v>
      </c>
      <c r="DV755" s="1473"/>
      <c r="DW755" s="1473"/>
      <c r="DX755" s="1473"/>
      <c r="DY755" s="1473"/>
      <c r="DZ755" s="1473">
        <f t="shared" si="27"/>
        <v>0</v>
      </c>
      <c r="EA755" s="1473"/>
      <c r="EB755" s="1473"/>
      <c r="EC755" s="1473"/>
      <c r="ED755" s="1473"/>
      <c r="EE755" s="1473">
        <f t="shared" si="28"/>
        <v>0</v>
      </c>
      <c r="EF755" s="1473"/>
      <c r="EG755" s="1473"/>
      <c r="EH755" s="1473"/>
      <c r="EI755" s="1473"/>
      <c r="EJ755" s="1473">
        <f t="shared" si="29"/>
        <v>0</v>
      </c>
      <c r="EK755" s="1473"/>
      <c r="EL755" s="1473"/>
      <c r="EM755" s="1473"/>
      <c r="EN755" s="1473"/>
      <c r="EO755" s="1473">
        <f t="shared" si="30"/>
        <v>0</v>
      </c>
      <c r="EP755" s="1473"/>
      <c r="EQ755" s="1473"/>
      <c r="ER755" s="1473"/>
      <c r="ES755" s="1473"/>
      <c r="ET755" s="1473">
        <f t="shared" si="31"/>
        <v>0</v>
      </c>
      <c r="EU755" s="1473"/>
      <c r="EV755" s="1473"/>
      <c r="EW755" s="1473"/>
      <c r="EX755" s="1473"/>
      <c r="EZ755" s="1481" t="str">
        <f t="shared" si="32"/>
        <v/>
      </c>
      <c r="FA755" s="1482"/>
      <c r="FB755" s="1482"/>
      <c r="FC755" s="1482"/>
      <c r="FD755" s="1483"/>
      <c r="FE755" s="1481" t="str">
        <f t="shared" si="33"/>
        <v/>
      </c>
      <c r="FF755" s="1482"/>
      <c r="FG755" s="1482"/>
      <c r="FH755" s="1482"/>
      <c r="FI755" s="1483"/>
      <c r="FJ755" s="1481" t="str">
        <f t="shared" si="34"/>
        <v/>
      </c>
      <c r="FK755" s="1482"/>
      <c r="FL755" s="1482"/>
      <c r="FM755" s="1482"/>
      <c r="FN755" s="1483"/>
      <c r="FO755" s="1481" t="str">
        <f t="shared" si="35"/>
        <v/>
      </c>
      <c r="FP755" s="1482"/>
      <c r="FQ755" s="1482"/>
      <c r="FR755" s="1482"/>
      <c r="FS755" s="1483"/>
      <c r="FT755" s="1481" t="str">
        <f t="shared" si="36"/>
        <v/>
      </c>
      <c r="FU755" s="1482"/>
      <c r="FV755" s="1482"/>
      <c r="FW755" s="1482"/>
      <c r="FX755" s="1483"/>
      <c r="FY755" s="1481" t="str">
        <f t="shared" si="37"/>
        <v/>
      </c>
      <c r="FZ755" s="1482"/>
      <c r="GA755" s="1482"/>
      <c r="GB755" s="1482"/>
      <c r="GC755" s="1483"/>
    </row>
    <row r="756" spans="1:185" s="3" customFormat="1" ht="12.95" customHeight="1">
      <c r="A756"/>
      <c r="B756" s="1335"/>
      <c r="C756" s="1336"/>
      <c r="D756" s="1336"/>
      <c r="E756" s="1336"/>
      <c r="F756" s="1337"/>
      <c r="G756" s="1329"/>
      <c r="H756" s="1330"/>
      <c r="I756" s="1330"/>
      <c r="J756" s="1331"/>
      <c r="K756" s="1332"/>
      <c r="L756" s="1333"/>
      <c r="M756" s="1333"/>
      <c r="N756" s="1334"/>
      <c r="O756" s="1363"/>
      <c r="P756" s="1364"/>
      <c r="Q756" s="1364"/>
      <c r="R756" s="1364"/>
      <c r="S756" s="1365"/>
      <c r="T756" s="1363"/>
      <c r="U756" s="1364"/>
      <c r="V756" s="1364"/>
      <c r="W756" s="1365"/>
      <c r="X756" s="1366">
        <f t="shared" si="41"/>
        <v>0</v>
      </c>
      <c r="Y756" s="1367"/>
      <c r="Z756" s="1367"/>
      <c r="AA756" s="1367"/>
      <c r="AB756" s="1368"/>
      <c r="AC756" s="1369"/>
      <c r="AD756" s="1370"/>
      <c r="AE756" s="1370"/>
      <c r="AF756" s="1370"/>
      <c r="AG756" s="1371"/>
      <c r="AH756" s="1387" t="str">
        <f t="shared" si="38"/>
        <v/>
      </c>
      <c r="AI756" s="1388"/>
      <c r="AJ756" s="1389"/>
      <c r="AK756" s="1335" t="s">
        <v>822</v>
      </c>
      <c r="AL756" s="1336"/>
      <c r="AM756" s="1336"/>
      <c r="AN756" s="1336"/>
      <c r="AO756" s="1337"/>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81">
        <f t="shared" si="39"/>
        <v>0</v>
      </c>
      <c r="CH756" s="1483"/>
      <c r="CI756" s="1481">
        <f t="shared" si="40"/>
        <v>0</v>
      </c>
      <c r="CJ756" s="1483"/>
      <c r="CK756" s="1481">
        <f t="shared" si="18"/>
        <v>0</v>
      </c>
      <c r="CL756" s="1483"/>
      <c r="CM756" s="1481">
        <f t="shared" si="19"/>
        <v>0</v>
      </c>
      <c r="CN756" s="1483"/>
      <c r="CP756" s="1474">
        <f t="shared" si="20"/>
        <v>0</v>
      </c>
      <c r="CQ756" s="1475"/>
      <c r="CR756" s="1475"/>
      <c r="CS756" s="1475"/>
      <c r="CT756" s="1476"/>
      <c r="CU756" s="1472">
        <f t="shared" si="21"/>
        <v>0</v>
      </c>
      <c r="CV756" s="1472"/>
      <c r="CW756" s="1472"/>
      <c r="CX756" s="1472"/>
      <c r="CY756" s="1472"/>
      <c r="CZ756" s="1472">
        <f t="shared" si="22"/>
        <v>0</v>
      </c>
      <c r="DA756" s="1472"/>
      <c r="DB756" s="1472"/>
      <c r="DC756" s="1472"/>
      <c r="DD756" s="1472"/>
      <c r="DE756" s="1472">
        <f t="shared" si="23"/>
        <v>0</v>
      </c>
      <c r="DF756" s="1472"/>
      <c r="DG756" s="1472"/>
      <c r="DH756" s="1472"/>
      <c r="DI756" s="1472"/>
      <c r="DJ756" s="1472">
        <f t="shared" si="24"/>
        <v>0</v>
      </c>
      <c r="DK756" s="1472"/>
      <c r="DL756" s="1472"/>
      <c r="DM756" s="1472"/>
      <c r="DN756" s="1472"/>
      <c r="DO756" s="1472">
        <f t="shared" si="25"/>
        <v>0</v>
      </c>
      <c r="DP756" s="1472"/>
      <c r="DQ756" s="1472"/>
      <c r="DR756" s="1472"/>
      <c r="DS756" s="1472"/>
      <c r="DT756" s="257"/>
      <c r="DU756" s="1473">
        <f t="shared" si="26"/>
        <v>0</v>
      </c>
      <c r="DV756" s="1473"/>
      <c r="DW756" s="1473"/>
      <c r="DX756" s="1473"/>
      <c r="DY756" s="1473"/>
      <c r="DZ756" s="1473">
        <f t="shared" si="27"/>
        <v>0</v>
      </c>
      <c r="EA756" s="1473"/>
      <c r="EB756" s="1473"/>
      <c r="EC756" s="1473"/>
      <c r="ED756" s="1473"/>
      <c r="EE756" s="1473">
        <f t="shared" si="28"/>
        <v>0</v>
      </c>
      <c r="EF756" s="1473"/>
      <c r="EG756" s="1473"/>
      <c r="EH756" s="1473"/>
      <c r="EI756" s="1473"/>
      <c r="EJ756" s="1473">
        <f t="shared" si="29"/>
        <v>0</v>
      </c>
      <c r="EK756" s="1473"/>
      <c r="EL756" s="1473"/>
      <c r="EM756" s="1473"/>
      <c r="EN756" s="1473"/>
      <c r="EO756" s="1473">
        <f t="shared" si="30"/>
        <v>0</v>
      </c>
      <c r="EP756" s="1473"/>
      <c r="EQ756" s="1473"/>
      <c r="ER756" s="1473"/>
      <c r="ES756" s="1473"/>
      <c r="ET756" s="1473">
        <f t="shared" si="31"/>
        <v>0</v>
      </c>
      <c r="EU756" s="1473"/>
      <c r="EV756" s="1473"/>
      <c r="EW756" s="1473"/>
      <c r="EX756" s="1473"/>
      <c r="EY756"/>
      <c r="EZ756" s="1481" t="str">
        <f t="shared" si="32"/>
        <v/>
      </c>
      <c r="FA756" s="1482"/>
      <c r="FB756" s="1482"/>
      <c r="FC756" s="1482"/>
      <c r="FD756" s="1483"/>
      <c r="FE756" s="1481" t="str">
        <f t="shared" si="33"/>
        <v/>
      </c>
      <c r="FF756" s="1482"/>
      <c r="FG756" s="1482"/>
      <c r="FH756" s="1482"/>
      <c r="FI756" s="1483"/>
      <c r="FJ756" s="1481" t="str">
        <f t="shared" si="34"/>
        <v/>
      </c>
      <c r="FK756" s="1482"/>
      <c r="FL756" s="1482"/>
      <c r="FM756" s="1482"/>
      <c r="FN756" s="1483"/>
      <c r="FO756" s="1481" t="str">
        <f t="shared" si="35"/>
        <v/>
      </c>
      <c r="FP756" s="1482"/>
      <c r="FQ756" s="1482"/>
      <c r="FR756" s="1482"/>
      <c r="FS756" s="1483"/>
      <c r="FT756" s="1481" t="str">
        <f t="shared" si="36"/>
        <v/>
      </c>
      <c r="FU756" s="1482"/>
      <c r="FV756" s="1482"/>
      <c r="FW756" s="1482"/>
      <c r="FX756" s="1483"/>
      <c r="FY756" s="1481" t="str">
        <f t="shared" si="37"/>
        <v/>
      </c>
      <c r="FZ756" s="1482"/>
      <c r="GA756" s="1482"/>
      <c r="GB756" s="1482"/>
      <c r="GC756" s="1483"/>
    </row>
    <row r="757" spans="1:185" s="3" customFormat="1" ht="12.95" customHeight="1">
      <c r="A757"/>
      <c r="B757" s="1335"/>
      <c r="C757" s="1336"/>
      <c r="D757" s="1336"/>
      <c r="E757" s="1336"/>
      <c r="F757" s="1337"/>
      <c r="G757" s="1329"/>
      <c r="H757" s="1330"/>
      <c r="I757" s="1330"/>
      <c r="J757" s="1331"/>
      <c r="K757" s="1332"/>
      <c r="L757" s="1333"/>
      <c r="M757" s="1333"/>
      <c r="N757" s="1334"/>
      <c r="O757" s="1363"/>
      <c r="P757" s="1364"/>
      <c r="Q757" s="1364"/>
      <c r="R757" s="1364"/>
      <c r="S757" s="1365"/>
      <c r="T757" s="1363"/>
      <c r="U757" s="1364"/>
      <c r="V757" s="1364"/>
      <c r="W757" s="1365"/>
      <c r="X757" s="1366">
        <f t="shared" si="41"/>
        <v>0</v>
      </c>
      <c r="Y757" s="1367"/>
      <c r="Z757" s="1367"/>
      <c r="AA757" s="1367"/>
      <c r="AB757" s="1368"/>
      <c r="AC757" s="1369"/>
      <c r="AD757" s="1370"/>
      <c r="AE757" s="1370"/>
      <c r="AF757" s="1370"/>
      <c r="AG757" s="1371"/>
      <c r="AH757" s="1387" t="str">
        <f t="shared" si="38"/>
        <v/>
      </c>
      <c r="AI757" s="1388"/>
      <c r="AJ757" s="1389"/>
      <c r="AK757" s="1335" t="s">
        <v>822</v>
      </c>
      <c r="AL757" s="1336"/>
      <c r="AM757" s="1336"/>
      <c r="AN757" s="1336"/>
      <c r="AO757" s="1337"/>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81">
        <f t="shared" si="39"/>
        <v>0</v>
      </c>
      <c r="CH757" s="1483"/>
      <c r="CI757" s="1481">
        <f t="shared" si="40"/>
        <v>0</v>
      </c>
      <c r="CJ757" s="1483"/>
      <c r="CK757" s="1481">
        <f t="shared" si="18"/>
        <v>0</v>
      </c>
      <c r="CL757" s="1483"/>
      <c r="CM757" s="1481">
        <f t="shared" si="19"/>
        <v>0</v>
      </c>
      <c r="CN757" s="1483"/>
      <c r="CP757" s="1474">
        <f t="shared" si="20"/>
        <v>0</v>
      </c>
      <c r="CQ757" s="1475"/>
      <c r="CR757" s="1475"/>
      <c r="CS757" s="1475"/>
      <c r="CT757" s="1476"/>
      <c r="CU757" s="1472">
        <f t="shared" si="21"/>
        <v>0</v>
      </c>
      <c r="CV757" s="1472"/>
      <c r="CW757" s="1472"/>
      <c r="CX757" s="1472"/>
      <c r="CY757" s="1472"/>
      <c r="CZ757" s="1472">
        <f t="shared" si="22"/>
        <v>0</v>
      </c>
      <c r="DA757" s="1472"/>
      <c r="DB757" s="1472"/>
      <c r="DC757" s="1472"/>
      <c r="DD757" s="1472"/>
      <c r="DE757" s="1472">
        <f t="shared" si="23"/>
        <v>0</v>
      </c>
      <c r="DF757" s="1472"/>
      <c r="DG757" s="1472"/>
      <c r="DH757" s="1472"/>
      <c r="DI757" s="1472"/>
      <c r="DJ757" s="1472">
        <f t="shared" si="24"/>
        <v>0</v>
      </c>
      <c r="DK757" s="1472"/>
      <c r="DL757" s="1472"/>
      <c r="DM757" s="1472"/>
      <c r="DN757" s="1472"/>
      <c r="DO757" s="1472">
        <f t="shared" si="25"/>
        <v>0</v>
      </c>
      <c r="DP757" s="1472"/>
      <c r="DQ757" s="1472"/>
      <c r="DR757" s="1472"/>
      <c r="DS757" s="1472"/>
      <c r="DT757" s="257"/>
      <c r="DU757" s="1473">
        <f t="shared" si="26"/>
        <v>0</v>
      </c>
      <c r="DV757" s="1473"/>
      <c r="DW757" s="1473"/>
      <c r="DX757" s="1473"/>
      <c r="DY757" s="1473"/>
      <c r="DZ757" s="1473">
        <f t="shared" si="27"/>
        <v>0</v>
      </c>
      <c r="EA757" s="1473"/>
      <c r="EB757" s="1473"/>
      <c r="EC757" s="1473"/>
      <c r="ED757" s="1473"/>
      <c r="EE757" s="1473">
        <f t="shared" si="28"/>
        <v>0</v>
      </c>
      <c r="EF757" s="1473"/>
      <c r="EG757" s="1473"/>
      <c r="EH757" s="1473"/>
      <c r="EI757" s="1473"/>
      <c r="EJ757" s="1473">
        <f t="shared" si="29"/>
        <v>0</v>
      </c>
      <c r="EK757" s="1473"/>
      <c r="EL757" s="1473"/>
      <c r="EM757" s="1473"/>
      <c r="EN757" s="1473"/>
      <c r="EO757" s="1473">
        <f t="shared" si="30"/>
        <v>0</v>
      </c>
      <c r="EP757" s="1473"/>
      <c r="EQ757" s="1473"/>
      <c r="ER757" s="1473"/>
      <c r="ES757" s="1473"/>
      <c r="ET757" s="1473">
        <f t="shared" si="31"/>
        <v>0</v>
      </c>
      <c r="EU757" s="1473"/>
      <c r="EV757" s="1473"/>
      <c r="EW757" s="1473"/>
      <c r="EX757" s="1473"/>
      <c r="EY757"/>
      <c r="EZ757" s="1481" t="str">
        <f t="shared" si="32"/>
        <v/>
      </c>
      <c r="FA757" s="1482"/>
      <c r="FB757" s="1482"/>
      <c r="FC757" s="1482"/>
      <c r="FD757" s="1483"/>
      <c r="FE757" s="1481" t="str">
        <f t="shared" si="33"/>
        <v/>
      </c>
      <c r="FF757" s="1482"/>
      <c r="FG757" s="1482"/>
      <c r="FH757" s="1482"/>
      <c r="FI757" s="1483"/>
      <c r="FJ757" s="1481" t="str">
        <f t="shared" si="34"/>
        <v/>
      </c>
      <c r="FK757" s="1482"/>
      <c r="FL757" s="1482"/>
      <c r="FM757" s="1482"/>
      <c r="FN757" s="1483"/>
      <c r="FO757" s="1481" t="str">
        <f t="shared" si="35"/>
        <v/>
      </c>
      <c r="FP757" s="1482"/>
      <c r="FQ757" s="1482"/>
      <c r="FR757" s="1482"/>
      <c r="FS757" s="1483"/>
      <c r="FT757" s="1481" t="str">
        <f t="shared" si="36"/>
        <v/>
      </c>
      <c r="FU757" s="1482"/>
      <c r="FV757" s="1482"/>
      <c r="FW757" s="1482"/>
      <c r="FX757" s="1483"/>
      <c r="FY757" s="1481" t="str">
        <f t="shared" si="37"/>
        <v/>
      </c>
      <c r="FZ757" s="1482"/>
      <c r="GA757" s="1482"/>
      <c r="GB757" s="1482"/>
      <c r="GC757" s="1483"/>
    </row>
    <row r="758" spans="1:185" s="3" customFormat="1" ht="12.95" customHeight="1">
      <c r="A758"/>
      <c r="B758" s="1335"/>
      <c r="C758" s="1336"/>
      <c r="D758" s="1336"/>
      <c r="E758" s="1336"/>
      <c r="F758" s="1337"/>
      <c r="G758" s="1329"/>
      <c r="H758" s="1330"/>
      <c r="I758" s="1330"/>
      <c r="J758" s="1331"/>
      <c r="K758" s="1332"/>
      <c r="L758" s="1333"/>
      <c r="M758" s="1333"/>
      <c r="N758" s="1334"/>
      <c r="O758" s="1363"/>
      <c r="P758" s="1364"/>
      <c r="Q758" s="1364"/>
      <c r="R758" s="1364"/>
      <c r="S758" s="1365"/>
      <c r="T758" s="1363"/>
      <c r="U758" s="1364"/>
      <c r="V758" s="1364"/>
      <c r="W758" s="1365"/>
      <c r="X758" s="1366">
        <f t="shared" si="41"/>
        <v>0</v>
      </c>
      <c r="Y758" s="1367"/>
      <c r="Z758" s="1367"/>
      <c r="AA758" s="1367"/>
      <c r="AB758" s="1368"/>
      <c r="AC758" s="1369"/>
      <c r="AD758" s="1370"/>
      <c r="AE758" s="1370"/>
      <c r="AF758" s="1370"/>
      <c r="AG758" s="1371"/>
      <c r="AH758" s="1387" t="str">
        <f t="shared" si="38"/>
        <v/>
      </c>
      <c r="AI758" s="1388"/>
      <c r="AJ758" s="1389"/>
      <c r="AK758" s="1335" t="s">
        <v>822</v>
      </c>
      <c r="AL758" s="1336"/>
      <c r="AM758" s="1336"/>
      <c r="AN758" s="1336"/>
      <c r="AO758" s="1337"/>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81">
        <f t="shared" si="39"/>
        <v>0</v>
      </c>
      <c r="CH758" s="1483"/>
      <c r="CI758" s="1481">
        <f t="shared" si="40"/>
        <v>0</v>
      </c>
      <c r="CJ758" s="1483"/>
      <c r="CK758" s="1481">
        <f t="shared" si="18"/>
        <v>0</v>
      </c>
      <c r="CL758" s="1483"/>
      <c r="CM758" s="1481">
        <f t="shared" si="19"/>
        <v>0</v>
      </c>
      <c r="CN758" s="1483"/>
      <c r="CP758" s="1474">
        <f t="shared" si="20"/>
        <v>0</v>
      </c>
      <c r="CQ758" s="1475"/>
      <c r="CR758" s="1475"/>
      <c r="CS758" s="1475"/>
      <c r="CT758" s="1476"/>
      <c r="CU758" s="1472">
        <f t="shared" si="21"/>
        <v>0</v>
      </c>
      <c r="CV758" s="1472"/>
      <c r="CW758" s="1472"/>
      <c r="CX758" s="1472"/>
      <c r="CY758" s="1472"/>
      <c r="CZ758" s="1472">
        <f t="shared" si="22"/>
        <v>0</v>
      </c>
      <c r="DA758" s="1472"/>
      <c r="DB758" s="1472"/>
      <c r="DC758" s="1472"/>
      <c r="DD758" s="1472"/>
      <c r="DE758" s="1472">
        <f t="shared" si="23"/>
        <v>0</v>
      </c>
      <c r="DF758" s="1472"/>
      <c r="DG758" s="1472"/>
      <c r="DH758" s="1472"/>
      <c r="DI758" s="1472"/>
      <c r="DJ758" s="1472">
        <f t="shared" si="24"/>
        <v>0</v>
      </c>
      <c r="DK758" s="1472"/>
      <c r="DL758" s="1472"/>
      <c r="DM758" s="1472"/>
      <c r="DN758" s="1472"/>
      <c r="DO758" s="1472">
        <f t="shared" si="25"/>
        <v>0</v>
      </c>
      <c r="DP758" s="1472"/>
      <c r="DQ758" s="1472"/>
      <c r="DR758" s="1472"/>
      <c r="DS758" s="1472"/>
      <c r="DT758" s="257"/>
      <c r="DU758" s="1473">
        <f t="shared" si="26"/>
        <v>0</v>
      </c>
      <c r="DV758" s="1473"/>
      <c r="DW758" s="1473"/>
      <c r="DX758" s="1473"/>
      <c r="DY758" s="1473"/>
      <c r="DZ758" s="1473">
        <f t="shared" si="27"/>
        <v>0</v>
      </c>
      <c r="EA758" s="1473"/>
      <c r="EB758" s="1473"/>
      <c r="EC758" s="1473"/>
      <c r="ED758" s="1473"/>
      <c r="EE758" s="1473">
        <f t="shared" si="28"/>
        <v>0</v>
      </c>
      <c r="EF758" s="1473"/>
      <c r="EG758" s="1473"/>
      <c r="EH758" s="1473"/>
      <c r="EI758" s="1473"/>
      <c r="EJ758" s="1473">
        <f t="shared" si="29"/>
        <v>0</v>
      </c>
      <c r="EK758" s="1473"/>
      <c r="EL758" s="1473"/>
      <c r="EM758" s="1473"/>
      <c r="EN758" s="1473"/>
      <c r="EO758" s="1473">
        <f t="shared" si="30"/>
        <v>0</v>
      </c>
      <c r="EP758" s="1473"/>
      <c r="EQ758" s="1473"/>
      <c r="ER758" s="1473"/>
      <c r="ES758" s="1473"/>
      <c r="ET758" s="1473">
        <f t="shared" si="31"/>
        <v>0</v>
      </c>
      <c r="EU758" s="1473"/>
      <c r="EV758" s="1473"/>
      <c r="EW758" s="1473"/>
      <c r="EX758" s="1473"/>
      <c r="EY758"/>
      <c r="EZ758" s="1481" t="str">
        <f t="shared" si="32"/>
        <v/>
      </c>
      <c r="FA758" s="1482"/>
      <c r="FB758" s="1482"/>
      <c r="FC758" s="1482"/>
      <c r="FD758" s="1483"/>
      <c r="FE758" s="1481" t="str">
        <f t="shared" si="33"/>
        <v/>
      </c>
      <c r="FF758" s="1482"/>
      <c r="FG758" s="1482"/>
      <c r="FH758" s="1482"/>
      <c r="FI758" s="1483"/>
      <c r="FJ758" s="1481" t="str">
        <f t="shared" si="34"/>
        <v/>
      </c>
      <c r="FK758" s="1482"/>
      <c r="FL758" s="1482"/>
      <c r="FM758" s="1482"/>
      <c r="FN758" s="1483"/>
      <c r="FO758" s="1481" t="str">
        <f t="shared" si="35"/>
        <v/>
      </c>
      <c r="FP758" s="1482"/>
      <c r="FQ758" s="1482"/>
      <c r="FR758" s="1482"/>
      <c r="FS758" s="1483"/>
      <c r="FT758" s="1481" t="str">
        <f t="shared" si="36"/>
        <v/>
      </c>
      <c r="FU758" s="1482"/>
      <c r="FV758" s="1482"/>
      <c r="FW758" s="1482"/>
      <c r="FX758" s="1483"/>
      <c r="FY758" s="1481" t="str">
        <f t="shared" si="37"/>
        <v/>
      </c>
      <c r="FZ758" s="1482"/>
      <c r="GA758" s="1482"/>
      <c r="GB758" s="1482"/>
      <c r="GC758" s="1483"/>
    </row>
    <row r="759" spans="1:185" s="3" customFormat="1" ht="12.95" customHeight="1">
      <c r="A759"/>
      <c r="B759" s="1335"/>
      <c r="C759" s="1336"/>
      <c r="D759" s="1336"/>
      <c r="E759" s="1336"/>
      <c r="F759" s="1337"/>
      <c r="G759" s="1329"/>
      <c r="H759" s="1330"/>
      <c r="I759" s="1330"/>
      <c r="J759" s="1331"/>
      <c r="K759" s="1332"/>
      <c r="L759" s="1333"/>
      <c r="M759" s="1333"/>
      <c r="N759" s="1334"/>
      <c r="O759" s="1363"/>
      <c r="P759" s="1364"/>
      <c r="Q759" s="1364"/>
      <c r="R759" s="1364"/>
      <c r="S759" s="1365"/>
      <c r="T759" s="1363"/>
      <c r="U759" s="1364"/>
      <c r="V759" s="1364"/>
      <c r="W759" s="1365"/>
      <c r="X759" s="1366">
        <f t="shared" si="41"/>
        <v>0</v>
      </c>
      <c r="Y759" s="1367"/>
      <c r="Z759" s="1367"/>
      <c r="AA759" s="1367"/>
      <c r="AB759" s="1368"/>
      <c r="AC759" s="1369"/>
      <c r="AD759" s="1370"/>
      <c r="AE759" s="1370"/>
      <c r="AF759" s="1370"/>
      <c r="AG759" s="1371"/>
      <c r="AH759" s="1387" t="str">
        <f t="shared" si="38"/>
        <v/>
      </c>
      <c r="AI759" s="1388"/>
      <c r="AJ759" s="1389"/>
      <c r="AK759" s="1335" t="s">
        <v>822</v>
      </c>
      <c r="AL759" s="1336"/>
      <c r="AM759" s="1336"/>
      <c r="AN759" s="1336"/>
      <c r="AO759" s="1337"/>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81">
        <f t="shared" si="39"/>
        <v>0</v>
      </c>
      <c r="CH759" s="1483"/>
      <c r="CI759" s="1481">
        <f t="shared" si="40"/>
        <v>0</v>
      </c>
      <c r="CJ759" s="1483"/>
      <c r="CK759" s="1481">
        <f t="shared" si="18"/>
        <v>0</v>
      </c>
      <c r="CL759" s="1483"/>
      <c r="CM759" s="1481">
        <f t="shared" si="19"/>
        <v>0</v>
      </c>
      <c r="CN759" s="1483"/>
      <c r="CP759" s="1474">
        <f t="shared" si="20"/>
        <v>0</v>
      </c>
      <c r="CQ759" s="1475"/>
      <c r="CR759" s="1475"/>
      <c r="CS759" s="1475"/>
      <c r="CT759" s="1476"/>
      <c r="CU759" s="1472">
        <f t="shared" si="21"/>
        <v>0</v>
      </c>
      <c r="CV759" s="1472"/>
      <c r="CW759" s="1472"/>
      <c r="CX759" s="1472"/>
      <c r="CY759" s="1472"/>
      <c r="CZ759" s="1472">
        <f t="shared" si="22"/>
        <v>0</v>
      </c>
      <c r="DA759" s="1472"/>
      <c r="DB759" s="1472"/>
      <c r="DC759" s="1472"/>
      <c r="DD759" s="1472"/>
      <c r="DE759" s="1472">
        <f t="shared" si="23"/>
        <v>0</v>
      </c>
      <c r="DF759" s="1472"/>
      <c r="DG759" s="1472"/>
      <c r="DH759" s="1472"/>
      <c r="DI759" s="1472"/>
      <c r="DJ759" s="1472">
        <f t="shared" si="24"/>
        <v>0</v>
      </c>
      <c r="DK759" s="1472"/>
      <c r="DL759" s="1472"/>
      <c r="DM759" s="1472"/>
      <c r="DN759" s="1472"/>
      <c r="DO759" s="1472">
        <f t="shared" si="25"/>
        <v>0</v>
      </c>
      <c r="DP759" s="1472"/>
      <c r="DQ759" s="1472"/>
      <c r="DR759" s="1472"/>
      <c r="DS759" s="1472"/>
      <c r="DT759" s="257"/>
      <c r="DU759" s="1473">
        <f t="shared" si="26"/>
        <v>0</v>
      </c>
      <c r="DV759" s="1473"/>
      <c r="DW759" s="1473"/>
      <c r="DX759" s="1473"/>
      <c r="DY759" s="1473"/>
      <c r="DZ759" s="1473">
        <f t="shared" si="27"/>
        <v>0</v>
      </c>
      <c r="EA759" s="1473"/>
      <c r="EB759" s="1473"/>
      <c r="EC759" s="1473"/>
      <c r="ED759" s="1473"/>
      <c r="EE759" s="1473">
        <f t="shared" si="28"/>
        <v>0</v>
      </c>
      <c r="EF759" s="1473"/>
      <c r="EG759" s="1473"/>
      <c r="EH759" s="1473"/>
      <c r="EI759" s="1473"/>
      <c r="EJ759" s="1473">
        <f t="shared" si="29"/>
        <v>0</v>
      </c>
      <c r="EK759" s="1473"/>
      <c r="EL759" s="1473"/>
      <c r="EM759" s="1473"/>
      <c r="EN759" s="1473"/>
      <c r="EO759" s="1473">
        <f t="shared" si="30"/>
        <v>0</v>
      </c>
      <c r="EP759" s="1473"/>
      <c r="EQ759" s="1473"/>
      <c r="ER759" s="1473"/>
      <c r="ES759" s="1473"/>
      <c r="ET759" s="1473">
        <f t="shared" si="31"/>
        <v>0</v>
      </c>
      <c r="EU759" s="1473"/>
      <c r="EV759" s="1473"/>
      <c r="EW759" s="1473"/>
      <c r="EX759" s="1473"/>
      <c r="EY759"/>
      <c r="EZ759" s="1481" t="str">
        <f t="shared" si="32"/>
        <v/>
      </c>
      <c r="FA759" s="1482"/>
      <c r="FB759" s="1482"/>
      <c r="FC759" s="1482"/>
      <c r="FD759" s="1483"/>
      <c r="FE759" s="1481" t="str">
        <f t="shared" si="33"/>
        <v/>
      </c>
      <c r="FF759" s="1482"/>
      <c r="FG759" s="1482"/>
      <c r="FH759" s="1482"/>
      <c r="FI759" s="1483"/>
      <c r="FJ759" s="1481" t="str">
        <f t="shared" si="34"/>
        <v/>
      </c>
      <c r="FK759" s="1482"/>
      <c r="FL759" s="1482"/>
      <c r="FM759" s="1482"/>
      <c r="FN759" s="1483"/>
      <c r="FO759" s="1481" t="str">
        <f t="shared" si="35"/>
        <v/>
      </c>
      <c r="FP759" s="1482"/>
      <c r="FQ759" s="1482"/>
      <c r="FR759" s="1482"/>
      <c r="FS759" s="1483"/>
      <c r="FT759" s="1481" t="str">
        <f t="shared" si="36"/>
        <v/>
      </c>
      <c r="FU759" s="1482"/>
      <c r="FV759" s="1482"/>
      <c r="FW759" s="1482"/>
      <c r="FX759" s="1483"/>
      <c r="FY759" s="1481" t="str">
        <f t="shared" si="37"/>
        <v/>
      </c>
      <c r="FZ759" s="1482"/>
      <c r="GA759" s="1482"/>
      <c r="GB759" s="1482"/>
      <c r="GC759" s="1483"/>
    </row>
    <row r="760" spans="1:185" s="3" customFormat="1" ht="12.95" customHeight="1">
      <c r="A760"/>
      <c r="B760" s="1335"/>
      <c r="C760" s="1336"/>
      <c r="D760" s="1336"/>
      <c r="E760" s="1336"/>
      <c r="F760" s="1337"/>
      <c r="G760" s="1329"/>
      <c r="H760" s="1330"/>
      <c r="I760" s="1330"/>
      <c r="J760" s="1331"/>
      <c r="K760" s="1332"/>
      <c r="L760" s="1333"/>
      <c r="M760" s="1333"/>
      <c r="N760" s="1334"/>
      <c r="O760" s="1363"/>
      <c r="P760" s="1364"/>
      <c r="Q760" s="1364"/>
      <c r="R760" s="1364"/>
      <c r="S760" s="1365"/>
      <c r="T760" s="1363"/>
      <c r="U760" s="1364"/>
      <c r="V760" s="1364"/>
      <c r="W760" s="1365"/>
      <c r="X760" s="1366">
        <f>O760+T760</f>
        <v>0</v>
      </c>
      <c r="Y760" s="1367"/>
      <c r="Z760" s="1367"/>
      <c r="AA760" s="1367"/>
      <c r="AB760" s="1368"/>
      <c r="AC760" s="1369"/>
      <c r="AD760" s="1370"/>
      <c r="AE760" s="1370"/>
      <c r="AF760" s="1370"/>
      <c r="AG760" s="1371"/>
      <c r="AH760" s="1387" t="str">
        <f t="shared" si="38"/>
        <v/>
      </c>
      <c r="AI760" s="1388"/>
      <c r="AJ760" s="1389"/>
      <c r="AK760" s="1335" t="s">
        <v>822</v>
      </c>
      <c r="AL760" s="1336"/>
      <c r="AM760" s="1336"/>
      <c r="AN760" s="1336"/>
      <c r="AO760" s="1337"/>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81">
        <f t="shared" si="39"/>
        <v>0</v>
      </c>
      <c r="CH760" s="1483"/>
      <c r="CI760" s="1481">
        <f t="shared" si="40"/>
        <v>0</v>
      </c>
      <c r="CJ760" s="1483"/>
      <c r="CK760" s="1481">
        <f t="shared" si="18"/>
        <v>0</v>
      </c>
      <c r="CL760" s="1483"/>
      <c r="CM760" s="1481">
        <f t="shared" si="19"/>
        <v>0</v>
      </c>
      <c r="CN760" s="1483"/>
      <c r="CP760" s="1474">
        <f t="shared" si="20"/>
        <v>0</v>
      </c>
      <c r="CQ760" s="1475"/>
      <c r="CR760" s="1475"/>
      <c r="CS760" s="1475"/>
      <c r="CT760" s="1476"/>
      <c r="CU760" s="1472">
        <f t="shared" si="21"/>
        <v>0</v>
      </c>
      <c r="CV760" s="1472"/>
      <c r="CW760" s="1472"/>
      <c r="CX760" s="1472"/>
      <c r="CY760" s="1472"/>
      <c r="CZ760" s="1472">
        <f t="shared" si="22"/>
        <v>0</v>
      </c>
      <c r="DA760" s="1472"/>
      <c r="DB760" s="1472"/>
      <c r="DC760" s="1472"/>
      <c r="DD760" s="1472"/>
      <c r="DE760" s="1472">
        <f t="shared" si="23"/>
        <v>0</v>
      </c>
      <c r="DF760" s="1472"/>
      <c r="DG760" s="1472"/>
      <c r="DH760" s="1472"/>
      <c r="DI760" s="1472"/>
      <c r="DJ760" s="1472">
        <f t="shared" si="24"/>
        <v>0</v>
      </c>
      <c r="DK760" s="1472"/>
      <c r="DL760" s="1472"/>
      <c r="DM760" s="1472"/>
      <c r="DN760" s="1472"/>
      <c r="DO760" s="1472">
        <f t="shared" si="25"/>
        <v>0</v>
      </c>
      <c r="DP760" s="1472"/>
      <c r="DQ760" s="1472"/>
      <c r="DR760" s="1472"/>
      <c r="DS760" s="1472"/>
      <c r="DT760" s="257"/>
      <c r="DU760" s="1473">
        <f t="shared" si="26"/>
        <v>0</v>
      </c>
      <c r="DV760" s="1473"/>
      <c r="DW760" s="1473"/>
      <c r="DX760" s="1473"/>
      <c r="DY760" s="1473"/>
      <c r="DZ760" s="1473">
        <f t="shared" si="27"/>
        <v>0</v>
      </c>
      <c r="EA760" s="1473"/>
      <c r="EB760" s="1473"/>
      <c r="EC760" s="1473"/>
      <c r="ED760" s="1473"/>
      <c r="EE760" s="1473">
        <f t="shared" si="28"/>
        <v>0</v>
      </c>
      <c r="EF760" s="1473"/>
      <c r="EG760" s="1473"/>
      <c r="EH760" s="1473"/>
      <c r="EI760" s="1473"/>
      <c r="EJ760" s="1473">
        <f t="shared" si="29"/>
        <v>0</v>
      </c>
      <c r="EK760" s="1473"/>
      <c r="EL760" s="1473"/>
      <c r="EM760" s="1473"/>
      <c r="EN760" s="1473"/>
      <c r="EO760" s="1473">
        <f t="shared" si="30"/>
        <v>0</v>
      </c>
      <c r="EP760" s="1473"/>
      <c r="EQ760" s="1473"/>
      <c r="ER760" s="1473"/>
      <c r="ES760" s="1473"/>
      <c r="ET760" s="1473">
        <f t="shared" si="31"/>
        <v>0</v>
      </c>
      <c r="EU760" s="1473"/>
      <c r="EV760" s="1473"/>
      <c r="EW760" s="1473"/>
      <c r="EX760" s="1473"/>
      <c r="EY760"/>
      <c r="EZ760" s="1481" t="str">
        <f t="shared" si="32"/>
        <v/>
      </c>
      <c r="FA760" s="1482"/>
      <c r="FB760" s="1482"/>
      <c r="FC760" s="1482"/>
      <c r="FD760" s="1483"/>
      <c r="FE760" s="1481" t="str">
        <f t="shared" si="33"/>
        <v/>
      </c>
      <c r="FF760" s="1482"/>
      <c r="FG760" s="1482"/>
      <c r="FH760" s="1482"/>
      <c r="FI760" s="1483"/>
      <c r="FJ760" s="1481" t="str">
        <f t="shared" si="34"/>
        <v/>
      </c>
      <c r="FK760" s="1482"/>
      <c r="FL760" s="1482"/>
      <c r="FM760" s="1482"/>
      <c r="FN760" s="1483"/>
      <c r="FO760" s="1481" t="str">
        <f t="shared" si="35"/>
        <v/>
      </c>
      <c r="FP760" s="1482"/>
      <c r="FQ760" s="1482"/>
      <c r="FR760" s="1482"/>
      <c r="FS760" s="1483"/>
      <c r="FT760" s="1481" t="str">
        <f t="shared" si="36"/>
        <v/>
      </c>
      <c r="FU760" s="1482"/>
      <c r="FV760" s="1482"/>
      <c r="FW760" s="1482"/>
      <c r="FX760" s="1483"/>
      <c r="FY760" s="1481" t="str">
        <f t="shared" si="37"/>
        <v/>
      </c>
      <c r="FZ760" s="1482"/>
      <c r="GA760" s="1482"/>
      <c r="GB760" s="1482"/>
      <c r="GC760" s="1483"/>
    </row>
    <row r="761" spans="1:185" s="3" customFormat="1" ht="12.95" customHeight="1">
      <c r="A761"/>
      <c r="B761" s="1469" t="s">
        <v>1477</v>
      </c>
      <c r="C761" s="1470"/>
      <c r="D761" s="1470"/>
      <c r="E761" s="1470"/>
      <c r="F761" s="1471"/>
      <c r="G761" s="1574">
        <f>SUM(G726:G760)</f>
        <v>83</v>
      </c>
      <c r="H761" s="1575"/>
      <c r="I761" s="1575"/>
      <c r="J761" s="1576"/>
      <c r="K761" s="794" t="s">
        <v>1478</v>
      </c>
      <c r="L761" s="5"/>
      <c r="M761" s="5"/>
      <c r="N761" s="38"/>
      <c r="O761" s="1366">
        <f>SUMPRODUCT(G726:G760,O726:O760)</f>
        <v>94341</v>
      </c>
      <c r="P761" s="1367"/>
      <c r="Q761" s="1367"/>
      <c r="R761" s="1367"/>
      <c r="S761" s="1368"/>
      <c r="T761"/>
      <c r="U761"/>
      <c r="V761"/>
      <c r="W761"/>
      <c r="X761" s="796" t="s">
        <v>1479</v>
      </c>
      <c r="Y761" s="795"/>
      <c r="Z761" s="795"/>
      <c r="AA761" s="795"/>
      <c r="AB761" s="797"/>
      <c r="AC761" s="1661">
        <f>BH761</f>
        <v>0.49999999999999994</v>
      </c>
      <c r="AD761" s="1662"/>
      <c r="AE761" s="1662"/>
      <c r="AF761" s="1662"/>
      <c r="AG761" s="1663"/>
      <c r="AH761" s="1661">
        <f>IFERROR(BU761,"")</f>
        <v>0.49314988174063501</v>
      </c>
      <c r="AI761" s="1662"/>
      <c r="AJ761" s="1663"/>
      <c r="AK761"/>
      <c r="AL761"/>
      <c r="AM761"/>
      <c r="AN761"/>
      <c r="AO761"/>
      <c r="AP761" s="137"/>
      <c r="AQ761" s="137"/>
      <c r="AR761" s="137"/>
      <c r="AS761" s="137"/>
      <c r="AT761"/>
      <c r="AU761"/>
      <c r="AV761"/>
      <c r="AW761"/>
      <c r="AX761"/>
      <c r="AY761"/>
      <c r="BE761" s="200" t="s">
        <v>1480</v>
      </c>
      <c r="BF761" s="208">
        <f>SUM(BF726:BF760)</f>
        <v>83</v>
      </c>
      <c r="BG761" s="209">
        <f>SUM(BG726:BG760)</f>
        <v>1</v>
      </c>
      <c r="BH761" s="209">
        <f>SUM(BH726:BH760)</f>
        <v>0.49999999999999994</v>
      </c>
      <c r="BI761"/>
      <c r="BJ761"/>
      <c r="BK761"/>
      <c r="BL761"/>
      <c r="BO761"/>
      <c r="BP761"/>
      <c r="BQ761"/>
      <c r="BR761"/>
      <c r="BS761" s="754">
        <f>SUM(BS726:BS760)</f>
        <v>83</v>
      </c>
      <c r="BT761" s="209">
        <f>SUM(BT726:BT760)</f>
        <v>1</v>
      </c>
      <c r="BU761" s="209">
        <f>SUM(BU726:BU760)</f>
        <v>0.49314988174063501</v>
      </c>
      <c r="CI761" s="1481">
        <f>SUM(CI726:CJ760)</f>
        <v>25</v>
      </c>
      <c r="CJ761" s="1483"/>
      <c r="CM761" s="1481">
        <f>SUM(CM726:CN760)</f>
        <v>26</v>
      </c>
      <c r="CN761" s="1483"/>
      <c r="CP761" s="1481">
        <f>SUM(CP726:CT760)</f>
        <v>0</v>
      </c>
      <c r="CQ761" s="1482"/>
      <c r="CR761" s="1482"/>
      <c r="CS761" s="1482"/>
      <c r="CT761" s="1483"/>
      <c r="CU761" s="1480">
        <f>SUM(CU726:CY760)</f>
        <v>70</v>
      </c>
      <c r="CV761" s="1480"/>
      <c r="CW761" s="1480"/>
      <c r="CX761" s="1480"/>
      <c r="CY761" s="1480"/>
      <c r="CZ761" s="1480">
        <f>SUM(CZ726:DD760)</f>
        <v>13</v>
      </c>
      <c r="DA761" s="1480"/>
      <c r="DB761" s="1480"/>
      <c r="DC761" s="1480"/>
      <c r="DD761" s="1480"/>
      <c r="DE761" s="1480">
        <f>SUM(DE726:DI760)</f>
        <v>0</v>
      </c>
      <c r="DF761" s="1480"/>
      <c r="DG761" s="1480"/>
      <c r="DH761" s="1480"/>
      <c r="DI761" s="1480"/>
      <c r="DJ761" s="1480">
        <f>SUM(DJ726:DN760)</f>
        <v>0</v>
      </c>
      <c r="DK761" s="1480"/>
      <c r="DL761" s="1480"/>
      <c r="DM761" s="1480"/>
      <c r="DN761" s="1480"/>
      <c r="DO761" s="1480">
        <f>SUM(DO726:DS760)</f>
        <v>0</v>
      </c>
      <c r="DP761" s="1480"/>
      <c r="DQ761" s="1480"/>
      <c r="DR761" s="1480"/>
      <c r="DS761" s="1480"/>
      <c r="DT761" s="257"/>
      <c r="DU761" s="1480">
        <f>SUM(DU726:DY760)</f>
        <v>0</v>
      </c>
      <c r="DV761" s="1480"/>
      <c r="DW761" s="1480"/>
      <c r="DX761" s="1480"/>
      <c r="DY761" s="1480"/>
      <c r="DZ761" s="1480">
        <f>SUM(DZ726:ED760)</f>
        <v>23</v>
      </c>
      <c r="EA761" s="1480"/>
      <c r="EB761" s="1480"/>
      <c r="EC761" s="1480"/>
      <c r="ED761" s="1480"/>
      <c r="EE761" s="1480">
        <f>SUM(EE726:EI760)</f>
        <v>3</v>
      </c>
      <c r="EF761" s="1480"/>
      <c r="EG761" s="1480"/>
      <c r="EH761" s="1480"/>
      <c r="EI761" s="1480"/>
      <c r="EJ761" s="1480">
        <f>SUM(EJ726:EN760)</f>
        <v>0</v>
      </c>
      <c r="EK761" s="1480"/>
      <c r="EL761" s="1480"/>
      <c r="EM761" s="1480"/>
      <c r="EN761" s="1480"/>
      <c r="EO761" s="1480">
        <f>SUM(EO726:ES760)</f>
        <v>0</v>
      </c>
      <c r="EP761" s="1480"/>
      <c r="EQ761" s="1480"/>
      <c r="ER761" s="1480"/>
      <c r="ES761" s="1480"/>
      <c r="ET761" s="1480">
        <f>SUM(ET726:EX760)</f>
        <v>0</v>
      </c>
      <c r="EU761" s="1480"/>
      <c r="EV761" s="1480"/>
      <c r="EW761" s="1480"/>
      <c r="EX761" s="1480"/>
      <c r="EY761"/>
      <c r="EZ761" s="1480">
        <f>SUM(EZ726:FD760)</f>
        <v>0</v>
      </c>
      <c r="FA761" s="1480"/>
      <c r="FB761" s="1480"/>
      <c r="FC761" s="1480"/>
      <c r="FD761" s="1480"/>
      <c r="FE761" s="1480">
        <f>SUM(FE726:FI760)</f>
        <v>4780</v>
      </c>
      <c r="FF761" s="1480"/>
      <c r="FG761" s="1480"/>
      <c r="FH761" s="1480"/>
      <c r="FI761" s="1480"/>
      <c r="FJ761" s="1480">
        <f>SUM(FJ726:FN760)</f>
        <v>5912</v>
      </c>
      <c r="FK761" s="1480"/>
      <c r="FL761" s="1480"/>
      <c r="FM761" s="1480"/>
      <c r="FN761" s="1480"/>
      <c r="FO761" s="1480">
        <f>SUM(FO726:FS760)</f>
        <v>0</v>
      </c>
      <c r="FP761" s="1480"/>
      <c r="FQ761" s="1480"/>
      <c r="FR761" s="1480"/>
      <c r="FS761" s="1480"/>
      <c r="FT761" s="1480">
        <f>SUM(FT726:FX760)</f>
        <v>0</v>
      </c>
      <c r="FU761" s="1480"/>
      <c r="FV761" s="1480"/>
      <c r="FW761" s="1480"/>
      <c r="FX761" s="1480"/>
      <c r="FY761" s="1480">
        <f>SUM(FY726:GC760)</f>
        <v>0</v>
      </c>
      <c r="FZ761" s="1480"/>
      <c r="GA761" s="1480"/>
      <c r="GB761" s="1480"/>
      <c r="GC761" s="1480"/>
    </row>
    <row r="762" spans="1:185" s="3" customFormat="1" ht="12.95" customHeight="1">
      <c r="A762"/>
      <c r="B762" s="1495" t="s">
        <v>1481</v>
      </c>
      <c r="C762" s="1495"/>
      <c r="D762" s="1495"/>
      <c r="E762" s="1495"/>
      <c r="F762" s="1495"/>
      <c r="G762" s="1495"/>
      <c r="H762" s="1495"/>
      <c r="I762" s="1495"/>
      <c r="J762" s="1495"/>
      <c r="K762" s="1495"/>
      <c r="L762" s="1495"/>
      <c r="M762" s="1495"/>
      <c r="N762" s="1495"/>
      <c r="O762" s="1495"/>
      <c r="P762" s="1495"/>
      <c r="Q762" s="1495"/>
      <c r="R762" s="1495"/>
      <c r="S762" s="1495"/>
      <c r="T762" s="1495"/>
      <c r="U762" s="1495"/>
      <c r="V762" s="1495"/>
      <c r="W762" s="1495"/>
      <c r="X762" s="1495"/>
      <c r="Y762" s="1495"/>
      <c r="Z762" s="1495"/>
      <c r="AA762" s="1495"/>
      <c r="AB762" s="1495"/>
      <c r="AC762" s="1495"/>
      <c r="AD762" s="1495"/>
      <c r="AE762" s="1495"/>
      <c r="AF762" s="1495"/>
      <c r="AG762" s="1495"/>
      <c r="AH762" s="1495"/>
      <c r="AI762"/>
      <c r="AJ762"/>
      <c r="AK762"/>
      <c r="AT762"/>
      <c r="AU762"/>
      <c r="AV762"/>
      <c r="AW762"/>
      <c r="AX762"/>
      <c r="AY762"/>
      <c r="CD762"/>
      <c r="DN762" s="48" t="s">
        <v>1482</v>
      </c>
      <c r="DO762" s="1481">
        <f>CP761+CU761+CZ761+DE761+DJ761+DO761</f>
        <v>83</v>
      </c>
      <c r="DP762" s="1482"/>
      <c r="DQ762" s="1482"/>
      <c r="DR762" s="1482"/>
      <c r="DS762" s="148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495"/>
      <c r="C763" s="1495"/>
      <c r="D763" s="1495"/>
      <c r="E763" s="1495"/>
      <c r="F763" s="1495"/>
      <c r="G763" s="1495"/>
      <c r="H763" s="1495"/>
      <c r="I763" s="1495"/>
      <c r="J763" s="1495"/>
      <c r="K763" s="1495"/>
      <c r="L763" s="1495"/>
      <c r="M763" s="1495"/>
      <c r="N763" s="1495"/>
      <c r="O763" s="1495"/>
      <c r="P763" s="1495"/>
      <c r="Q763" s="1495"/>
      <c r="R763" s="1495"/>
      <c r="S763" s="1495"/>
      <c r="T763" s="1495"/>
      <c r="U763" s="1495"/>
      <c r="V763" s="1495"/>
      <c r="W763" s="1495"/>
      <c r="X763" s="1495"/>
      <c r="Y763" s="1495"/>
      <c r="Z763" s="1495"/>
      <c r="AA763" s="1495"/>
      <c r="AB763" s="1495"/>
      <c r="AC763" s="1495"/>
      <c r="AD763" s="1495"/>
      <c r="AE763" s="1495"/>
      <c r="AF763" s="1495"/>
      <c r="AG763" s="1495"/>
      <c r="AH763" s="149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70</v>
      </c>
      <c r="CZ763" s="3"/>
      <c r="DA763" s="3"/>
      <c r="DB763" s="3"/>
      <c r="DC763" s="3"/>
      <c r="DD763" s="756">
        <f>CZ761*2</f>
        <v>26</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96</v>
      </c>
      <c r="DV763" s="49" t="s">
        <v>1483</v>
      </c>
      <c r="DW763" s="3"/>
      <c r="DX763" s="3"/>
      <c r="DY763" s="3"/>
      <c r="DZ763" s="3"/>
      <c r="EA763" s="3"/>
      <c r="EB763" s="3"/>
      <c r="EC763" s="3"/>
      <c r="ED763" s="3"/>
      <c r="EE763" s="3"/>
      <c r="EF763" s="3"/>
      <c r="EG763" s="3"/>
      <c r="EH763" s="3"/>
    </row>
    <row r="764" spans="1:185" ht="12.95" customHeight="1">
      <c r="A764" s="3"/>
      <c r="B764" s="3"/>
      <c r="C764" s="84" t="s">
        <v>1484</v>
      </c>
      <c r="D764" s="918"/>
      <c r="E764" s="918"/>
      <c r="F764" s="918"/>
      <c r="G764" s="919"/>
      <c r="H764" s="919"/>
      <c r="I764" s="919"/>
      <c r="J764" s="919"/>
      <c r="K764" s="918"/>
      <c r="L764" s="918"/>
      <c r="M764" s="918"/>
      <c r="N764" s="918"/>
      <c r="O764" s="1480">
        <f>DU763</f>
        <v>96</v>
      </c>
      <c r="P764" s="1480"/>
      <c r="Q764" s="1480"/>
      <c r="R764" s="1480"/>
      <c r="S764" s="859"/>
      <c r="T764" s="859"/>
      <c r="U764" s="84" t="s">
        <v>1485</v>
      </c>
      <c r="V764" s="918"/>
      <c r="W764" s="918"/>
      <c r="X764" s="918"/>
      <c r="Y764" s="919"/>
      <c r="Z764" s="919"/>
      <c r="AA764" s="919"/>
      <c r="AB764" s="919"/>
      <c r="AC764" s="918"/>
      <c r="AD764" s="918"/>
      <c r="AE764" s="918"/>
      <c r="AF764" s="918"/>
      <c r="AG764" s="1565"/>
      <c r="AH764" s="1565"/>
      <c r="AI764" s="1565"/>
      <c r="AJ764" s="1565"/>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328" t="str">
        <f>IF(G761&lt;&gt;AG449,"! Total Low-Income Units in the Unit Mix Table above does not match the number of Total Low-Income Units on row #"&amp;TEXT(ROW(D449),"#"),"")</f>
        <v/>
      </c>
      <c r="D765" s="1328"/>
      <c r="E765" s="1328"/>
      <c r="F765" s="1328"/>
      <c r="G765" s="1328"/>
      <c r="H765" s="1328"/>
      <c r="I765" s="1328"/>
      <c r="J765" s="1328"/>
      <c r="K765" s="1328"/>
      <c r="L765" s="1328"/>
      <c r="M765" s="1328"/>
      <c r="N765" s="1328"/>
      <c r="O765" s="1328"/>
      <c r="P765" s="1328"/>
      <c r="Q765" s="1328"/>
      <c r="R765" s="1328"/>
      <c r="S765" s="1328"/>
      <c r="T765" s="1328"/>
      <c r="U765" s="1328"/>
      <c r="V765" s="1328"/>
      <c r="W765" s="1328"/>
      <c r="X765" s="1328"/>
      <c r="Y765" s="1328"/>
      <c r="Z765" s="1328"/>
      <c r="AA765" s="1328"/>
      <c r="AB765" s="1328"/>
      <c r="AC765" s="1328"/>
      <c r="AD765" s="1328"/>
      <c r="AE765" s="1328"/>
      <c r="AF765" s="1328"/>
      <c r="AG765" s="1328"/>
      <c r="AH765" s="1328"/>
      <c r="AI765" s="1328"/>
      <c r="AJ765" s="1328"/>
      <c r="AK765" s="1328"/>
      <c r="AL765" s="1328"/>
      <c r="AM765" s="1328"/>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328"/>
      <c r="D766" s="1328"/>
      <c r="E766" s="1328"/>
      <c r="F766" s="1328"/>
      <c r="G766" s="1328"/>
      <c r="H766" s="1328"/>
      <c r="I766" s="1328"/>
      <c r="J766" s="1328"/>
      <c r="K766" s="1328"/>
      <c r="L766" s="1328"/>
      <c r="M766" s="1328"/>
      <c r="N766" s="1328"/>
      <c r="O766" s="1328"/>
      <c r="P766" s="1328"/>
      <c r="Q766" s="1328"/>
      <c r="R766" s="1328"/>
      <c r="S766" s="1328"/>
      <c r="T766" s="1328"/>
      <c r="U766" s="1328"/>
      <c r="V766" s="1328"/>
      <c r="W766" s="1328"/>
      <c r="X766" s="1328"/>
      <c r="Y766" s="1328"/>
      <c r="Z766" s="1328"/>
      <c r="AA766" s="1328"/>
      <c r="AB766" s="1328"/>
      <c r="AC766" s="1328"/>
      <c r="AD766" s="1328"/>
      <c r="AE766" s="1328"/>
      <c r="AF766" s="1328"/>
      <c r="AG766" s="1328"/>
      <c r="AH766" s="1328"/>
      <c r="AI766" s="1328"/>
      <c r="AJ766" s="1328"/>
      <c r="AK766" s="1328"/>
      <c r="AL766" s="1328"/>
      <c r="AM766" s="1328"/>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1486</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4" t="s">
        <v>822</v>
      </c>
      <c r="AE767" s="2584"/>
      <c r="AF767" s="2584"/>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1487</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1488</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1489</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5" t="s">
        <v>1490</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5" t="s">
        <v>1491</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78" t="s">
        <v>1457</v>
      </c>
      <c r="K777" s="1379"/>
      <c r="L777" s="1379"/>
      <c r="M777" s="1379"/>
      <c r="N777" s="1380"/>
      <c r="O777" s="1391" t="s">
        <v>1458</v>
      </c>
      <c r="P777" s="1391"/>
      <c r="Q777" s="1391"/>
      <c r="R777" s="1391"/>
      <c r="S777" s="1391"/>
      <c r="T777" s="1651" t="s">
        <v>1459</v>
      </c>
      <c r="U777" s="1652"/>
      <c r="V777" s="1652"/>
      <c r="W777" s="1653"/>
      <c r="X777" s="1378" t="s">
        <v>1460</v>
      </c>
      <c r="Y777" s="1379"/>
      <c r="Z777" s="1379"/>
      <c r="AA777" s="1379"/>
      <c r="AB777" s="1380"/>
      <c r="AC777" s="1378" t="s">
        <v>1492</v>
      </c>
      <c r="AD777" s="1379"/>
      <c r="AE777" s="1379"/>
      <c r="AF777" s="1379"/>
      <c r="AG777" s="1380"/>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1"/>
      <c r="K778" s="1382"/>
      <c r="L778" s="1382"/>
      <c r="M778" s="1382"/>
      <c r="N778" s="1383"/>
      <c r="O778" s="1391"/>
      <c r="P778" s="1391"/>
      <c r="Q778" s="1391"/>
      <c r="R778" s="1391"/>
      <c r="S778" s="1391"/>
      <c r="T778" s="1654"/>
      <c r="U778" s="1655"/>
      <c r="V778" s="1655"/>
      <c r="W778" s="1656"/>
      <c r="X778" s="1381"/>
      <c r="Y778" s="1382"/>
      <c r="Z778" s="1382"/>
      <c r="AA778" s="1382"/>
      <c r="AB778" s="1383"/>
      <c r="AC778" s="1381"/>
      <c r="AD778" s="1382"/>
      <c r="AE778" s="1382"/>
      <c r="AF778" s="1382"/>
      <c r="AG778" s="1383"/>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1"/>
      <c r="K779" s="1382"/>
      <c r="L779" s="1382"/>
      <c r="M779" s="1382"/>
      <c r="N779" s="1383"/>
      <c r="O779" s="1391"/>
      <c r="P779" s="1391"/>
      <c r="Q779" s="1391"/>
      <c r="R779" s="1391"/>
      <c r="S779" s="1391"/>
      <c r="T779" s="1654"/>
      <c r="U779" s="1655"/>
      <c r="V779" s="1655"/>
      <c r="W779" s="1656"/>
      <c r="X779" s="1381"/>
      <c r="Y779" s="1382"/>
      <c r="Z779" s="1382"/>
      <c r="AA779" s="1382"/>
      <c r="AB779" s="1383"/>
      <c r="AC779" s="1381"/>
      <c r="AD779" s="1382"/>
      <c r="AE779" s="1382"/>
      <c r="AF779" s="1382"/>
      <c r="AG779" s="1383"/>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84"/>
      <c r="K780" s="1385"/>
      <c r="L780" s="1385"/>
      <c r="M780" s="1385"/>
      <c r="N780" s="1386"/>
      <c r="O780" s="1391"/>
      <c r="P780" s="1391"/>
      <c r="Q780" s="1391"/>
      <c r="R780" s="1391"/>
      <c r="S780" s="1391"/>
      <c r="T780" s="1657"/>
      <c r="U780" s="1658"/>
      <c r="V780" s="1658"/>
      <c r="W780" s="1659"/>
      <c r="X780" s="1384"/>
      <c r="Y780" s="1385"/>
      <c r="Z780" s="1385"/>
      <c r="AA780" s="1385"/>
      <c r="AB780" s="1386"/>
      <c r="AC780" s="1384"/>
      <c r="AD780" s="1385"/>
      <c r="AE780" s="1385"/>
      <c r="AF780" s="1385"/>
      <c r="AG780" s="1386"/>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1493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35" t="s">
        <v>844</v>
      </c>
      <c r="K781" s="1336"/>
      <c r="L781" s="1336"/>
      <c r="M781" s="1336"/>
      <c r="N781" s="1337"/>
      <c r="O781" s="1390">
        <v>1</v>
      </c>
      <c r="P781" s="1390"/>
      <c r="Q781" s="1390"/>
      <c r="R781" s="1390"/>
      <c r="S781" s="1390"/>
      <c r="T781" s="1332">
        <v>830</v>
      </c>
      <c r="U781" s="1333"/>
      <c r="V781" s="1333"/>
      <c r="W781" s="1334"/>
      <c r="X781" s="1363">
        <v>0</v>
      </c>
      <c r="Y781" s="1364"/>
      <c r="Z781" s="1364"/>
      <c r="AA781" s="1364"/>
      <c r="AB781" s="1365"/>
      <c r="AC781" s="1366">
        <f>X781*O781</f>
        <v>0</v>
      </c>
      <c r="AD781" s="1367"/>
      <c r="AE781" s="1367"/>
      <c r="AF781" s="1367"/>
      <c r="AG781" s="1368"/>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4">
        <f>IF(J781="SRO/Studio",O781,0)</f>
        <v>0</v>
      </c>
      <c r="CQ781" s="1475"/>
      <c r="CR781" s="1475"/>
      <c r="CS781" s="1475"/>
      <c r="CT781" s="1476"/>
      <c r="CU781" s="1472">
        <f>IF(J781="1 Bedroom",O781,0)</f>
        <v>0</v>
      </c>
      <c r="CV781" s="1472"/>
      <c r="CW781" s="1472"/>
      <c r="CX781" s="1472"/>
      <c r="CY781" s="1472"/>
      <c r="CZ781" s="1472">
        <f>IF(J781="2 Bedrooms",O781,0)</f>
        <v>1</v>
      </c>
      <c r="DA781" s="1472"/>
      <c r="DB781" s="1472"/>
      <c r="DC781" s="1472"/>
      <c r="DD781" s="1472"/>
      <c r="DE781" s="1472">
        <f>IF(J781="3 Bedrooms",O781,0)</f>
        <v>0</v>
      </c>
      <c r="DF781" s="1472"/>
      <c r="DG781" s="1472"/>
      <c r="DH781" s="1472"/>
      <c r="DI781" s="1472"/>
      <c r="DJ781" s="1472">
        <f>IF(J781="4 Bedrooms",O781,0)</f>
        <v>0</v>
      </c>
      <c r="DK781" s="1472"/>
      <c r="DL781" s="1472"/>
      <c r="DM781" s="1472"/>
      <c r="DN781" s="1472"/>
      <c r="DO781" s="1472">
        <f>IF(J781="5 Bedrooms",O781,0)</f>
        <v>0</v>
      </c>
      <c r="DP781" s="1472"/>
      <c r="DQ781" s="1472"/>
      <c r="DR781" s="1472"/>
      <c r="DS781" s="1472"/>
      <c r="DT781" s="257"/>
      <c r="DU781" s="3"/>
      <c r="DV781" s="3"/>
    </row>
    <row r="782" spans="1:159" ht="12.95" customHeight="1">
      <c r="J782" s="1335"/>
      <c r="K782" s="1336"/>
      <c r="L782" s="1336"/>
      <c r="M782" s="1336"/>
      <c r="N782" s="1337"/>
      <c r="O782" s="1390"/>
      <c r="P782" s="1390"/>
      <c r="Q782" s="1390"/>
      <c r="R782" s="1390"/>
      <c r="S782" s="1390"/>
      <c r="T782" s="1332"/>
      <c r="U782" s="1333"/>
      <c r="V782" s="1333"/>
      <c r="W782" s="1334"/>
      <c r="X782" s="1363"/>
      <c r="Y782" s="1364"/>
      <c r="Z782" s="1364"/>
      <c r="AA782" s="1364"/>
      <c r="AB782" s="1365"/>
      <c r="AC782" s="1366">
        <f>X782*O782</f>
        <v>0</v>
      </c>
      <c r="AD782" s="1367"/>
      <c r="AE782" s="1367"/>
      <c r="AF782" s="1367"/>
      <c r="AG782" s="1368"/>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4">
        <f>IF(J782="SRO/Studio",O782,0)</f>
        <v>0</v>
      </c>
      <c r="CQ782" s="1475"/>
      <c r="CR782" s="1475"/>
      <c r="CS782" s="1475"/>
      <c r="CT782" s="1476"/>
      <c r="CU782" s="1472">
        <f>IF(J782="1 Bedroom",O782,0)</f>
        <v>0</v>
      </c>
      <c r="CV782" s="1472"/>
      <c r="CW782" s="1472"/>
      <c r="CX782" s="1472"/>
      <c r="CY782" s="1472"/>
      <c r="CZ782" s="1472">
        <f>IF(J782="2 Bedrooms",O782,0)</f>
        <v>0</v>
      </c>
      <c r="DA782" s="1472"/>
      <c r="DB782" s="1472"/>
      <c r="DC782" s="1472"/>
      <c r="DD782" s="1472"/>
      <c r="DE782" s="1472">
        <f>IF(J782="3 Bedrooms",O782,0)</f>
        <v>0</v>
      </c>
      <c r="DF782" s="1472"/>
      <c r="DG782" s="1472"/>
      <c r="DH782" s="1472"/>
      <c r="DI782" s="1472"/>
      <c r="DJ782" s="1472">
        <f>IF(J782="4 Bedrooms",O782,0)</f>
        <v>0</v>
      </c>
      <c r="DK782" s="1472"/>
      <c r="DL782" s="1472"/>
      <c r="DM782" s="1472"/>
      <c r="DN782" s="1472"/>
      <c r="DO782" s="1472">
        <f>IF(J782="5 Bedrooms",O782,0)</f>
        <v>0</v>
      </c>
      <c r="DP782" s="1472"/>
      <c r="DQ782" s="1472"/>
      <c r="DR782" s="1472"/>
      <c r="DS782" s="1472"/>
      <c r="DT782" s="257"/>
      <c r="DU782" s="3"/>
      <c r="DV782" s="3"/>
    </row>
    <row r="783" spans="1:159" ht="12.95" customHeight="1">
      <c r="J783" s="1335"/>
      <c r="K783" s="1336"/>
      <c r="L783" s="1336"/>
      <c r="M783" s="1336"/>
      <c r="N783" s="1337"/>
      <c r="O783" s="1390"/>
      <c r="P783" s="1390"/>
      <c r="Q783" s="1390"/>
      <c r="R783" s="1390"/>
      <c r="S783" s="1390"/>
      <c r="T783" s="1332"/>
      <c r="U783" s="1333"/>
      <c r="V783" s="1333"/>
      <c r="W783" s="1334"/>
      <c r="X783" s="1363"/>
      <c r="Y783" s="1364"/>
      <c r="Z783" s="1364"/>
      <c r="AA783" s="1364"/>
      <c r="AB783" s="1365"/>
      <c r="AC783" s="1366">
        <f>X783*O783</f>
        <v>0</v>
      </c>
      <c r="AD783" s="1367"/>
      <c r="AE783" s="1367"/>
      <c r="AF783" s="1367"/>
      <c r="AG783" s="1368"/>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4">
        <f>IF(J783="SRO/Studio",O783,0)</f>
        <v>0</v>
      </c>
      <c r="CQ783" s="1475"/>
      <c r="CR783" s="1475"/>
      <c r="CS783" s="1475"/>
      <c r="CT783" s="1476"/>
      <c r="CU783" s="1472">
        <f>IF(J783="1 Bedroom",O783,0)</f>
        <v>0</v>
      </c>
      <c r="CV783" s="1472"/>
      <c r="CW783" s="1472"/>
      <c r="CX783" s="1472"/>
      <c r="CY783" s="1472"/>
      <c r="CZ783" s="1472">
        <f>IF(J783="2 Bedrooms",O783,0)</f>
        <v>0</v>
      </c>
      <c r="DA783" s="1472"/>
      <c r="DB783" s="1472"/>
      <c r="DC783" s="1472"/>
      <c r="DD783" s="1472"/>
      <c r="DE783" s="1472">
        <f>IF(J783="3 Bedrooms",O783,0)</f>
        <v>0</v>
      </c>
      <c r="DF783" s="1472"/>
      <c r="DG783" s="1472"/>
      <c r="DH783" s="1472"/>
      <c r="DI783" s="1472"/>
      <c r="DJ783" s="1472">
        <f>IF(J783="4 Bedrooms",O783,0)</f>
        <v>0</v>
      </c>
      <c r="DK783" s="1472"/>
      <c r="DL783" s="1472"/>
      <c r="DM783" s="1472"/>
      <c r="DN783" s="1472"/>
      <c r="DO783" s="1472">
        <f>IF(J783="5 Bedrooms",O783,0)</f>
        <v>0</v>
      </c>
      <c r="DP783" s="1472"/>
      <c r="DQ783" s="1472"/>
      <c r="DR783" s="1472"/>
      <c r="DS783" s="1472"/>
      <c r="DT783" s="257"/>
    </row>
    <row r="784" spans="1:159" ht="12.95" customHeight="1">
      <c r="J784" s="1335"/>
      <c r="K784" s="1336"/>
      <c r="L784" s="1336"/>
      <c r="M784" s="1336"/>
      <c r="N784" s="1337"/>
      <c r="O784" s="1390"/>
      <c r="P784" s="1390"/>
      <c r="Q784" s="1390"/>
      <c r="R784" s="1390"/>
      <c r="S784" s="1390"/>
      <c r="T784" s="1332"/>
      <c r="U784" s="1333"/>
      <c r="V784" s="1333"/>
      <c r="W784" s="1334"/>
      <c r="X784" s="1363"/>
      <c r="Y784" s="1364"/>
      <c r="Z784" s="1364"/>
      <c r="AA784" s="1364"/>
      <c r="AB784" s="1365"/>
      <c r="AC784" s="1366">
        <f>X784*O784</f>
        <v>0</v>
      </c>
      <c r="AD784" s="1367"/>
      <c r="AE784" s="1367"/>
      <c r="AF784" s="1367"/>
      <c r="AG784" s="1368"/>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4">
        <f>IF(J784="SRO/Studio",O784,0)</f>
        <v>0</v>
      </c>
      <c r="CQ784" s="1475"/>
      <c r="CR784" s="1475"/>
      <c r="CS784" s="1475"/>
      <c r="CT784" s="1476"/>
      <c r="CU784" s="1472">
        <f>IF(J784="1 Bedroom",O784,0)</f>
        <v>0</v>
      </c>
      <c r="CV784" s="1472"/>
      <c r="CW784" s="1472"/>
      <c r="CX784" s="1472"/>
      <c r="CY784" s="1472"/>
      <c r="CZ784" s="1472">
        <f>IF(J784="2 Bedrooms",O784,0)</f>
        <v>0</v>
      </c>
      <c r="DA784" s="1472"/>
      <c r="DB784" s="1472"/>
      <c r="DC784" s="1472"/>
      <c r="DD784" s="1472"/>
      <c r="DE784" s="1472">
        <f>IF(J784="3 Bedrooms",O784,0)</f>
        <v>0</v>
      </c>
      <c r="DF784" s="1472"/>
      <c r="DG784" s="1472"/>
      <c r="DH784" s="1472"/>
      <c r="DI784" s="1472"/>
      <c r="DJ784" s="1472">
        <f>IF(J784="4 Bedrooms",O784,0)</f>
        <v>0</v>
      </c>
      <c r="DK784" s="1472"/>
      <c r="DL784" s="1472"/>
      <c r="DM784" s="1472"/>
      <c r="DN784" s="1472"/>
      <c r="DO784" s="1472">
        <f>IF(J784="5 Bedrooms",O784,0)</f>
        <v>0</v>
      </c>
      <c r="DP784" s="1472"/>
      <c r="DQ784" s="1472"/>
      <c r="DR784" s="1472"/>
      <c r="DS784" s="1472"/>
    </row>
    <row r="785" spans="1:154" ht="12.95" customHeight="1">
      <c r="J785" s="1469" t="s">
        <v>1477</v>
      </c>
      <c r="K785" s="1470"/>
      <c r="L785" s="1470"/>
      <c r="M785" s="1470"/>
      <c r="N785" s="1471"/>
      <c r="O785" s="1481">
        <f>SUM(O781:S784)</f>
        <v>1</v>
      </c>
      <c r="P785" s="1482"/>
      <c r="Q785" s="1482"/>
      <c r="R785" s="1482"/>
      <c r="S785" s="1483"/>
      <c r="X785" s="1469" t="s">
        <v>1478</v>
      </c>
      <c r="Y785" s="1470"/>
      <c r="Z785" s="1470"/>
      <c r="AA785" s="1470"/>
      <c r="AB785" s="1471"/>
      <c r="AC785" s="1366">
        <f>SUM(AC781:AG784)</f>
        <v>0</v>
      </c>
      <c r="AD785" s="1367"/>
      <c r="AE785" s="1367"/>
      <c r="AF785" s="1367"/>
      <c r="AG785" s="1368"/>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81">
        <f>SUM(CP781:CT784)</f>
        <v>0</v>
      </c>
      <c r="CQ785" s="1482"/>
      <c r="CR785" s="1482"/>
      <c r="CS785" s="1482"/>
      <c r="CT785" s="1483"/>
      <c r="CU785" s="1481">
        <f>SUM(CU781:CY784)</f>
        <v>0</v>
      </c>
      <c r="CV785" s="1482"/>
      <c r="CW785" s="1482"/>
      <c r="CX785" s="1482"/>
      <c r="CY785" s="1483"/>
      <c r="CZ785" s="1481">
        <f>SUM(CZ781:DD784)</f>
        <v>1</v>
      </c>
      <c r="DA785" s="1482"/>
      <c r="DB785" s="1482"/>
      <c r="DC785" s="1482"/>
      <c r="DD785" s="1483"/>
      <c r="DE785" s="1481">
        <f>SUM(DE781:DI784)</f>
        <v>0</v>
      </c>
      <c r="DF785" s="1482"/>
      <c r="DG785" s="1482"/>
      <c r="DH785" s="1482"/>
      <c r="DI785" s="1483"/>
      <c r="DJ785" s="1481">
        <f>SUM(DJ781:DN784)</f>
        <v>0</v>
      </c>
      <c r="DK785" s="1482"/>
      <c r="DL785" s="1482"/>
      <c r="DM785" s="1482"/>
      <c r="DN785" s="1483"/>
      <c r="DO785" s="1481">
        <f>SUM(DO781:DS784)</f>
        <v>0</v>
      </c>
      <c r="DP785" s="1482"/>
      <c r="DQ785" s="1482"/>
      <c r="DR785" s="1482"/>
      <c r="DS785" s="1483"/>
      <c r="DU785" s="756">
        <f>CP785+CU785+CZ785+DE785+DJ785+DO785</f>
        <v>1</v>
      </c>
      <c r="DV785" s="49" t="s">
        <v>1494</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1495</v>
      </c>
    </row>
    <row r="787" spans="1:154" ht="12.95" customHeight="1">
      <c r="B787" s="48"/>
      <c r="C787" s="48"/>
      <c r="D787" s="48"/>
      <c r="E787" s="48"/>
      <c r="F787" s="48"/>
      <c r="G787" s="257"/>
      <c r="H787" s="257"/>
      <c r="I787" s="257"/>
      <c r="J787" s="1314" t="s">
        <v>700</v>
      </c>
      <c r="K787" s="1314"/>
      <c r="L787" s="48"/>
      <c r="M787" s="84" t="s">
        <v>1496</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1497</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1000</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78" t="s">
        <v>1457</v>
      </c>
      <c r="K791" s="1379"/>
      <c r="L791" s="1379"/>
      <c r="M791" s="1379"/>
      <c r="N791" s="1380"/>
      <c r="O791" s="1391" t="s">
        <v>1458</v>
      </c>
      <c r="P791" s="1391"/>
      <c r="Q791" s="1391"/>
      <c r="R791" s="1391"/>
      <c r="S791" s="1391"/>
      <c r="T791" s="1651" t="s">
        <v>1459</v>
      </c>
      <c r="U791" s="1652"/>
      <c r="V791" s="1652"/>
      <c r="W791" s="1653"/>
      <c r="X791" s="1378" t="s">
        <v>1460</v>
      </c>
      <c r="Y791" s="1379"/>
      <c r="Z791" s="1379"/>
      <c r="AA791" s="1379"/>
      <c r="AB791" s="1380"/>
      <c r="AC791" s="1378" t="s">
        <v>1492</v>
      </c>
      <c r="AD791" s="1379"/>
      <c r="AE791" s="1379"/>
      <c r="AF791" s="1379"/>
      <c r="AG791" s="138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1"/>
      <c r="K792" s="1382"/>
      <c r="L792" s="1382"/>
      <c r="M792" s="1382"/>
      <c r="N792" s="1383"/>
      <c r="O792" s="1391"/>
      <c r="P792" s="1391"/>
      <c r="Q792" s="1391"/>
      <c r="R792" s="1391"/>
      <c r="S792" s="1391"/>
      <c r="T792" s="1654"/>
      <c r="U792" s="1655"/>
      <c r="V792" s="1655"/>
      <c r="W792" s="1656"/>
      <c r="X792" s="1381"/>
      <c r="Y792" s="1382"/>
      <c r="Z792" s="1382"/>
      <c r="AA792" s="1382"/>
      <c r="AB792" s="1383"/>
      <c r="AC792" s="1381"/>
      <c r="AD792" s="1382"/>
      <c r="AE792" s="1382"/>
      <c r="AF792" s="1382"/>
      <c r="AG792" s="138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1"/>
      <c r="K793" s="1382"/>
      <c r="L793" s="1382"/>
      <c r="M793" s="1382"/>
      <c r="N793" s="1383"/>
      <c r="O793" s="1391"/>
      <c r="P793" s="1391"/>
      <c r="Q793" s="1391"/>
      <c r="R793" s="1391"/>
      <c r="S793" s="1391"/>
      <c r="T793" s="1654"/>
      <c r="U793" s="1655"/>
      <c r="V793" s="1655"/>
      <c r="W793" s="1656"/>
      <c r="X793" s="1381"/>
      <c r="Y793" s="1382"/>
      <c r="Z793" s="1382"/>
      <c r="AA793" s="1382"/>
      <c r="AB793" s="1383"/>
      <c r="AC793" s="1381"/>
      <c r="AD793" s="1382"/>
      <c r="AE793" s="1382"/>
      <c r="AF793" s="1382"/>
      <c r="AG793" s="138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84"/>
      <c r="K794" s="1385"/>
      <c r="L794" s="1385"/>
      <c r="M794" s="1385"/>
      <c r="N794" s="1386"/>
      <c r="O794" s="1391"/>
      <c r="P794" s="1391"/>
      <c r="Q794" s="1391"/>
      <c r="R794" s="1391"/>
      <c r="S794" s="1391"/>
      <c r="T794" s="1657"/>
      <c r="U794" s="1658"/>
      <c r="V794" s="1658"/>
      <c r="W794" s="1659"/>
      <c r="X794" s="1384"/>
      <c r="Y794" s="1385"/>
      <c r="Z794" s="1385"/>
      <c r="AA794" s="1385"/>
      <c r="AB794" s="1386"/>
      <c r="AC794" s="1384"/>
      <c r="AD794" s="1385"/>
      <c r="AE794" s="1385"/>
      <c r="AF794" s="1385"/>
      <c r="AG794" s="138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1498</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1499</v>
      </c>
      <c r="DV794" s="3"/>
      <c r="DW794" s="3"/>
      <c r="DX794" s="3"/>
      <c r="DY794" s="3"/>
      <c r="DZ794" s="3"/>
      <c r="EA794" s="3"/>
      <c r="EB794" s="3"/>
      <c r="EC794" s="3"/>
      <c r="ED794" s="3"/>
      <c r="EE794" s="3"/>
      <c r="EF794" s="3"/>
      <c r="EG794" s="3"/>
      <c r="EH794" s="3"/>
    </row>
    <row r="795" spans="1:154" ht="12.95" customHeight="1">
      <c r="J795" s="1335"/>
      <c r="K795" s="1336"/>
      <c r="L795" s="1336"/>
      <c r="M795" s="1336"/>
      <c r="N795" s="1337"/>
      <c r="O795" s="1390"/>
      <c r="P795" s="1390"/>
      <c r="Q795" s="1390"/>
      <c r="R795" s="1390"/>
      <c r="S795" s="1390"/>
      <c r="T795" s="1332"/>
      <c r="U795" s="1333"/>
      <c r="V795" s="1333"/>
      <c r="W795" s="1334"/>
      <c r="X795" s="1363"/>
      <c r="Y795" s="1364"/>
      <c r="Z795" s="1364"/>
      <c r="AA795" s="1364"/>
      <c r="AB795" s="1365"/>
      <c r="AC795" s="1366">
        <f t="shared" ref="AC795:AC804" si="42">X795*O795</f>
        <v>0</v>
      </c>
      <c r="AD795" s="1367"/>
      <c r="AE795" s="1367"/>
      <c r="AF795" s="1367"/>
      <c r="AG795" s="136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4">
        <f t="shared" ref="CP795:CP804" si="43">IF(J795="SRO/Studio",O795,0)</f>
        <v>0</v>
      </c>
      <c r="CQ795" s="1475"/>
      <c r="CR795" s="1475"/>
      <c r="CS795" s="1475"/>
      <c r="CT795" s="1476"/>
      <c r="CU795" s="1474">
        <f t="shared" ref="CU795:CU804" si="44">IF(J795="1 Bedroom",O795,0)</f>
        <v>0</v>
      </c>
      <c r="CV795" s="1475"/>
      <c r="CW795" s="1475"/>
      <c r="CX795" s="1475"/>
      <c r="CY795" s="1476"/>
      <c r="CZ795" s="1474">
        <f t="shared" ref="CZ795:CZ804" si="45">IF(J795="2 Bedrooms",O795,0)</f>
        <v>0</v>
      </c>
      <c r="DA795" s="1475"/>
      <c r="DB795" s="1475"/>
      <c r="DC795" s="1475"/>
      <c r="DD795" s="1476"/>
      <c r="DE795" s="1474">
        <f t="shared" ref="DE795:DE804" si="46">IF(J795="3 Bedrooms",O795,0)</f>
        <v>0</v>
      </c>
      <c r="DF795" s="1475"/>
      <c r="DG795" s="1475"/>
      <c r="DH795" s="1475"/>
      <c r="DI795" s="1476"/>
      <c r="DJ795" s="1474">
        <f t="shared" ref="DJ795:DJ804" si="47">IF(J795="4 Bedrooms",O795,0)</f>
        <v>0</v>
      </c>
      <c r="DK795" s="1475"/>
      <c r="DL795" s="1475"/>
      <c r="DM795" s="1475"/>
      <c r="DN795" s="1476"/>
      <c r="DO795" s="1474">
        <f t="shared" ref="DO795:DO804" si="48">IF(J795="5 Bedrooms",O795,0)</f>
        <v>0</v>
      </c>
      <c r="DP795" s="1475"/>
      <c r="DQ795" s="1475"/>
      <c r="DR795" s="1475"/>
      <c r="DS795" s="1476"/>
      <c r="DT795" s="257"/>
      <c r="DU795" s="1474">
        <f t="shared" ref="DU795:DU804" si="49">IF(AND(CP795&gt;=1,AH795&gt;=0.1,AH795&lt;=1),O795,0)</f>
        <v>0</v>
      </c>
      <c r="DV795" s="1475"/>
      <c r="DW795" s="1475"/>
      <c r="DX795" s="1475"/>
      <c r="DY795" s="1476"/>
      <c r="DZ795" s="1474">
        <f t="shared" ref="DZ795:DZ804" si="50">IF(AND(CU795&gt;=1,AH795&gt;=0.1,AH795&lt;=1),O795,0)</f>
        <v>0</v>
      </c>
      <c r="EA795" s="1475"/>
      <c r="EB795" s="1475"/>
      <c r="EC795" s="1475"/>
      <c r="ED795" s="1476"/>
      <c r="EE795" s="1474">
        <f t="shared" ref="EE795:EE804" si="51">IF(AND(CZ795&gt;=1,AH795&gt;=0.1,AH795&lt;=1),O795,0)</f>
        <v>0</v>
      </c>
      <c r="EF795" s="1475"/>
      <c r="EG795" s="1475"/>
      <c r="EH795" s="1475"/>
      <c r="EI795" s="1476"/>
      <c r="EJ795" s="1474">
        <f t="shared" ref="EJ795:EJ804" si="52">IF(AND(DE795&gt;=1,AH795&gt;=0.1,AH795&lt;=1),O795,0)</f>
        <v>0</v>
      </c>
      <c r="EK795" s="1475"/>
      <c r="EL795" s="1475"/>
      <c r="EM795" s="1475"/>
      <c r="EN795" s="1476"/>
      <c r="EO795" s="1474">
        <f t="shared" ref="EO795:EO804" si="53">IF(AND(DJ795&gt;=1,AH795&gt;=0.1,AH795&lt;=1),O795,0)</f>
        <v>0</v>
      </c>
      <c r="EP795" s="1475"/>
      <c r="EQ795" s="1475"/>
      <c r="ER795" s="1475"/>
      <c r="ES795" s="1476"/>
      <c r="ET795" s="1474">
        <f t="shared" ref="ET795:ET804" si="54">IF(AND(DO795&gt;=1,AH795&gt;=0.1,AH795&lt;=1),O795,0)</f>
        <v>0</v>
      </c>
      <c r="EU795" s="1475"/>
      <c r="EV795" s="1475"/>
      <c r="EW795" s="1475"/>
      <c r="EX795" s="1476"/>
    </row>
    <row r="796" spans="1:154" s="13" customFormat="1" ht="12.95" customHeight="1">
      <c r="A796"/>
      <c r="B796"/>
      <c r="C796"/>
      <c r="D796"/>
      <c r="E796"/>
      <c r="F796"/>
      <c r="G796"/>
      <c r="H796"/>
      <c r="I796"/>
      <c r="J796" s="1335"/>
      <c r="K796" s="1336"/>
      <c r="L796" s="1336"/>
      <c r="M796" s="1336"/>
      <c r="N796" s="1337"/>
      <c r="O796" s="1390"/>
      <c r="P796" s="1390"/>
      <c r="Q796" s="1390"/>
      <c r="R796" s="1390"/>
      <c r="S796" s="1390"/>
      <c r="T796" s="1332"/>
      <c r="U796" s="1333"/>
      <c r="V796" s="1333"/>
      <c r="W796" s="1334"/>
      <c r="X796" s="1363"/>
      <c r="Y796" s="1364"/>
      <c r="Z796" s="1364"/>
      <c r="AA796" s="1364"/>
      <c r="AB796" s="1365"/>
      <c r="AC796" s="1366">
        <f t="shared" si="42"/>
        <v>0</v>
      </c>
      <c r="AD796" s="1367"/>
      <c r="AE796" s="1367"/>
      <c r="AF796" s="1367"/>
      <c r="AG796" s="136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4">
        <f t="shared" si="43"/>
        <v>0</v>
      </c>
      <c r="CQ796" s="1475"/>
      <c r="CR796" s="1475"/>
      <c r="CS796" s="1475"/>
      <c r="CT796" s="1476"/>
      <c r="CU796" s="1474">
        <f t="shared" si="44"/>
        <v>0</v>
      </c>
      <c r="CV796" s="1475"/>
      <c r="CW796" s="1475"/>
      <c r="CX796" s="1475"/>
      <c r="CY796" s="1476"/>
      <c r="CZ796" s="1474">
        <f t="shared" si="45"/>
        <v>0</v>
      </c>
      <c r="DA796" s="1475"/>
      <c r="DB796" s="1475"/>
      <c r="DC796" s="1475"/>
      <c r="DD796" s="1476"/>
      <c r="DE796" s="1474">
        <f t="shared" si="46"/>
        <v>0</v>
      </c>
      <c r="DF796" s="1475"/>
      <c r="DG796" s="1475"/>
      <c r="DH796" s="1475"/>
      <c r="DI796" s="1476"/>
      <c r="DJ796" s="1474">
        <f t="shared" si="47"/>
        <v>0</v>
      </c>
      <c r="DK796" s="1475"/>
      <c r="DL796" s="1475"/>
      <c r="DM796" s="1475"/>
      <c r="DN796" s="1476"/>
      <c r="DO796" s="1474">
        <f t="shared" si="48"/>
        <v>0</v>
      </c>
      <c r="DP796" s="1475"/>
      <c r="DQ796" s="1475"/>
      <c r="DR796" s="1475"/>
      <c r="DS796" s="1476"/>
      <c r="DT796" s="257"/>
      <c r="DU796" s="1474">
        <f t="shared" si="49"/>
        <v>0</v>
      </c>
      <c r="DV796" s="1475"/>
      <c r="DW796" s="1475"/>
      <c r="DX796" s="1475"/>
      <c r="DY796" s="1476"/>
      <c r="DZ796" s="1474">
        <f t="shared" si="50"/>
        <v>0</v>
      </c>
      <c r="EA796" s="1475"/>
      <c r="EB796" s="1475"/>
      <c r="EC796" s="1475"/>
      <c r="ED796" s="1476"/>
      <c r="EE796" s="1474">
        <f t="shared" si="51"/>
        <v>0</v>
      </c>
      <c r="EF796" s="1475"/>
      <c r="EG796" s="1475"/>
      <c r="EH796" s="1475"/>
      <c r="EI796" s="1476"/>
      <c r="EJ796" s="1474">
        <f t="shared" si="52"/>
        <v>0</v>
      </c>
      <c r="EK796" s="1475"/>
      <c r="EL796" s="1475"/>
      <c r="EM796" s="1475"/>
      <c r="EN796" s="1476"/>
      <c r="EO796" s="1474">
        <f t="shared" si="53"/>
        <v>0</v>
      </c>
      <c r="EP796" s="1475"/>
      <c r="EQ796" s="1475"/>
      <c r="ER796" s="1475"/>
      <c r="ES796" s="1476"/>
      <c r="ET796" s="1474">
        <f t="shared" si="54"/>
        <v>0</v>
      </c>
      <c r="EU796" s="1475"/>
      <c r="EV796" s="1475"/>
      <c r="EW796" s="1475"/>
      <c r="EX796" s="1476"/>
    </row>
    <row r="797" spans="1:154" s="13" customFormat="1" ht="12.95" customHeight="1">
      <c r="A797"/>
      <c r="B797"/>
      <c r="C797"/>
      <c r="D797"/>
      <c r="E797"/>
      <c r="F797"/>
      <c r="G797"/>
      <c r="H797"/>
      <c r="I797"/>
      <c r="J797" s="1335"/>
      <c r="K797" s="1336"/>
      <c r="L797" s="1336"/>
      <c r="M797" s="1336"/>
      <c r="N797" s="1337"/>
      <c r="O797" s="1390"/>
      <c r="P797" s="1390"/>
      <c r="Q797" s="1390"/>
      <c r="R797" s="1390"/>
      <c r="S797" s="1390"/>
      <c r="T797" s="1332"/>
      <c r="U797" s="1333"/>
      <c r="V797" s="1333"/>
      <c r="W797" s="1334"/>
      <c r="X797" s="1363"/>
      <c r="Y797" s="1364"/>
      <c r="Z797" s="1364"/>
      <c r="AA797" s="1364"/>
      <c r="AB797" s="1365"/>
      <c r="AC797" s="1366">
        <f t="shared" si="42"/>
        <v>0</v>
      </c>
      <c r="AD797" s="1367"/>
      <c r="AE797" s="1367"/>
      <c r="AF797" s="1367"/>
      <c r="AG797" s="136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4">
        <f t="shared" si="43"/>
        <v>0</v>
      </c>
      <c r="CQ797" s="1475"/>
      <c r="CR797" s="1475"/>
      <c r="CS797" s="1475"/>
      <c r="CT797" s="1476"/>
      <c r="CU797" s="1474">
        <f t="shared" si="44"/>
        <v>0</v>
      </c>
      <c r="CV797" s="1475"/>
      <c r="CW797" s="1475"/>
      <c r="CX797" s="1475"/>
      <c r="CY797" s="1476"/>
      <c r="CZ797" s="1474">
        <f t="shared" si="45"/>
        <v>0</v>
      </c>
      <c r="DA797" s="1475"/>
      <c r="DB797" s="1475"/>
      <c r="DC797" s="1475"/>
      <c r="DD797" s="1476"/>
      <c r="DE797" s="1474">
        <f t="shared" si="46"/>
        <v>0</v>
      </c>
      <c r="DF797" s="1475"/>
      <c r="DG797" s="1475"/>
      <c r="DH797" s="1475"/>
      <c r="DI797" s="1476"/>
      <c r="DJ797" s="1474">
        <f t="shared" si="47"/>
        <v>0</v>
      </c>
      <c r="DK797" s="1475"/>
      <c r="DL797" s="1475"/>
      <c r="DM797" s="1475"/>
      <c r="DN797" s="1476"/>
      <c r="DO797" s="1474">
        <f t="shared" si="48"/>
        <v>0</v>
      </c>
      <c r="DP797" s="1475"/>
      <c r="DQ797" s="1475"/>
      <c r="DR797" s="1475"/>
      <c r="DS797" s="1476"/>
      <c r="DT797" s="257"/>
      <c r="DU797" s="1474">
        <f t="shared" si="49"/>
        <v>0</v>
      </c>
      <c r="DV797" s="1475"/>
      <c r="DW797" s="1475"/>
      <c r="DX797" s="1475"/>
      <c r="DY797" s="1476"/>
      <c r="DZ797" s="1474">
        <f t="shared" si="50"/>
        <v>0</v>
      </c>
      <c r="EA797" s="1475"/>
      <c r="EB797" s="1475"/>
      <c r="EC797" s="1475"/>
      <c r="ED797" s="1476"/>
      <c r="EE797" s="1474">
        <f t="shared" si="51"/>
        <v>0</v>
      </c>
      <c r="EF797" s="1475"/>
      <c r="EG797" s="1475"/>
      <c r="EH797" s="1475"/>
      <c r="EI797" s="1476"/>
      <c r="EJ797" s="1474">
        <f t="shared" si="52"/>
        <v>0</v>
      </c>
      <c r="EK797" s="1475"/>
      <c r="EL797" s="1475"/>
      <c r="EM797" s="1475"/>
      <c r="EN797" s="1476"/>
      <c r="EO797" s="1474">
        <f t="shared" si="53"/>
        <v>0</v>
      </c>
      <c r="EP797" s="1475"/>
      <c r="EQ797" s="1475"/>
      <c r="ER797" s="1475"/>
      <c r="ES797" s="1476"/>
      <c r="ET797" s="1474">
        <f t="shared" si="54"/>
        <v>0</v>
      </c>
      <c r="EU797" s="1475"/>
      <c r="EV797" s="1475"/>
      <c r="EW797" s="1475"/>
      <c r="EX797" s="1476"/>
    </row>
    <row r="798" spans="1:154" s="13" customFormat="1" ht="12.95" customHeight="1">
      <c r="A798"/>
      <c r="B798"/>
      <c r="C798"/>
      <c r="D798"/>
      <c r="E798"/>
      <c r="F798"/>
      <c r="G798"/>
      <c r="H798"/>
      <c r="I798"/>
      <c r="J798" s="1335"/>
      <c r="K798" s="1336"/>
      <c r="L798" s="1336"/>
      <c r="M798" s="1336"/>
      <c r="N798" s="1337"/>
      <c r="O798" s="1390"/>
      <c r="P798" s="1390"/>
      <c r="Q798" s="1390"/>
      <c r="R798" s="1390"/>
      <c r="S798" s="1390"/>
      <c r="T798" s="1332"/>
      <c r="U798" s="1333"/>
      <c r="V798" s="1333"/>
      <c r="W798" s="1334"/>
      <c r="X798" s="1363"/>
      <c r="Y798" s="1364"/>
      <c r="Z798" s="1364"/>
      <c r="AA798" s="1364"/>
      <c r="AB798" s="1365"/>
      <c r="AC798" s="1366">
        <f t="shared" si="42"/>
        <v>0</v>
      </c>
      <c r="AD798" s="1367"/>
      <c r="AE798" s="1367"/>
      <c r="AF798" s="1367"/>
      <c r="AG798" s="136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4">
        <f t="shared" si="43"/>
        <v>0</v>
      </c>
      <c r="CQ798" s="1475"/>
      <c r="CR798" s="1475"/>
      <c r="CS798" s="1475"/>
      <c r="CT798" s="1476"/>
      <c r="CU798" s="1474">
        <f t="shared" si="44"/>
        <v>0</v>
      </c>
      <c r="CV798" s="1475"/>
      <c r="CW798" s="1475"/>
      <c r="CX798" s="1475"/>
      <c r="CY798" s="1476"/>
      <c r="CZ798" s="1474">
        <f t="shared" si="45"/>
        <v>0</v>
      </c>
      <c r="DA798" s="1475"/>
      <c r="DB798" s="1475"/>
      <c r="DC798" s="1475"/>
      <c r="DD798" s="1476"/>
      <c r="DE798" s="1474">
        <f t="shared" si="46"/>
        <v>0</v>
      </c>
      <c r="DF798" s="1475"/>
      <c r="DG798" s="1475"/>
      <c r="DH798" s="1475"/>
      <c r="DI798" s="1476"/>
      <c r="DJ798" s="1474">
        <f t="shared" si="47"/>
        <v>0</v>
      </c>
      <c r="DK798" s="1475"/>
      <c r="DL798" s="1475"/>
      <c r="DM798" s="1475"/>
      <c r="DN798" s="1476"/>
      <c r="DO798" s="1474">
        <f t="shared" si="48"/>
        <v>0</v>
      </c>
      <c r="DP798" s="1475"/>
      <c r="DQ798" s="1475"/>
      <c r="DR798" s="1475"/>
      <c r="DS798" s="1476"/>
      <c r="DT798" s="257"/>
      <c r="DU798" s="1474">
        <f t="shared" si="49"/>
        <v>0</v>
      </c>
      <c r="DV798" s="1475"/>
      <c r="DW798" s="1475"/>
      <c r="DX798" s="1475"/>
      <c r="DY798" s="1476"/>
      <c r="DZ798" s="1474">
        <f t="shared" si="50"/>
        <v>0</v>
      </c>
      <c r="EA798" s="1475"/>
      <c r="EB798" s="1475"/>
      <c r="EC798" s="1475"/>
      <c r="ED798" s="1476"/>
      <c r="EE798" s="1474">
        <f t="shared" si="51"/>
        <v>0</v>
      </c>
      <c r="EF798" s="1475"/>
      <c r="EG798" s="1475"/>
      <c r="EH798" s="1475"/>
      <c r="EI798" s="1476"/>
      <c r="EJ798" s="1474">
        <f t="shared" si="52"/>
        <v>0</v>
      </c>
      <c r="EK798" s="1475"/>
      <c r="EL798" s="1475"/>
      <c r="EM798" s="1475"/>
      <c r="EN798" s="1476"/>
      <c r="EO798" s="1474">
        <f t="shared" si="53"/>
        <v>0</v>
      </c>
      <c r="EP798" s="1475"/>
      <c r="EQ798" s="1475"/>
      <c r="ER798" s="1475"/>
      <c r="ES798" s="1476"/>
      <c r="ET798" s="1474">
        <f t="shared" si="54"/>
        <v>0</v>
      </c>
      <c r="EU798" s="1475"/>
      <c r="EV798" s="1475"/>
      <c r="EW798" s="1475"/>
      <c r="EX798" s="1476"/>
    </row>
    <row r="799" spans="1:154" s="13" customFormat="1" ht="12.95" customHeight="1">
      <c r="A799"/>
      <c r="B799"/>
      <c r="C799"/>
      <c r="D799"/>
      <c r="E799"/>
      <c r="F799"/>
      <c r="G799"/>
      <c r="H799"/>
      <c r="I799"/>
      <c r="J799" s="1335"/>
      <c r="K799" s="1336"/>
      <c r="L799" s="1336"/>
      <c r="M799" s="1336"/>
      <c r="N799" s="1337"/>
      <c r="O799" s="1390"/>
      <c r="P799" s="1390"/>
      <c r="Q799" s="1390"/>
      <c r="R799" s="1390"/>
      <c r="S799" s="1390"/>
      <c r="T799" s="1332"/>
      <c r="U799" s="1333"/>
      <c r="V799" s="1333"/>
      <c r="W799" s="1334"/>
      <c r="X799" s="1363"/>
      <c r="Y799" s="1364"/>
      <c r="Z799" s="1364"/>
      <c r="AA799" s="1364"/>
      <c r="AB799" s="1365"/>
      <c r="AC799" s="1366">
        <f t="shared" si="42"/>
        <v>0</v>
      </c>
      <c r="AD799" s="1367"/>
      <c r="AE799" s="1367"/>
      <c r="AF799" s="1367"/>
      <c r="AG799" s="136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4">
        <f t="shared" si="43"/>
        <v>0</v>
      </c>
      <c r="CQ799" s="1475"/>
      <c r="CR799" s="1475"/>
      <c r="CS799" s="1475"/>
      <c r="CT799" s="1476"/>
      <c r="CU799" s="1474">
        <f t="shared" si="44"/>
        <v>0</v>
      </c>
      <c r="CV799" s="1475"/>
      <c r="CW799" s="1475"/>
      <c r="CX799" s="1475"/>
      <c r="CY799" s="1476"/>
      <c r="CZ799" s="1474">
        <f t="shared" si="45"/>
        <v>0</v>
      </c>
      <c r="DA799" s="1475"/>
      <c r="DB799" s="1475"/>
      <c r="DC799" s="1475"/>
      <c r="DD799" s="1476"/>
      <c r="DE799" s="1474">
        <f t="shared" si="46"/>
        <v>0</v>
      </c>
      <c r="DF799" s="1475"/>
      <c r="DG799" s="1475"/>
      <c r="DH799" s="1475"/>
      <c r="DI799" s="1476"/>
      <c r="DJ799" s="1474">
        <f t="shared" si="47"/>
        <v>0</v>
      </c>
      <c r="DK799" s="1475"/>
      <c r="DL799" s="1475"/>
      <c r="DM799" s="1475"/>
      <c r="DN799" s="1476"/>
      <c r="DO799" s="1474">
        <f t="shared" si="48"/>
        <v>0</v>
      </c>
      <c r="DP799" s="1475"/>
      <c r="DQ799" s="1475"/>
      <c r="DR799" s="1475"/>
      <c r="DS799" s="1476"/>
      <c r="DT799" s="257"/>
      <c r="DU799" s="1474">
        <f t="shared" si="49"/>
        <v>0</v>
      </c>
      <c r="DV799" s="1475"/>
      <c r="DW799" s="1475"/>
      <c r="DX799" s="1475"/>
      <c r="DY799" s="1476"/>
      <c r="DZ799" s="1474">
        <f t="shared" si="50"/>
        <v>0</v>
      </c>
      <c r="EA799" s="1475"/>
      <c r="EB799" s="1475"/>
      <c r="EC799" s="1475"/>
      <c r="ED799" s="1476"/>
      <c r="EE799" s="1474">
        <f t="shared" si="51"/>
        <v>0</v>
      </c>
      <c r="EF799" s="1475"/>
      <c r="EG799" s="1475"/>
      <c r="EH799" s="1475"/>
      <c r="EI799" s="1476"/>
      <c r="EJ799" s="1474">
        <f t="shared" si="52"/>
        <v>0</v>
      </c>
      <c r="EK799" s="1475"/>
      <c r="EL799" s="1475"/>
      <c r="EM799" s="1475"/>
      <c r="EN799" s="1476"/>
      <c r="EO799" s="1474">
        <f t="shared" si="53"/>
        <v>0</v>
      </c>
      <c r="EP799" s="1475"/>
      <c r="EQ799" s="1475"/>
      <c r="ER799" s="1475"/>
      <c r="ES799" s="1476"/>
      <c r="ET799" s="1474">
        <f t="shared" si="54"/>
        <v>0</v>
      </c>
      <c r="EU799" s="1475"/>
      <c r="EV799" s="1475"/>
      <c r="EW799" s="1475"/>
      <c r="EX799" s="1476"/>
    </row>
    <row r="800" spans="1:154" s="13" customFormat="1" ht="12.95" customHeight="1">
      <c r="A800"/>
      <c r="B800"/>
      <c r="C800"/>
      <c r="D800"/>
      <c r="E800"/>
      <c r="F800"/>
      <c r="G800"/>
      <c r="H800"/>
      <c r="I800"/>
      <c r="J800" s="1335"/>
      <c r="K800" s="1336"/>
      <c r="L800" s="1336"/>
      <c r="M800" s="1336"/>
      <c r="N800" s="1337"/>
      <c r="O800" s="1390"/>
      <c r="P800" s="1390"/>
      <c r="Q800" s="1390"/>
      <c r="R800" s="1390"/>
      <c r="S800" s="1390"/>
      <c r="T800" s="1332"/>
      <c r="U800" s="1333"/>
      <c r="V800" s="1333"/>
      <c r="W800" s="1334"/>
      <c r="X800" s="1363"/>
      <c r="Y800" s="1364"/>
      <c r="Z800" s="1364"/>
      <c r="AA800" s="1364"/>
      <c r="AB800" s="1365"/>
      <c r="AC800" s="1366">
        <f t="shared" si="42"/>
        <v>0</v>
      </c>
      <c r="AD800" s="1367"/>
      <c r="AE800" s="1367"/>
      <c r="AF800" s="1367"/>
      <c r="AG800" s="136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4">
        <f t="shared" si="43"/>
        <v>0</v>
      </c>
      <c r="CQ800" s="1475"/>
      <c r="CR800" s="1475"/>
      <c r="CS800" s="1475"/>
      <c r="CT800" s="1476"/>
      <c r="CU800" s="1474">
        <f t="shared" si="44"/>
        <v>0</v>
      </c>
      <c r="CV800" s="1475"/>
      <c r="CW800" s="1475"/>
      <c r="CX800" s="1475"/>
      <c r="CY800" s="1476"/>
      <c r="CZ800" s="1474">
        <f t="shared" si="45"/>
        <v>0</v>
      </c>
      <c r="DA800" s="1475"/>
      <c r="DB800" s="1475"/>
      <c r="DC800" s="1475"/>
      <c r="DD800" s="1476"/>
      <c r="DE800" s="1474">
        <f t="shared" si="46"/>
        <v>0</v>
      </c>
      <c r="DF800" s="1475"/>
      <c r="DG800" s="1475"/>
      <c r="DH800" s="1475"/>
      <c r="DI800" s="1476"/>
      <c r="DJ800" s="1474">
        <f t="shared" si="47"/>
        <v>0</v>
      </c>
      <c r="DK800" s="1475"/>
      <c r="DL800" s="1475"/>
      <c r="DM800" s="1475"/>
      <c r="DN800" s="1476"/>
      <c r="DO800" s="1474">
        <f t="shared" si="48"/>
        <v>0</v>
      </c>
      <c r="DP800" s="1475"/>
      <c r="DQ800" s="1475"/>
      <c r="DR800" s="1475"/>
      <c r="DS800" s="1476"/>
      <c r="DT800" s="257"/>
      <c r="DU800" s="1474">
        <f t="shared" si="49"/>
        <v>0</v>
      </c>
      <c r="DV800" s="1475"/>
      <c r="DW800" s="1475"/>
      <c r="DX800" s="1475"/>
      <c r="DY800" s="1476"/>
      <c r="DZ800" s="1474">
        <f t="shared" si="50"/>
        <v>0</v>
      </c>
      <c r="EA800" s="1475"/>
      <c r="EB800" s="1475"/>
      <c r="EC800" s="1475"/>
      <c r="ED800" s="1476"/>
      <c r="EE800" s="1474">
        <f t="shared" si="51"/>
        <v>0</v>
      </c>
      <c r="EF800" s="1475"/>
      <c r="EG800" s="1475"/>
      <c r="EH800" s="1475"/>
      <c r="EI800" s="1476"/>
      <c r="EJ800" s="1474">
        <f t="shared" si="52"/>
        <v>0</v>
      </c>
      <c r="EK800" s="1475"/>
      <c r="EL800" s="1475"/>
      <c r="EM800" s="1475"/>
      <c r="EN800" s="1476"/>
      <c r="EO800" s="1474">
        <f t="shared" si="53"/>
        <v>0</v>
      </c>
      <c r="EP800" s="1475"/>
      <c r="EQ800" s="1475"/>
      <c r="ER800" s="1475"/>
      <c r="ES800" s="1476"/>
      <c r="ET800" s="1474">
        <f t="shared" si="54"/>
        <v>0</v>
      </c>
      <c r="EU800" s="1475"/>
      <c r="EV800" s="1475"/>
      <c r="EW800" s="1475"/>
      <c r="EX800" s="1476"/>
    </row>
    <row r="801" spans="1:154" s="13" customFormat="1" ht="12.95" customHeight="1">
      <c r="A801"/>
      <c r="B801"/>
      <c r="C801"/>
      <c r="D801"/>
      <c r="E801"/>
      <c r="F801"/>
      <c r="G801"/>
      <c r="H801"/>
      <c r="I801"/>
      <c r="J801" s="1335"/>
      <c r="K801" s="1336"/>
      <c r="L801" s="1336"/>
      <c r="M801" s="1336"/>
      <c r="N801" s="1337"/>
      <c r="O801" s="1390"/>
      <c r="P801" s="1390"/>
      <c r="Q801" s="1390"/>
      <c r="R801" s="1390"/>
      <c r="S801" s="1390"/>
      <c r="T801" s="1332"/>
      <c r="U801" s="1333"/>
      <c r="V801" s="1333"/>
      <c r="W801" s="1334"/>
      <c r="X801" s="1363"/>
      <c r="Y801" s="1364"/>
      <c r="Z801" s="1364"/>
      <c r="AA801" s="1364"/>
      <c r="AB801" s="1365"/>
      <c r="AC801" s="1366">
        <f t="shared" si="42"/>
        <v>0</v>
      </c>
      <c r="AD801" s="1367"/>
      <c r="AE801" s="1367"/>
      <c r="AF801" s="1367"/>
      <c r="AG801" s="136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4">
        <f t="shared" si="43"/>
        <v>0</v>
      </c>
      <c r="CQ801" s="1475"/>
      <c r="CR801" s="1475"/>
      <c r="CS801" s="1475"/>
      <c r="CT801" s="1476"/>
      <c r="CU801" s="1474">
        <f t="shared" si="44"/>
        <v>0</v>
      </c>
      <c r="CV801" s="1475"/>
      <c r="CW801" s="1475"/>
      <c r="CX801" s="1475"/>
      <c r="CY801" s="1476"/>
      <c r="CZ801" s="1474">
        <f t="shared" si="45"/>
        <v>0</v>
      </c>
      <c r="DA801" s="1475"/>
      <c r="DB801" s="1475"/>
      <c r="DC801" s="1475"/>
      <c r="DD801" s="1476"/>
      <c r="DE801" s="1474">
        <f t="shared" si="46"/>
        <v>0</v>
      </c>
      <c r="DF801" s="1475"/>
      <c r="DG801" s="1475"/>
      <c r="DH801" s="1475"/>
      <c r="DI801" s="1476"/>
      <c r="DJ801" s="1474">
        <f t="shared" si="47"/>
        <v>0</v>
      </c>
      <c r="DK801" s="1475"/>
      <c r="DL801" s="1475"/>
      <c r="DM801" s="1475"/>
      <c r="DN801" s="1476"/>
      <c r="DO801" s="1474">
        <f t="shared" si="48"/>
        <v>0</v>
      </c>
      <c r="DP801" s="1475"/>
      <c r="DQ801" s="1475"/>
      <c r="DR801" s="1475"/>
      <c r="DS801" s="1476"/>
      <c r="DT801" s="257"/>
      <c r="DU801" s="1474">
        <f t="shared" si="49"/>
        <v>0</v>
      </c>
      <c r="DV801" s="1475"/>
      <c r="DW801" s="1475"/>
      <c r="DX801" s="1475"/>
      <c r="DY801" s="1476"/>
      <c r="DZ801" s="1474">
        <f t="shared" si="50"/>
        <v>0</v>
      </c>
      <c r="EA801" s="1475"/>
      <c r="EB801" s="1475"/>
      <c r="EC801" s="1475"/>
      <c r="ED801" s="1476"/>
      <c r="EE801" s="1474">
        <f t="shared" si="51"/>
        <v>0</v>
      </c>
      <c r="EF801" s="1475"/>
      <c r="EG801" s="1475"/>
      <c r="EH801" s="1475"/>
      <c r="EI801" s="1476"/>
      <c r="EJ801" s="1474">
        <f t="shared" si="52"/>
        <v>0</v>
      </c>
      <c r="EK801" s="1475"/>
      <c r="EL801" s="1475"/>
      <c r="EM801" s="1475"/>
      <c r="EN801" s="1476"/>
      <c r="EO801" s="1474">
        <f t="shared" si="53"/>
        <v>0</v>
      </c>
      <c r="EP801" s="1475"/>
      <c r="EQ801" s="1475"/>
      <c r="ER801" s="1475"/>
      <c r="ES801" s="1476"/>
      <c r="ET801" s="1474">
        <f t="shared" si="54"/>
        <v>0</v>
      </c>
      <c r="EU801" s="1475"/>
      <c r="EV801" s="1475"/>
      <c r="EW801" s="1475"/>
      <c r="EX801" s="1476"/>
    </row>
    <row r="802" spans="1:154" s="13" customFormat="1" ht="12.95" customHeight="1">
      <c r="A802"/>
      <c r="B802"/>
      <c r="C802"/>
      <c r="D802"/>
      <c r="E802"/>
      <c r="F802"/>
      <c r="G802"/>
      <c r="H802"/>
      <c r="I802"/>
      <c r="J802" s="1335"/>
      <c r="K802" s="1336"/>
      <c r="L802" s="1336"/>
      <c r="M802" s="1336"/>
      <c r="N802" s="1337"/>
      <c r="O802" s="1390"/>
      <c r="P802" s="1390"/>
      <c r="Q802" s="1390"/>
      <c r="R802" s="1390"/>
      <c r="S802" s="1390"/>
      <c r="T802" s="1332"/>
      <c r="U802" s="1333"/>
      <c r="V802" s="1333"/>
      <c r="W802" s="1334"/>
      <c r="X802" s="1363"/>
      <c r="Y802" s="1364"/>
      <c r="Z802" s="1364"/>
      <c r="AA802" s="1364"/>
      <c r="AB802" s="1365"/>
      <c r="AC802" s="1366">
        <f t="shared" si="42"/>
        <v>0</v>
      </c>
      <c r="AD802" s="1367"/>
      <c r="AE802" s="1367"/>
      <c r="AF802" s="1367"/>
      <c r="AG802" s="136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4">
        <f t="shared" si="43"/>
        <v>0</v>
      </c>
      <c r="CQ802" s="1475"/>
      <c r="CR802" s="1475"/>
      <c r="CS802" s="1475"/>
      <c r="CT802" s="1476"/>
      <c r="CU802" s="1474">
        <f t="shared" si="44"/>
        <v>0</v>
      </c>
      <c r="CV802" s="1475"/>
      <c r="CW802" s="1475"/>
      <c r="CX802" s="1475"/>
      <c r="CY802" s="1476"/>
      <c r="CZ802" s="1474">
        <f t="shared" si="45"/>
        <v>0</v>
      </c>
      <c r="DA802" s="1475"/>
      <c r="DB802" s="1475"/>
      <c r="DC802" s="1475"/>
      <c r="DD802" s="1476"/>
      <c r="DE802" s="1474">
        <f t="shared" si="46"/>
        <v>0</v>
      </c>
      <c r="DF802" s="1475"/>
      <c r="DG802" s="1475"/>
      <c r="DH802" s="1475"/>
      <c r="DI802" s="1476"/>
      <c r="DJ802" s="1474">
        <f t="shared" si="47"/>
        <v>0</v>
      </c>
      <c r="DK802" s="1475"/>
      <c r="DL802" s="1475"/>
      <c r="DM802" s="1475"/>
      <c r="DN802" s="1476"/>
      <c r="DO802" s="1474">
        <f t="shared" si="48"/>
        <v>0</v>
      </c>
      <c r="DP802" s="1475"/>
      <c r="DQ802" s="1475"/>
      <c r="DR802" s="1475"/>
      <c r="DS802" s="1476"/>
      <c r="DT802" s="257"/>
      <c r="DU802" s="1474">
        <f t="shared" si="49"/>
        <v>0</v>
      </c>
      <c r="DV802" s="1475"/>
      <c r="DW802" s="1475"/>
      <c r="DX802" s="1475"/>
      <c r="DY802" s="1476"/>
      <c r="DZ802" s="1474">
        <f t="shared" si="50"/>
        <v>0</v>
      </c>
      <c r="EA802" s="1475"/>
      <c r="EB802" s="1475"/>
      <c r="EC802" s="1475"/>
      <c r="ED802" s="1476"/>
      <c r="EE802" s="1474">
        <f t="shared" si="51"/>
        <v>0</v>
      </c>
      <c r="EF802" s="1475"/>
      <c r="EG802" s="1475"/>
      <c r="EH802" s="1475"/>
      <c r="EI802" s="1476"/>
      <c r="EJ802" s="1474">
        <f t="shared" si="52"/>
        <v>0</v>
      </c>
      <c r="EK802" s="1475"/>
      <c r="EL802" s="1475"/>
      <c r="EM802" s="1475"/>
      <c r="EN802" s="1476"/>
      <c r="EO802" s="1474">
        <f t="shared" si="53"/>
        <v>0</v>
      </c>
      <c r="EP802" s="1475"/>
      <c r="EQ802" s="1475"/>
      <c r="ER802" s="1475"/>
      <c r="ES802" s="1476"/>
      <c r="ET802" s="1474">
        <f t="shared" si="54"/>
        <v>0</v>
      </c>
      <c r="EU802" s="1475"/>
      <c r="EV802" s="1475"/>
      <c r="EW802" s="1475"/>
      <c r="EX802" s="1476"/>
    </row>
    <row r="803" spans="1:154" s="13" customFormat="1" ht="12.95" customHeight="1">
      <c r="A803"/>
      <c r="B803"/>
      <c r="C803"/>
      <c r="D803"/>
      <c r="E803"/>
      <c r="F803"/>
      <c r="G803"/>
      <c r="H803"/>
      <c r="I803"/>
      <c r="J803" s="1335"/>
      <c r="K803" s="1336"/>
      <c r="L803" s="1336"/>
      <c r="M803" s="1336"/>
      <c r="N803" s="1337"/>
      <c r="O803" s="1390"/>
      <c r="P803" s="1390"/>
      <c r="Q803" s="1390"/>
      <c r="R803" s="1390"/>
      <c r="S803" s="1390"/>
      <c r="T803" s="1332"/>
      <c r="U803" s="1333"/>
      <c r="V803" s="1333"/>
      <c r="W803" s="1334"/>
      <c r="X803" s="1363"/>
      <c r="Y803" s="1364"/>
      <c r="Z803" s="1364"/>
      <c r="AA803" s="1364"/>
      <c r="AB803" s="1365"/>
      <c r="AC803" s="1366">
        <f t="shared" si="42"/>
        <v>0</v>
      </c>
      <c r="AD803" s="1367"/>
      <c r="AE803" s="1367"/>
      <c r="AF803" s="1367"/>
      <c r="AG803" s="136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4">
        <f t="shared" si="43"/>
        <v>0</v>
      </c>
      <c r="CQ803" s="1475"/>
      <c r="CR803" s="1475"/>
      <c r="CS803" s="1475"/>
      <c r="CT803" s="1476"/>
      <c r="CU803" s="1474">
        <f t="shared" si="44"/>
        <v>0</v>
      </c>
      <c r="CV803" s="1475"/>
      <c r="CW803" s="1475"/>
      <c r="CX803" s="1475"/>
      <c r="CY803" s="1476"/>
      <c r="CZ803" s="1474">
        <f t="shared" si="45"/>
        <v>0</v>
      </c>
      <c r="DA803" s="1475"/>
      <c r="DB803" s="1475"/>
      <c r="DC803" s="1475"/>
      <c r="DD803" s="1476"/>
      <c r="DE803" s="1474">
        <f t="shared" si="46"/>
        <v>0</v>
      </c>
      <c r="DF803" s="1475"/>
      <c r="DG803" s="1475"/>
      <c r="DH803" s="1475"/>
      <c r="DI803" s="1476"/>
      <c r="DJ803" s="1474">
        <f t="shared" si="47"/>
        <v>0</v>
      </c>
      <c r="DK803" s="1475"/>
      <c r="DL803" s="1475"/>
      <c r="DM803" s="1475"/>
      <c r="DN803" s="1476"/>
      <c r="DO803" s="1474">
        <f t="shared" si="48"/>
        <v>0</v>
      </c>
      <c r="DP803" s="1475"/>
      <c r="DQ803" s="1475"/>
      <c r="DR803" s="1475"/>
      <c r="DS803" s="1476"/>
      <c r="DT803" s="257"/>
      <c r="DU803" s="1474">
        <f t="shared" si="49"/>
        <v>0</v>
      </c>
      <c r="DV803" s="1475"/>
      <c r="DW803" s="1475"/>
      <c r="DX803" s="1475"/>
      <c r="DY803" s="1476"/>
      <c r="DZ803" s="1474">
        <f t="shared" si="50"/>
        <v>0</v>
      </c>
      <c r="EA803" s="1475"/>
      <c r="EB803" s="1475"/>
      <c r="EC803" s="1475"/>
      <c r="ED803" s="1476"/>
      <c r="EE803" s="1474">
        <f t="shared" si="51"/>
        <v>0</v>
      </c>
      <c r="EF803" s="1475"/>
      <c r="EG803" s="1475"/>
      <c r="EH803" s="1475"/>
      <c r="EI803" s="1476"/>
      <c r="EJ803" s="1474">
        <f t="shared" si="52"/>
        <v>0</v>
      </c>
      <c r="EK803" s="1475"/>
      <c r="EL803" s="1475"/>
      <c r="EM803" s="1475"/>
      <c r="EN803" s="1476"/>
      <c r="EO803" s="1474">
        <f t="shared" si="53"/>
        <v>0</v>
      </c>
      <c r="EP803" s="1475"/>
      <c r="EQ803" s="1475"/>
      <c r="ER803" s="1475"/>
      <c r="ES803" s="1476"/>
      <c r="ET803" s="1474">
        <f t="shared" si="54"/>
        <v>0</v>
      </c>
      <c r="EU803" s="1475"/>
      <c r="EV803" s="1475"/>
      <c r="EW803" s="1475"/>
      <c r="EX803" s="1476"/>
    </row>
    <row r="804" spans="1:154" s="4" customFormat="1" ht="12.95" customHeight="1">
      <c r="A804"/>
      <c r="B804"/>
      <c r="C804"/>
      <c r="D804"/>
      <c r="E804"/>
      <c r="F804"/>
      <c r="G804"/>
      <c r="H804"/>
      <c r="I804"/>
      <c r="J804" s="1335"/>
      <c r="K804" s="1336"/>
      <c r="L804" s="1336"/>
      <c r="M804" s="1336"/>
      <c r="N804" s="1337"/>
      <c r="O804" s="1390"/>
      <c r="P804" s="1390"/>
      <c r="Q804" s="1390"/>
      <c r="R804" s="1390"/>
      <c r="S804" s="1390"/>
      <c r="T804" s="1332"/>
      <c r="U804" s="1333"/>
      <c r="V804" s="1333"/>
      <c r="W804" s="1334"/>
      <c r="X804" s="1363"/>
      <c r="Y804" s="1364"/>
      <c r="Z804" s="1364"/>
      <c r="AA804" s="1364"/>
      <c r="AB804" s="1365"/>
      <c r="AC804" s="1366">
        <f t="shared" si="42"/>
        <v>0</v>
      </c>
      <c r="AD804" s="1367"/>
      <c r="AE804" s="1367"/>
      <c r="AF804" s="1367"/>
      <c r="AG804" s="1368"/>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74">
        <f t="shared" si="43"/>
        <v>0</v>
      </c>
      <c r="CQ804" s="1475"/>
      <c r="CR804" s="1475"/>
      <c r="CS804" s="1475"/>
      <c r="CT804" s="1476"/>
      <c r="CU804" s="1474">
        <f t="shared" si="44"/>
        <v>0</v>
      </c>
      <c r="CV804" s="1475"/>
      <c r="CW804" s="1475"/>
      <c r="CX804" s="1475"/>
      <c r="CY804" s="1476"/>
      <c r="CZ804" s="1474">
        <f t="shared" si="45"/>
        <v>0</v>
      </c>
      <c r="DA804" s="1475"/>
      <c r="DB804" s="1475"/>
      <c r="DC804" s="1475"/>
      <c r="DD804" s="1476"/>
      <c r="DE804" s="1474">
        <f t="shared" si="46"/>
        <v>0</v>
      </c>
      <c r="DF804" s="1475"/>
      <c r="DG804" s="1475"/>
      <c r="DH804" s="1475"/>
      <c r="DI804" s="1476"/>
      <c r="DJ804" s="1474">
        <f t="shared" si="47"/>
        <v>0</v>
      </c>
      <c r="DK804" s="1475"/>
      <c r="DL804" s="1475"/>
      <c r="DM804" s="1475"/>
      <c r="DN804" s="1476"/>
      <c r="DO804" s="1474">
        <f t="shared" si="48"/>
        <v>0</v>
      </c>
      <c r="DP804" s="1475"/>
      <c r="DQ804" s="1475"/>
      <c r="DR804" s="1475"/>
      <c r="DS804" s="1476"/>
      <c r="DT804" s="257"/>
      <c r="DU804" s="1474">
        <f t="shared" si="49"/>
        <v>0</v>
      </c>
      <c r="DV804" s="1475"/>
      <c r="DW804" s="1475"/>
      <c r="DX804" s="1475"/>
      <c r="DY804" s="1476"/>
      <c r="DZ804" s="1474">
        <f t="shared" si="50"/>
        <v>0</v>
      </c>
      <c r="EA804" s="1475"/>
      <c r="EB804" s="1475"/>
      <c r="EC804" s="1475"/>
      <c r="ED804" s="1476"/>
      <c r="EE804" s="1474">
        <f t="shared" si="51"/>
        <v>0</v>
      </c>
      <c r="EF804" s="1475"/>
      <c r="EG804" s="1475"/>
      <c r="EH804" s="1475"/>
      <c r="EI804" s="1476"/>
      <c r="EJ804" s="1474">
        <f t="shared" si="52"/>
        <v>0</v>
      </c>
      <c r="EK804" s="1475"/>
      <c r="EL804" s="1475"/>
      <c r="EM804" s="1475"/>
      <c r="EN804" s="1476"/>
      <c r="EO804" s="1474">
        <f t="shared" si="53"/>
        <v>0</v>
      </c>
      <c r="EP804" s="1475"/>
      <c r="EQ804" s="1475"/>
      <c r="ER804" s="1475"/>
      <c r="ES804" s="1476"/>
      <c r="ET804" s="1474">
        <f t="shared" si="54"/>
        <v>0</v>
      </c>
      <c r="EU804" s="1475"/>
      <c r="EV804" s="1475"/>
      <c r="EW804" s="1475"/>
      <c r="EX804" s="1476"/>
    </row>
    <row r="805" spans="1:154" s="4" customFormat="1" ht="12.95" customHeight="1">
      <c r="A805"/>
      <c r="B805"/>
      <c r="C805"/>
      <c r="D805"/>
      <c r="E805"/>
      <c r="F805"/>
      <c r="G805"/>
      <c r="H805"/>
      <c r="I805"/>
      <c r="J805" s="1469" t="s">
        <v>1477</v>
      </c>
      <c r="K805" s="1470"/>
      <c r="L805" s="1470"/>
      <c r="M805" s="1470"/>
      <c r="N805" s="1471"/>
      <c r="O805" s="1480">
        <f>SUM(O795:S804)</f>
        <v>0</v>
      </c>
      <c r="P805" s="1480"/>
      <c r="Q805" s="1480"/>
      <c r="R805" s="1480"/>
      <c r="S805" s="1480"/>
      <c r="T805"/>
      <c r="U805"/>
      <c r="V805"/>
      <c r="W805"/>
      <c r="X805" s="794" t="s">
        <v>1478</v>
      </c>
      <c r="Y805" s="10"/>
      <c r="Z805" s="10"/>
      <c r="AA805" s="10"/>
      <c r="AB805" s="801"/>
      <c r="AC805" s="1366">
        <f>SUM(AC795:AG804)</f>
        <v>0</v>
      </c>
      <c r="AD805" s="1367"/>
      <c r="AE805" s="1367"/>
      <c r="AF805" s="1367"/>
      <c r="AG805" s="1368"/>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81">
        <f>SUM(CP795:CT804)</f>
        <v>0</v>
      </c>
      <c r="CQ805" s="1482"/>
      <c r="CR805" s="1482"/>
      <c r="CS805" s="1482"/>
      <c r="CT805" s="1483"/>
      <c r="CU805" s="1481">
        <f>SUM(CU795:CY804)</f>
        <v>0</v>
      </c>
      <c r="CV805" s="1482"/>
      <c r="CW805" s="1482"/>
      <c r="CX805" s="1482"/>
      <c r="CY805" s="1483"/>
      <c r="CZ805" s="1481">
        <f>SUM(CZ795:DD804)</f>
        <v>0</v>
      </c>
      <c r="DA805" s="1482"/>
      <c r="DB805" s="1482"/>
      <c r="DC805" s="1482"/>
      <c r="DD805" s="1483"/>
      <c r="DE805" s="1481">
        <f>SUM(DE795:DI804)</f>
        <v>0</v>
      </c>
      <c r="DF805" s="1482"/>
      <c r="DG805" s="1482"/>
      <c r="DH805" s="1482"/>
      <c r="DI805" s="1483"/>
      <c r="DJ805" s="1481">
        <f>SUM(DJ795:DN804)</f>
        <v>0</v>
      </c>
      <c r="DK805" s="1482"/>
      <c r="DL805" s="1482"/>
      <c r="DM805" s="1482"/>
      <c r="DN805" s="1483"/>
      <c r="DO805" s="1481">
        <f>SUM(DO795:DS804)</f>
        <v>0</v>
      </c>
      <c r="DP805" s="1482"/>
      <c r="DQ805" s="1482"/>
      <c r="DR805" s="1482"/>
      <c r="DS805" s="1483"/>
      <c r="DT805" s="257"/>
      <c r="DU805" s="1481">
        <f>SUM(DU795:DY804)</f>
        <v>0</v>
      </c>
      <c r="DV805" s="1482"/>
      <c r="DW805" s="1482"/>
      <c r="DX805" s="1482"/>
      <c r="DY805" s="1483"/>
      <c r="DZ805" s="1481">
        <f>SUM(DZ795:ED804)</f>
        <v>0</v>
      </c>
      <c r="EA805" s="1482"/>
      <c r="EB805" s="1482"/>
      <c r="EC805" s="1482"/>
      <c r="ED805" s="1483"/>
      <c r="EE805" s="1481">
        <f>SUM(EE795:EI804)</f>
        <v>0</v>
      </c>
      <c r="EF805" s="1482"/>
      <c r="EG805" s="1482"/>
      <c r="EH805" s="1482"/>
      <c r="EI805" s="1483"/>
      <c r="EJ805" s="1481">
        <f>SUM(EJ795:EN804)</f>
        <v>0</v>
      </c>
      <c r="EK805" s="1482"/>
      <c r="EL805" s="1482"/>
      <c r="EM805" s="1482"/>
      <c r="EN805" s="1483"/>
      <c r="EO805" s="1481">
        <f>SUM(EO795:ES804)</f>
        <v>0</v>
      </c>
      <c r="EP805" s="1482"/>
      <c r="EQ805" s="1482"/>
      <c r="ER805" s="1482"/>
      <c r="ES805" s="1483"/>
      <c r="ET805" s="1481">
        <f>SUM(ET795:EX804)</f>
        <v>0</v>
      </c>
      <c r="EU805" s="1482"/>
      <c r="EV805" s="1482"/>
      <c r="EW805" s="1482"/>
      <c r="EX805" s="1483"/>
    </row>
    <row r="806" spans="1:154" s="4" customFormat="1" ht="12.95" customHeight="1">
      <c r="A806"/>
      <c r="B806"/>
      <c r="C806" s="1647" t="str">
        <f>IF(O805&lt;&gt;AG447,"! Total market rate units in the Unit Mix Table above does not match the number of  market rate units on row #"&amp;TEXT(ROW(D447),"#"),"")</f>
        <v/>
      </c>
      <c r="D806" s="1647"/>
      <c r="E806" s="1647"/>
      <c r="F806" s="1647"/>
      <c r="G806" s="1647"/>
      <c r="H806" s="1647"/>
      <c r="I806" s="1647"/>
      <c r="J806" s="1647"/>
      <c r="K806" s="1647"/>
      <c r="L806" s="1647"/>
      <c r="M806" s="1647"/>
      <c r="N806" s="1647"/>
      <c r="O806" s="1647"/>
      <c r="P806" s="1647"/>
      <c r="Q806" s="1647"/>
      <c r="R806" s="1647"/>
      <c r="S806" s="1647"/>
      <c r="T806" s="1647"/>
      <c r="U806" s="1647"/>
      <c r="V806" s="1647"/>
      <c r="W806" s="1647"/>
      <c r="X806" s="1647"/>
      <c r="Y806" s="1647"/>
      <c r="Z806" s="1647"/>
      <c r="AA806" s="1647"/>
      <c r="AB806" s="1647"/>
      <c r="AC806" s="1647"/>
      <c r="AD806" s="1647"/>
      <c r="AE806" s="1647"/>
      <c r="AF806" s="1647"/>
      <c r="AG806" s="1647"/>
      <c r="AH806" s="1647"/>
      <c r="AI806" s="1647"/>
      <c r="AJ806" s="1647"/>
      <c r="AK806" s="1647"/>
      <c r="AL806" s="1647"/>
      <c r="AM806" s="1647"/>
      <c r="AN806" s="164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47"/>
      <c r="D807" s="1647"/>
      <c r="E807" s="1647"/>
      <c r="F807" s="1647"/>
      <c r="G807" s="1647"/>
      <c r="H807" s="1647"/>
      <c r="I807" s="1647"/>
      <c r="J807" s="1647"/>
      <c r="K807" s="1647"/>
      <c r="L807" s="1647"/>
      <c r="M807" s="1647"/>
      <c r="N807" s="1647"/>
      <c r="O807" s="1647"/>
      <c r="P807" s="1647"/>
      <c r="Q807" s="1647"/>
      <c r="R807" s="1647"/>
      <c r="S807" s="1647"/>
      <c r="T807" s="1647"/>
      <c r="U807" s="1647"/>
      <c r="V807" s="1647"/>
      <c r="W807" s="1647"/>
      <c r="X807" s="1647"/>
      <c r="Y807" s="1647"/>
      <c r="Z807" s="1647"/>
      <c r="AA807" s="1647"/>
      <c r="AB807" s="1647"/>
      <c r="AC807" s="1647"/>
      <c r="AD807" s="1647"/>
      <c r="AE807" s="1647"/>
      <c r="AF807" s="1647"/>
      <c r="AG807" s="1647"/>
      <c r="AH807" s="1647"/>
      <c r="AI807" s="1647"/>
      <c r="AJ807" s="1647"/>
      <c r="AK807" s="1647"/>
      <c r="AL807" s="1647"/>
      <c r="AM807" s="1647"/>
      <c r="AN807" s="164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1500</v>
      </c>
      <c r="DW807" s="3"/>
      <c r="DX807" s="3"/>
      <c r="DY807" s="3"/>
      <c r="DZ807" s="3"/>
      <c r="EA807" s="3"/>
      <c r="EB807" s="3"/>
      <c r="EC807" s="3"/>
      <c r="ED807" s="3"/>
      <c r="EE807" s="3"/>
      <c r="EF807" s="3"/>
      <c r="EG807" s="3"/>
      <c r="EH807" s="3"/>
      <c r="EI807"/>
      <c r="EJ807"/>
      <c r="EK807"/>
      <c r="EL807"/>
      <c r="EM807"/>
      <c r="EN807"/>
      <c r="EO807"/>
      <c r="EP807"/>
      <c r="EQ807"/>
      <c r="ER807"/>
      <c r="ES807" s="48" t="s">
        <v>1501</v>
      </c>
      <c r="ET807" s="1770">
        <f>SUM(DU805:EX805)</f>
        <v>0</v>
      </c>
      <c r="EU807" s="1771"/>
      <c r="EV807" s="1771"/>
      <c r="EW807" s="1771"/>
      <c r="EX807" s="1772"/>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1502</v>
      </c>
      <c r="Y808" s="1592">
        <f>O761+AC785+AC805</f>
        <v>94341</v>
      </c>
      <c r="Z808" s="1592"/>
      <c r="AA808" s="1592"/>
      <c r="AB808" s="1592"/>
      <c r="AC808" s="1592"/>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1503</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1504</v>
      </c>
      <c r="Y809" s="1592">
        <f>(O761+AC785+AC805)*12</f>
        <v>1132092</v>
      </c>
      <c r="Z809" s="1592"/>
      <c r="AA809" s="1592"/>
      <c r="AB809" s="1592"/>
      <c r="AC809" s="1592"/>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81">
        <f>CP761+CP785+CP805</f>
        <v>0</v>
      </c>
      <c r="CQ810" s="1482"/>
      <c r="CR810" s="1482"/>
      <c r="CS810" s="1482"/>
      <c r="CT810" s="1483"/>
      <c r="CU810" s="1481">
        <f>CU761+CU785+CU805</f>
        <v>70</v>
      </c>
      <c r="CV810" s="1482"/>
      <c r="CW810" s="1482"/>
      <c r="CX810" s="1482"/>
      <c r="CY810" s="1483"/>
      <c r="CZ810" s="1481">
        <f>CZ761+CZ785+CZ805</f>
        <v>14</v>
      </c>
      <c r="DA810" s="1482"/>
      <c r="DB810" s="1482"/>
      <c r="DC810" s="1482"/>
      <c r="DD810" s="1483"/>
      <c r="DE810" s="1481">
        <f>DE761+DE785+DE805</f>
        <v>0</v>
      </c>
      <c r="DF810" s="1482"/>
      <c r="DG810" s="1482"/>
      <c r="DH810" s="1482"/>
      <c r="DI810" s="1483"/>
      <c r="DJ810" s="1481">
        <f>DJ761+DJ785+DJ805</f>
        <v>0</v>
      </c>
      <c r="DK810" s="1482"/>
      <c r="DL810" s="1482"/>
      <c r="DM810" s="1482"/>
      <c r="DN810" s="1483"/>
      <c r="DO810" s="1481">
        <f>DO805+DO785+DO761</f>
        <v>0</v>
      </c>
      <c r="DP810" s="1482"/>
      <c r="DQ810" s="1482"/>
      <c r="DR810" s="1482"/>
      <c r="DS810" s="1483"/>
      <c r="DT810" s="3"/>
      <c r="DU810" s="756">
        <f>DU763+DU808</f>
        <v>96</v>
      </c>
      <c r="DV810" s="49" t="s">
        <v>1506</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1018</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1507</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1508</v>
      </c>
      <c r="I814" s="5"/>
      <c r="J814" s="5"/>
      <c r="K814" s="5"/>
      <c r="L814" s="5"/>
      <c r="M814" s="5"/>
      <c r="N814" s="5"/>
      <c r="O814" s="5"/>
      <c r="P814" s="5"/>
      <c r="Q814" s="5"/>
      <c r="R814" s="5"/>
      <c r="S814" s="5"/>
      <c r="T814" s="5"/>
      <c r="U814" s="5"/>
      <c r="V814" s="5"/>
      <c r="W814" s="5"/>
      <c r="X814" s="5"/>
      <c r="Y814" s="5"/>
      <c r="Z814" s="1560"/>
      <c r="AA814" s="1561"/>
      <c r="AB814" s="1561"/>
      <c r="AC814" s="1561"/>
      <c r="AD814" s="1561"/>
      <c r="AE814" s="1562"/>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1509</v>
      </c>
      <c r="I815" s="5"/>
      <c r="J815" s="5"/>
      <c r="K815" s="5"/>
      <c r="L815" s="5"/>
      <c r="M815" s="5"/>
      <c r="N815" s="5"/>
      <c r="O815" s="5"/>
      <c r="P815" s="5"/>
      <c r="Q815" s="5"/>
      <c r="R815" s="5"/>
      <c r="S815" s="5"/>
      <c r="T815" s="5"/>
      <c r="U815" s="5"/>
      <c r="V815" s="5"/>
      <c r="W815" s="5"/>
      <c r="X815" s="5"/>
      <c r="Y815" s="5"/>
      <c r="Z815" s="1650"/>
      <c r="AA815" s="1561"/>
      <c r="AB815" s="1561"/>
      <c r="AC815" s="1561"/>
      <c r="AD815" s="1561"/>
      <c r="AE815" s="1562"/>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1510</v>
      </c>
      <c r="I816" s="5"/>
      <c r="J816" s="5"/>
      <c r="K816" s="5"/>
      <c r="L816" s="5"/>
      <c r="M816" s="5"/>
      <c r="N816" s="5"/>
      <c r="O816" s="5"/>
      <c r="P816" s="5"/>
      <c r="Q816" s="5"/>
      <c r="R816" s="5"/>
      <c r="S816" s="5"/>
      <c r="T816" s="5"/>
      <c r="U816" s="5"/>
      <c r="V816" s="5"/>
      <c r="W816" s="5"/>
      <c r="X816" s="5"/>
      <c r="Y816" s="5"/>
      <c r="Z816" s="1646"/>
      <c r="AA816" s="1500"/>
      <c r="AB816" s="1500"/>
      <c r="AC816" s="1500"/>
      <c r="AD816" s="1500"/>
      <c r="AE816" s="150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1511</v>
      </c>
      <c r="Z817" s="1460">
        <f>'Subsidy Contract Calculation'!J40</f>
        <v>0</v>
      </c>
      <c r="AA817" s="1461"/>
      <c r="AB817" s="1461"/>
      <c r="AC817" s="1461"/>
      <c r="AD817" s="1461"/>
      <c r="AE817" s="146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1030</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1512</v>
      </c>
      <c r="I821" s="5"/>
      <c r="J821" s="5"/>
      <c r="K821" s="5"/>
      <c r="L821" s="5"/>
      <c r="M821" s="5"/>
      <c r="N821" s="5"/>
      <c r="O821" s="5"/>
      <c r="P821" s="5"/>
      <c r="Q821" s="5"/>
      <c r="R821" s="5"/>
      <c r="S821" s="5"/>
      <c r="T821" s="5"/>
      <c r="U821" s="5"/>
      <c r="V821" s="5"/>
      <c r="W821" s="5"/>
      <c r="X821" s="5"/>
      <c r="Y821" s="5"/>
      <c r="Z821" s="1405">
        <v>8064</v>
      </c>
      <c r="AA821" s="1406"/>
      <c r="AB821" s="1406"/>
      <c r="AC821" s="1406"/>
      <c r="AD821" s="1406"/>
      <c r="AE821" s="140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1513</v>
      </c>
      <c r="I822" s="5"/>
      <c r="J822" s="5"/>
      <c r="K822" s="5"/>
      <c r="L822" s="5"/>
      <c r="M822" s="5"/>
      <c r="N822" s="5"/>
      <c r="O822" s="5"/>
      <c r="P822" s="5"/>
      <c r="Q822" s="5"/>
      <c r="R822" s="5"/>
      <c r="S822" s="5"/>
      <c r="T822" s="5"/>
      <c r="U822" s="5"/>
      <c r="V822" s="5"/>
      <c r="W822" s="5"/>
      <c r="X822" s="5"/>
      <c r="Y822" s="5"/>
      <c r="Z822" s="1405"/>
      <c r="AA822" s="1406"/>
      <c r="AB822" s="1406"/>
      <c r="AC822" s="1406"/>
      <c r="AD822" s="1406"/>
      <c r="AE822" s="140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1514</v>
      </c>
      <c r="I823" s="5"/>
      <c r="J823" s="5"/>
      <c r="K823" s="5"/>
      <c r="L823" s="5"/>
      <c r="M823" s="5"/>
      <c r="N823" s="5"/>
      <c r="O823" s="5"/>
      <c r="P823" s="5"/>
      <c r="Q823" s="5"/>
      <c r="R823" s="5"/>
      <c r="S823" s="5"/>
      <c r="T823" s="5"/>
      <c r="U823" s="5"/>
      <c r="V823" s="5"/>
      <c r="W823" s="5"/>
      <c r="X823" s="5"/>
      <c r="Y823" s="5"/>
      <c r="Z823" s="1405"/>
      <c r="AA823" s="1406"/>
      <c r="AB823" s="1406"/>
      <c r="AC823" s="1406"/>
      <c r="AD823" s="1406"/>
      <c r="AE823" s="140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1515</v>
      </c>
      <c r="I824" s="5"/>
      <c r="J824" s="5"/>
      <c r="K824" s="5"/>
      <c r="L824" s="5"/>
      <c r="M824" s="5"/>
      <c r="N824" s="5"/>
      <c r="O824" s="5"/>
      <c r="P824" s="1436" t="s">
        <v>1266</v>
      </c>
      <c r="Q824" s="1437"/>
      <c r="R824" s="1437"/>
      <c r="S824" s="1437"/>
      <c r="T824" s="1437"/>
      <c r="U824" s="1437"/>
      <c r="V824" s="1437"/>
      <c r="W824" s="1437"/>
      <c r="X824" s="1437"/>
      <c r="Y824" s="1438"/>
      <c r="Z824" s="1405"/>
      <c r="AA824" s="1406"/>
      <c r="AB824" s="1406"/>
      <c r="AC824" s="1406"/>
      <c r="AD824" s="1406"/>
      <c r="AE824" s="140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1516</v>
      </c>
      <c r="Z825" s="1460">
        <f>SUM(Z821:AE824)</f>
        <v>8064</v>
      </c>
      <c r="AA825" s="1461"/>
      <c r="AB825" s="1461"/>
      <c r="AC825" s="1461"/>
      <c r="AD825" s="1461"/>
      <c r="AE825" s="146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1517</v>
      </c>
      <c r="Z826" s="1460">
        <f>Z825+Y809+Z817</f>
        <v>1140156</v>
      </c>
      <c r="AA826" s="1461"/>
      <c r="AB826" s="1461"/>
      <c r="AC826" s="1461"/>
      <c r="AD826" s="1461"/>
      <c r="AE826" s="146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1057</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1518</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34" t="s">
        <v>1519</v>
      </c>
      <c r="N831" s="1534"/>
      <c r="O831" s="1534"/>
      <c r="P831" s="1577"/>
      <c r="Q831" s="1563" t="s">
        <v>1520</v>
      </c>
      <c r="R831" s="1563"/>
      <c r="S831" s="1563"/>
      <c r="T831" s="1563"/>
      <c r="U831" s="1563" t="s">
        <v>1521</v>
      </c>
      <c r="V831" s="1563"/>
      <c r="W831" s="1563"/>
      <c r="X831" s="1563"/>
      <c r="Y831" s="1563" t="s">
        <v>1522</v>
      </c>
      <c r="Z831" s="1563"/>
      <c r="AA831" s="1563"/>
      <c r="AB831" s="1563"/>
      <c r="AC831" s="1563" t="s">
        <v>1523</v>
      </c>
      <c r="AD831" s="1563"/>
      <c r="AE831" s="1563"/>
      <c r="AF831" s="1563"/>
      <c r="AG831" s="1660" t="s">
        <v>1524</v>
      </c>
      <c r="AH831" s="1660"/>
      <c r="AI831" s="1660"/>
      <c r="AJ831" s="1660"/>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38"/>
      <c r="N832" s="1538"/>
      <c r="O832" s="1538"/>
      <c r="P832" s="1578"/>
      <c r="Q832" s="1563"/>
      <c r="R832" s="1563"/>
      <c r="S832" s="1563"/>
      <c r="T832" s="1563"/>
      <c r="U832" s="1563"/>
      <c r="V832" s="1563"/>
      <c r="W832" s="1563"/>
      <c r="X832" s="1563"/>
      <c r="Y832" s="1563"/>
      <c r="Z832" s="1563"/>
      <c r="AA832" s="1563"/>
      <c r="AB832" s="1563"/>
      <c r="AC832" s="1563"/>
      <c r="AD832" s="1563"/>
      <c r="AE832" s="1563"/>
      <c r="AF832" s="1563"/>
      <c r="AG832" s="1660"/>
      <c r="AH832" s="1660"/>
      <c r="AI832" s="1660"/>
      <c r="AJ832" s="1660"/>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59" t="s">
        <v>1525</v>
      </c>
      <c r="D833" s="1408"/>
      <c r="E833" s="1408"/>
      <c r="F833" s="1408"/>
      <c r="G833" s="1408"/>
      <c r="H833" s="1408"/>
      <c r="I833" s="40"/>
      <c r="J833" s="40"/>
      <c r="K833" s="40"/>
      <c r="L833" s="41"/>
      <c r="M833" s="1570"/>
      <c r="N833" s="1570"/>
      <c r="O833" s="1570"/>
      <c r="P833" s="1570"/>
      <c r="Q833" s="1570">
        <v>14</v>
      </c>
      <c r="R833" s="1570"/>
      <c r="S833" s="1570"/>
      <c r="T833" s="1570"/>
      <c r="U833" s="1570">
        <v>18</v>
      </c>
      <c r="V833" s="1570"/>
      <c r="W833" s="1570"/>
      <c r="X833" s="1570"/>
      <c r="Y833" s="1570"/>
      <c r="Z833" s="1570"/>
      <c r="AA833" s="1570"/>
      <c r="AB833" s="1570"/>
      <c r="AC833" s="1477"/>
      <c r="AD833" s="1478"/>
      <c r="AE833" s="1478"/>
      <c r="AF833" s="1479"/>
      <c r="AG833" s="1477"/>
      <c r="AH833" s="1478"/>
      <c r="AI833" s="1478"/>
      <c r="AJ833" s="1479"/>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81" t="s">
        <v>1526</v>
      </c>
      <c r="D834" s="1582"/>
      <c r="E834" s="1582"/>
      <c r="F834" s="1582"/>
      <c r="G834" s="1582"/>
      <c r="H834" s="1582"/>
      <c r="I834" s="5"/>
      <c r="J834" s="5"/>
      <c r="K834" s="5"/>
      <c r="L834" s="38"/>
      <c r="M834" s="1570"/>
      <c r="N834" s="1570"/>
      <c r="O834" s="1570"/>
      <c r="P834" s="1570"/>
      <c r="Q834" s="1570"/>
      <c r="R834" s="1570"/>
      <c r="S834" s="1570"/>
      <c r="T834" s="1570"/>
      <c r="U834" s="1570"/>
      <c r="V834" s="1570"/>
      <c r="W834" s="1570"/>
      <c r="X834" s="1570"/>
      <c r="Y834" s="1570"/>
      <c r="Z834" s="1570"/>
      <c r="AA834" s="1570"/>
      <c r="AB834" s="1570"/>
      <c r="AC834" s="1477"/>
      <c r="AD834" s="1478"/>
      <c r="AE834" s="1478"/>
      <c r="AF834" s="1479"/>
      <c r="AG834" s="1477"/>
      <c r="AH834" s="1478"/>
      <c r="AI834" s="1478"/>
      <c r="AJ834" s="1479"/>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81" t="s">
        <v>1527</v>
      </c>
      <c r="D835" s="1582"/>
      <c r="E835" s="1582"/>
      <c r="F835" s="1582"/>
      <c r="G835" s="1582"/>
      <c r="H835" s="1582"/>
      <c r="I835" s="52"/>
      <c r="J835" s="52"/>
      <c r="K835" s="52"/>
      <c r="L835" s="53"/>
      <c r="M835" s="1570"/>
      <c r="N835" s="1570"/>
      <c r="O835" s="1570"/>
      <c r="P835" s="1570"/>
      <c r="Q835" s="1570">
        <v>7</v>
      </c>
      <c r="R835" s="1570"/>
      <c r="S835" s="1570"/>
      <c r="T835" s="1570"/>
      <c r="U835" s="1570">
        <v>11</v>
      </c>
      <c r="V835" s="1570"/>
      <c r="W835" s="1570"/>
      <c r="X835" s="1570"/>
      <c r="Y835" s="1570"/>
      <c r="Z835" s="1570"/>
      <c r="AA835" s="1570"/>
      <c r="AB835" s="1570"/>
      <c r="AC835" s="1477"/>
      <c r="AD835" s="1478"/>
      <c r="AE835" s="1478"/>
      <c r="AF835" s="1479"/>
      <c r="AG835" s="1477"/>
      <c r="AH835" s="1478"/>
      <c r="AI835" s="1478"/>
      <c r="AJ835" s="1479"/>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81" t="s">
        <v>1528</v>
      </c>
      <c r="D836" s="1582"/>
      <c r="E836" s="1582"/>
      <c r="F836" s="1582"/>
      <c r="G836" s="1582"/>
      <c r="H836" s="1582"/>
      <c r="I836" s="52"/>
      <c r="J836" s="52"/>
      <c r="K836" s="52"/>
      <c r="L836" s="53"/>
      <c r="M836" s="1570"/>
      <c r="N836" s="1570"/>
      <c r="O836" s="1570"/>
      <c r="P836" s="1570"/>
      <c r="Q836" s="1570">
        <v>26</v>
      </c>
      <c r="R836" s="1570"/>
      <c r="S836" s="1570"/>
      <c r="T836" s="1570"/>
      <c r="U836" s="1649">
        <v>26</v>
      </c>
      <c r="V836" s="1570"/>
      <c r="W836" s="1570"/>
      <c r="X836" s="1570"/>
      <c r="Y836" s="1570"/>
      <c r="Z836" s="1570"/>
      <c r="AA836" s="1570"/>
      <c r="AB836" s="1570"/>
      <c r="AC836" s="1477"/>
      <c r="AD836" s="1478"/>
      <c r="AE836" s="1478"/>
      <c r="AF836" s="1479"/>
      <c r="AG836" s="1477"/>
      <c r="AH836" s="1478"/>
      <c r="AI836" s="1478"/>
      <c r="AJ836" s="1479"/>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81" t="s">
        <v>1529</v>
      </c>
      <c r="D837" s="1582"/>
      <c r="E837" s="1582"/>
      <c r="F837" s="1582"/>
      <c r="G837" s="1582"/>
      <c r="H837" s="1582"/>
      <c r="I837" s="52"/>
      <c r="J837" s="52"/>
      <c r="K837" s="52"/>
      <c r="L837" s="53"/>
      <c r="M837" s="1570"/>
      <c r="N837" s="1570"/>
      <c r="O837" s="1570"/>
      <c r="P837" s="1570"/>
      <c r="Q837" s="1570">
        <v>28</v>
      </c>
      <c r="R837" s="1570"/>
      <c r="S837" s="1570"/>
      <c r="T837" s="1570"/>
      <c r="U837" s="1570">
        <v>39</v>
      </c>
      <c r="V837" s="1570"/>
      <c r="W837" s="1570"/>
      <c r="X837" s="1570"/>
      <c r="Y837" s="1570"/>
      <c r="Z837" s="1570"/>
      <c r="AA837" s="1570"/>
      <c r="AB837" s="1570"/>
      <c r="AC837" s="1477"/>
      <c r="AD837" s="1478"/>
      <c r="AE837" s="1478"/>
      <c r="AF837" s="1479"/>
      <c r="AG837" s="1477"/>
      <c r="AH837" s="1478"/>
      <c r="AI837" s="1478"/>
      <c r="AJ837" s="1479"/>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63" t="s">
        <v>1530</v>
      </c>
      <c r="D838" s="1582"/>
      <c r="E838" s="1582"/>
      <c r="F838" s="1582"/>
      <c r="G838" s="1582"/>
      <c r="H838" s="1582"/>
      <c r="I838" s="52"/>
      <c r="J838" s="52"/>
      <c r="K838" s="52"/>
      <c r="L838" s="53"/>
      <c r="M838" s="1570"/>
      <c r="N838" s="1570"/>
      <c r="O838" s="1570"/>
      <c r="P838" s="1570"/>
      <c r="Q838" s="1570"/>
      <c r="R838" s="1570"/>
      <c r="S838" s="1570"/>
      <c r="T838" s="1570"/>
      <c r="U838" s="1570"/>
      <c r="V838" s="1570"/>
      <c r="W838" s="1570"/>
      <c r="X838" s="1570"/>
      <c r="Y838" s="1570"/>
      <c r="Z838" s="1570"/>
      <c r="AA838" s="1570"/>
      <c r="AB838" s="1570"/>
      <c r="AC838" s="1477"/>
      <c r="AD838" s="1478"/>
      <c r="AE838" s="1478"/>
      <c r="AF838" s="1479"/>
      <c r="AG838" s="1477"/>
      <c r="AH838" s="1478"/>
      <c r="AI838" s="1478"/>
      <c r="AJ838" s="1479"/>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1531</v>
      </c>
      <c r="D839" s="52"/>
      <c r="E839" s="52"/>
      <c r="F839" s="1436" t="s">
        <v>1532</v>
      </c>
      <c r="G839" s="1437"/>
      <c r="H839" s="1437"/>
      <c r="I839" s="1437"/>
      <c r="J839" s="1437"/>
      <c r="K839" s="1437"/>
      <c r="L839" s="1437"/>
      <c r="M839" s="1570"/>
      <c r="N839" s="1570"/>
      <c r="O839" s="1570"/>
      <c r="P839" s="1570"/>
      <c r="Q839" s="1570">
        <v>14</v>
      </c>
      <c r="R839" s="1570"/>
      <c r="S839" s="1570"/>
      <c r="T839" s="1570"/>
      <c r="U839" s="1570">
        <v>20</v>
      </c>
      <c r="V839" s="1570"/>
      <c r="W839" s="1570"/>
      <c r="X839" s="1570"/>
      <c r="Y839" s="1570"/>
      <c r="Z839" s="1570"/>
      <c r="AA839" s="1570"/>
      <c r="AB839" s="1570"/>
      <c r="AC839" s="1477"/>
      <c r="AD839" s="1478"/>
      <c r="AE839" s="1478"/>
      <c r="AF839" s="1479"/>
      <c r="AG839" s="1477"/>
      <c r="AH839" s="1478"/>
      <c r="AI839" s="1478"/>
      <c r="AJ839" s="1479"/>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69" t="s">
        <v>1478</v>
      </c>
      <c r="D840" s="1470"/>
      <c r="E840" s="1470"/>
      <c r="F840" s="1470"/>
      <c r="G840" s="1470"/>
      <c r="H840" s="1470"/>
      <c r="I840" s="1470"/>
      <c r="J840" s="1470"/>
      <c r="K840" s="1470"/>
      <c r="L840" s="1471"/>
      <c r="M840" s="1569">
        <f>SUM(M833:P839)</f>
        <v>0</v>
      </c>
      <c r="N840" s="1569"/>
      <c r="O840" s="1569"/>
      <c r="P840" s="1569"/>
      <c r="Q840" s="1569">
        <f>SUM(Q833:T839)</f>
        <v>89</v>
      </c>
      <c r="R840" s="1569"/>
      <c r="S840" s="1569"/>
      <c r="T840" s="1569"/>
      <c r="U840" s="1569">
        <f>SUM(U833:X839)</f>
        <v>114</v>
      </c>
      <c r="V840" s="1569"/>
      <c r="W840" s="1569"/>
      <c r="X840" s="1569"/>
      <c r="Y840" s="1569">
        <f>SUM(Y833:AB839)</f>
        <v>0</v>
      </c>
      <c r="Z840" s="1569"/>
      <c r="AA840" s="1569"/>
      <c r="AB840" s="1569"/>
      <c r="AC840" s="1569">
        <f>SUM(AC833:AF839)</f>
        <v>0</v>
      </c>
      <c r="AD840" s="1569"/>
      <c r="AE840" s="1569"/>
      <c r="AF840" s="1569"/>
      <c r="AG840" s="1569">
        <f>SUM(AG833:AJ839)</f>
        <v>0</v>
      </c>
      <c r="AH840" s="1569"/>
      <c r="AI840" s="1569"/>
      <c r="AJ840" s="1569"/>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1533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1534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1535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5" t="s">
        <v>1183</v>
      </c>
      <c r="D845" s="2586"/>
      <c r="E845" s="2586"/>
      <c r="F845" s="2586"/>
      <c r="G845" s="2586"/>
      <c r="H845" s="2586"/>
      <c r="I845" s="2586"/>
      <c r="J845" s="2586"/>
      <c r="K845" s="2586"/>
      <c r="L845" s="2586"/>
      <c r="M845" s="2586"/>
      <c r="N845" s="2586"/>
      <c r="O845" s="2586"/>
      <c r="P845" s="2586"/>
      <c r="Q845" s="2586"/>
      <c r="R845" s="2586"/>
      <c r="S845" s="2586"/>
      <c r="T845" s="2586"/>
      <c r="U845" s="2586"/>
      <c r="V845" s="2586"/>
      <c r="W845" s="2586"/>
      <c r="X845" s="2586"/>
      <c r="Y845" s="2586"/>
      <c r="Z845" s="2586"/>
      <c r="AA845" s="2586"/>
      <c r="AB845" s="2586"/>
      <c r="AC845" s="2586"/>
      <c r="AD845" s="2586"/>
      <c r="AE845" s="2586"/>
      <c r="AF845" s="2586"/>
      <c r="AG845" s="2586"/>
      <c r="AH845" s="2586"/>
      <c r="AI845" s="2586"/>
      <c r="AJ845" s="2587"/>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1536</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1115</v>
      </c>
      <c r="B848"/>
      <c r="C848" s="2" t="s">
        <v>1537</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06"/>
      <c r="BJ849" s="1606"/>
      <c r="BK849" s="1606"/>
      <c r="BL849" s="1606"/>
    </row>
    <row r="850" spans="1:64" s="13" customFormat="1" ht="12.95" customHeight="1">
      <c r="A850"/>
      <c r="B850"/>
      <c r="C850" s="2" t="s">
        <v>1538</v>
      </c>
      <c r="D850"/>
      <c r="E850"/>
      <c r="F850"/>
      <c r="G850"/>
      <c r="H850"/>
      <c r="I850"/>
      <c r="J850" s="37" t="s">
        <v>1539</v>
      </c>
      <c r="K850" s="5"/>
      <c r="L850" s="5"/>
      <c r="M850" s="5"/>
      <c r="N850" s="5"/>
      <c r="O850" s="5"/>
      <c r="P850" s="5"/>
      <c r="Q850" s="5"/>
      <c r="R850" s="5"/>
      <c r="S850" s="5"/>
      <c r="T850" s="5"/>
      <c r="U850" s="5"/>
      <c r="V850" s="38"/>
      <c r="W850" s="1432">
        <v>400</v>
      </c>
      <c r="X850" s="1432"/>
      <c r="Y850" s="1432"/>
      <c r="Z850" s="1432"/>
      <c r="AA850" s="1432"/>
      <c r="AB850" s="1432"/>
      <c r="AC850" s="1432"/>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1540</v>
      </c>
      <c r="K851" s="5"/>
      <c r="L851" s="5"/>
      <c r="M851" s="5"/>
      <c r="N851" s="5"/>
      <c r="O851" s="5"/>
      <c r="P851" s="5"/>
      <c r="Q851" s="5"/>
      <c r="R851" s="5"/>
      <c r="S851" s="5"/>
      <c r="T851" s="5"/>
      <c r="U851" s="5"/>
      <c r="V851" s="38"/>
      <c r="W851" s="1432">
        <v>6600</v>
      </c>
      <c r="X851" s="1432"/>
      <c r="Y851" s="1432"/>
      <c r="Z851" s="1432"/>
      <c r="AA851" s="1432"/>
      <c r="AB851" s="1432"/>
      <c r="AC851" s="1432"/>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1541</v>
      </c>
      <c r="K852" s="5"/>
      <c r="L852" s="5"/>
      <c r="M852" s="5"/>
      <c r="N852" s="5"/>
      <c r="O852" s="5"/>
      <c r="P852" s="5"/>
      <c r="Q852" s="5"/>
      <c r="R852" s="5"/>
      <c r="S852" s="5"/>
      <c r="T852" s="5"/>
      <c r="U852" s="5"/>
      <c r="V852" s="38"/>
      <c r="W852" s="1432">
        <v>12000</v>
      </c>
      <c r="X852" s="1432"/>
      <c r="Y852" s="1432"/>
      <c r="Z852" s="1432"/>
      <c r="AA852" s="1432"/>
      <c r="AB852" s="1432"/>
      <c r="AC852" s="1432"/>
      <c r="AZ852" s="25"/>
      <c r="BA852" s="25"/>
      <c r="BB852" s="13"/>
      <c r="BC852" s="13"/>
      <c r="BD852" s="13"/>
      <c r="BE852" s="13"/>
      <c r="BF852" s="13"/>
      <c r="BG852" s="13"/>
      <c r="BH852" s="13"/>
      <c r="BI852" s="13"/>
      <c r="BJ852" s="13"/>
      <c r="BK852" s="13"/>
      <c r="BL852" s="13"/>
    </row>
    <row r="853" spans="1:64" ht="12.95" customHeight="1">
      <c r="J853" s="37" t="s">
        <v>1542</v>
      </c>
      <c r="K853" s="5"/>
      <c r="L853" s="5"/>
      <c r="M853" s="5"/>
      <c r="N853" s="5"/>
      <c r="O853" s="5"/>
      <c r="P853" s="5"/>
      <c r="Q853" s="5"/>
      <c r="R853" s="5"/>
      <c r="S853" s="5"/>
      <c r="T853" s="5"/>
      <c r="U853" s="5"/>
      <c r="V853" s="38"/>
      <c r="W853" s="1432">
        <v>6000</v>
      </c>
      <c r="X853" s="1432"/>
      <c r="Y853" s="1432"/>
      <c r="Z853" s="1432"/>
      <c r="AA853" s="1432"/>
      <c r="AB853" s="1432"/>
      <c r="AC853" s="1432"/>
      <c r="AZ853" s="25"/>
      <c r="BA853" s="25"/>
      <c r="BB853" s="13"/>
      <c r="BC853" s="13"/>
      <c r="BD853" s="13"/>
      <c r="BE853" s="13"/>
      <c r="BF853" s="13"/>
      <c r="BG853" s="13"/>
      <c r="BH853" s="13"/>
      <c r="BI853" s="13"/>
      <c r="BJ853" s="13"/>
      <c r="BK853" s="13"/>
      <c r="BL853" s="13"/>
    </row>
    <row r="854" spans="1:64" ht="12.95" customHeight="1">
      <c r="J854" s="37" t="s">
        <v>233</v>
      </c>
      <c r="K854" s="5"/>
      <c r="L854" s="5"/>
      <c r="M854" s="1436" t="s">
        <v>1543</v>
      </c>
      <c r="N854" s="1437"/>
      <c r="O854" s="1437"/>
      <c r="P854" s="1437"/>
      <c r="Q854" s="1437"/>
      <c r="R854" s="1437"/>
      <c r="S854" s="1437"/>
      <c r="T854" s="1437"/>
      <c r="U854" s="1437"/>
      <c r="V854" s="1438"/>
      <c r="W854" s="1432">
        <v>5300</v>
      </c>
      <c r="X854" s="1432"/>
      <c r="Y854" s="1432"/>
      <c r="Z854" s="1432"/>
      <c r="AA854" s="1432"/>
      <c r="AB854" s="1432"/>
      <c r="AC854" s="1432"/>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1544</v>
      </c>
      <c r="W855" s="1460">
        <f>SUM(W850:W854)</f>
        <v>30300</v>
      </c>
      <c r="X855" s="1461"/>
      <c r="Y855" s="1461"/>
      <c r="Z855" s="1461"/>
      <c r="AA855" s="1461"/>
      <c r="AB855" s="1461"/>
      <c r="AC855" s="146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311"/>
      <c r="BH856" s="1311"/>
      <c r="BI856" s="1311"/>
      <c r="BJ856" s="1311"/>
      <c r="BK856" s="1311"/>
      <c r="BL856" s="1311"/>
    </row>
    <row r="857" spans="1:64" ht="12.95" customHeight="1">
      <c r="C857" s="2" t="s">
        <v>1545</v>
      </c>
      <c r="J857" s="1469" t="s">
        <v>1546</v>
      </c>
      <c r="K857" s="1470"/>
      <c r="L857" s="1470"/>
      <c r="M857" s="1470"/>
      <c r="N857" s="1470"/>
      <c r="O857" s="1470"/>
      <c r="P857" s="1470"/>
      <c r="Q857" s="1470"/>
      <c r="R857" s="1470"/>
      <c r="S857" s="1470"/>
      <c r="T857" s="1470"/>
      <c r="U857" s="1470"/>
      <c r="V857" s="1471"/>
      <c r="W857" s="1405">
        <v>48384</v>
      </c>
      <c r="X857" s="1406"/>
      <c r="Y857" s="1406"/>
      <c r="Z857" s="1406"/>
      <c r="AA857" s="1406"/>
      <c r="AB857" s="1406"/>
      <c r="AC857" s="1407"/>
      <c r="AD857" s="433"/>
      <c r="AZ857" s="25"/>
      <c r="BA857" s="25"/>
      <c r="BB857" s="13"/>
      <c r="BC857" s="13"/>
    </row>
    <row r="858" spans="1:64" ht="12.95" customHeight="1">
      <c r="AD858" s="433"/>
      <c r="AZ858" s="25"/>
      <c r="BA858" s="25"/>
      <c r="BB858" s="13"/>
      <c r="BC858" s="13"/>
    </row>
    <row r="859" spans="1:64" ht="12.95" customHeight="1">
      <c r="C859" s="2" t="s">
        <v>230</v>
      </c>
      <c r="J859" s="37" t="s">
        <v>1547</v>
      </c>
      <c r="K859" s="5"/>
      <c r="L859" s="5"/>
      <c r="M859" s="5"/>
      <c r="N859" s="5"/>
      <c r="O859" s="5"/>
      <c r="P859" s="5"/>
      <c r="Q859" s="5"/>
      <c r="R859" s="5"/>
      <c r="S859" s="5"/>
      <c r="T859" s="5"/>
      <c r="U859" s="5"/>
      <c r="V859" s="38"/>
      <c r="W859" s="2588"/>
      <c r="X859" s="2588"/>
      <c r="Y859" s="2588"/>
      <c r="Z859" s="2588"/>
      <c r="AA859" s="2588"/>
      <c r="AB859" s="2588"/>
      <c r="AC859" s="2588"/>
      <c r="AZ859" s="1600"/>
      <c r="BA859" s="1600"/>
      <c r="BB859" s="13"/>
      <c r="BC859" s="13"/>
    </row>
    <row r="860" spans="1:64" ht="12.95" customHeight="1">
      <c r="J860" s="37" t="s">
        <v>1548</v>
      </c>
      <c r="K860" s="5"/>
      <c r="L860" s="5"/>
      <c r="M860" s="5"/>
      <c r="N860" s="5"/>
      <c r="O860" s="5"/>
      <c r="P860" s="5"/>
      <c r="Q860" s="5"/>
      <c r="R860" s="5"/>
      <c r="S860" s="5"/>
      <c r="T860" s="5"/>
      <c r="U860" s="5"/>
      <c r="V860" s="38"/>
      <c r="W860" s="2588"/>
      <c r="X860" s="2588"/>
      <c r="Y860" s="2588"/>
      <c r="Z860" s="2588"/>
      <c r="AA860" s="2588"/>
      <c r="AB860" s="2588"/>
      <c r="AC860" s="2588"/>
      <c r="AZ860" s="25"/>
      <c r="BA860" s="25"/>
      <c r="BB860" s="13"/>
      <c r="BC860" s="13"/>
    </row>
    <row r="861" spans="1:64" ht="12.95" customHeight="1">
      <c r="J861" s="37" t="s">
        <v>1529</v>
      </c>
      <c r="K861" s="5"/>
      <c r="L861" s="5"/>
      <c r="M861" s="5"/>
      <c r="N861" s="5"/>
      <c r="O861" s="5"/>
      <c r="P861" s="5"/>
      <c r="Q861" s="5"/>
      <c r="R861" s="5"/>
      <c r="S861" s="5"/>
      <c r="T861" s="5"/>
      <c r="U861" s="5"/>
      <c r="V861" s="38"/>
      <c r="W861" s="2588">
        <v>40000</v>
      </c>
      <c r="X861" s="2588"/>
      <c r="Y861" s="2588"/>
      <c r="Z861" s="2588"/>
      <c r="AA861" s="2588"/>
      <c r="AB861" s="2588"/>
      <c r="AC861" s="2588"/>
      <c r="AZ861" s="25"/>
      <c r="BA861" s="25"/>
      <c r="BB861" s="13"/>
      <c r="BC861" s="13"/>
    </row>
    <row r="862" spans="1:64" ht="12.95" customHeight="1">
      <c r="J862" s="1178" t="s">
        <v>1549</v>
      </c>
      <c r="K862" s="5"/>
      <c r="L862" s="5"/>
      <c r="M862" s="5"/>
      <c r="N862" s="5"/>
      <c r="O862" s="5"/>
      <c r="P862" s="5"/>
      <c r="Q862" s="5"/>
      <c r="R862" s="5"/>
      <c r="S862" s="5"/>
      <c r="T862" s="5"/>
      <c r="U862" s="5"/>
      <c r="V862" s="38"/>
      <c r="W862" s="2588">
        <v>32000</v>
      </c>
      <c r="X862" s="2588"/>
      <c r="Y862" s="2588"/>
      <c r="Z862" s="2588"/>
      <c r="AA862" s="2588"/>
      <c r="AB862" s="2588"/>
      <c r="AC862" s="2588"/>
      <c r="AZ862" s="3"/>
      <c r="BA862" s="3"/>
      <c r="BB862" s="3"/>
      <c r="BC862" s="3"/>
    </row>
    <row r="863" spans="1:64" ht="12.95" customHeight="1">
      <c r="J863" s="54"/>
      <c r="K863" s="40"/>
      <c r="L863" s="40"/>
      <c r="M863" s="40"/>
      <c r="N863" s="40"/>
      <c r="O863" s="40"/>
      <c r="P863" s="40"/>
      <c r="Q863" s="40"/>
      <c r="R863" s="40"/>
      <c r="S863" s="40"/>
      <c r="T863" s="40"/>
      <c r="U863" s="40"/>
      <c r="V863" s="46" t="s">
        <v>1550</v>
      </c>
      <c r="W863" s="2589">
        <f>SUM(W859:W862)</f>
        <v>72000</v>
      </c>
      <c r="X863" s="2589"/>
      <c r="Y863" s="2589"/>
      <c r="Z863" s="2589"/>
      <c r="AA863" s="2589"/>
      <c r="AB863" s="2589"/>
      <c r="AC863" s="2589"/>
      <c r="AZ863" s="3"/>
      <c r="BA863" s="3"/>
      <c r="BB863" s="3"/>
      <c r="BC863" s="3"/>
    </row>
    <row r="864" spans="1:64" ht="12.95" customHeight="1">
      <c r="AZ864" s="3"/>
      <c r="BA864" s="3"/>
      <c r="BB864" s="3"/>
      <c r="BC864" s="3"/>
    </row>
    <row r="865" spans="3:55" ht="12.95" customHeight="1">
      <c r="C865" s="2" t="s">
        <v>1551</v>
      </c>
      <c r="J865" s="37" t="s">
        <v>1552</v>
      </c>
      <c r="K865" s="5"/>
      <c r="L865" s="5"/>
      <c r="M865" s="5"/>
      <c r="N865" s="5"/>
      <c r="O865" s="5"/>
      <c r="P865" s="5"/>
      <c r="Q865" s="5"/>
      <c r="R865" s="5"/>
      <c r="S865" s="5"/>
      <c r="T865" s="5"/>
      <c r="U865" s="5"/>
      <c r="V865" s="38"/>
      <c r="W865" s="2590">
        <v>64854</v>
      </c>
      <c r="X865" s="2591"/>
      <c r="Y865" s="2591"/>
      <c r="Z865" s="2591"/>
      <c r="AA865" s="2591"/>
      <c r="AB865" s="2591"/>
      <c r="AC865" s="2592"/>
      <c r="AD865" s="428"/>
      <c r="AZ865" s="3"/>
      <c r="BA865" s="3"/>
      <c r="BB865" s="3"/>
      <c r="BC865" s="3"/>
    </row>
    <row r="866" spans="3:55" ht="12.95" customHeight="1">
      <c r="C866" s="2" t="s">
        <v>1553</v>
      </c>
      <c r="J866" s="87" t="s">
        <v>1554</v>
      </c>
      <c r="K866" s="5"/>
      <c r="L866" s="5"/>
      <c r="M866" s="5"/>
      <c r="N866" s="5"/>
      <c r="O866" s="5"/>
      <c r="P866" s="5"/>
      <c r="Q866" s="5"/>
      <c r="R866" s="5"/>
      <c r="S866" s="5"/>
      <c r="T866" s="1587">
        <v>1</v>
      </c>
      <c r="U866" s="1588"/>
      <c r="V866" s="1589"/>
      <c r="W866" s="769"/>
      <c r="X866" s="770"/>
      <c r="Y866" s="770"/>
      <c r="Z866" s="770"/>
      <c r="AA866" s="770"/>
      <c r="AB866" s="770"/>
      <c r="AC866" s="771"/>
      <c r="AD866" s="428"/>
      <c r="AZ866" s="3"/>
      <c r="BA866" s="3"/>
      <c r="BB866" s="3"/>
      <c r="BC866" s="3"/>
    </row>
    <row r="867" spans="3:55" ht="12.95" customHeight="1">
      <c r="C867" s="2"/>
      <c r="J867" s="37" t="s">
        <v>1555</v>
      </c>
      <c r="K867" s="5"/>
      <c r="L867" s="5"/>
      <c r="M867" s="5"/>
      <c r="N867" s="5"/>
      <c r="O867" s="5"/>
      <c r="P867" s="5"/>
      <c r="Q867" s="5"/>
      <c r="R867" s="5"/>
      <c r="S867" s="5"/>
      <c r="T867" s="5"/>
      <c r="U867" s="5"/>
      <c r="V867" s="38"/>
      <c r="W867" s="2590">
        <v>60817</v>
      </c>
      <c r="X867" s="2591"/>
      <c r="Y867" s="2591"/>
      <c r="Z867" s="2591"/>
      <c r="AA867" s="2591"/>
      <c r="AB867" s="2591"/>
      <c r="AC867" s="2592"/>
      <c r="AD867" s="433"/>
      <c r="AZ867" s="3"/>
      <c r="BA867" s="3"/>
      <c r="BB867" s="3"/>
      <c r="BC867" s="3"/>
    </row>
    <row r="868" spans="3:55" ht="12.95" customHeight="1">
      <c r="C868" s="2"/>
      <c r="J868" s="87" t="s">
        <v>1556</v>
      </c>
      <c r="K868" s="5"/>
      <c r="L868" s="5"/>
      <c r="M868" s="5"/>
      <c r="N868" s="5"/>
      <c r="O868" s="5"/>
      <c r="P868" s="5"/>
      <c r="Q868" s="5"/>
      <c r="R868" s="5"/>
      <c r="S868" s="5"/>
      <c r="T868" s="1587">
        <v>1</v>
      </c>
      <c r="U868" s="1588"/>
      <c r="V868" s="1589"/>
      <c r="W868" s="769"/>
      <c r="X868" s="770"/>
      <c r="Y868" s="770"/>
      <c r="Z868" s="770"/>
      <c r="AA868" s="770"/>
      <c r="AB868" s="770"/>
      <c r="AC868" s="771"/>
      <c r="AD868" s="433"/>
      <c r="AZ868" s="3"/>
      <c r="BA868" s="3"/>
      <c r="BB868" s="3"/>
      <c r="BC868" s="3"/>
    </row>
    <row r="869" spans="3:55" ht="12.95" customHeight="1">
      <c r="J869" s="37" t="s">
        <v>233</v>
      </c>
      <c r="K869" s="5"/>
      <c r="L869" s="5"/>
      <c r="M869" s="1436" t="s">
        <v>1557</v>
      </c>
      <c r="N869" s="1437"/>
      <c r="O869" s="1437"/>
      <c r="P869" s="1437"/>
      <c r="Q869" s="1437"/>
      <c r="R869" s="1437"/>
      <c r="S869" s="1437"/>
      <c r="T869" s="1437"/>
      <c r="U869" s="1437"/>
      <c r="V869" s="1438"/>
      <c r="W869" s="2590">
        <v>38319</v>
      </c>
      <c r="X869" s="2591"/>
      <c r="Y869" s="2591"/>
      <c r="Z869" s="2591"/>
      <c r="AA869" s="2591"/>
      <c r="AB869" s="2591"/>
      <c r="AC869" s="2592"/>
      <c r="AD869" s="428"/>
      <c r="AU869" s="13"/>
      <c r="AZ869" s="3"/>
      <c r="BA869" s="3"/>
      <c r="BB869" s="3"/>
      <c r="BC869" s="3"/>
    </row>
    <row r="870" spans="3:55" ht="12.95" customHeight="1">
      <c r="J870" s="37"/>
      <c r="K870" s="5"/>
      <c r="L870" s="5"/>
      <c r="M870" s="5"/>
      <c r="N870" s="5"/>
      <c r="O870" s="5"/>
      <c r="P870" s="5"/>
      <c r="Q870" s="5"/>
      <c r="R870" s="5"/>
      <c r="S870" s="5"/>
      <c r="T870" s="5"/>
      <c r="U870" s="5"/>
      <c r="V870" s="46" t="s">
        <v>1558</v>
      </c>
      <c r="W870" s="2593">
        <f>SUM(W865:W869)</f>
        <v>163990</v>
      </c>
      <c r="X870" s="2594"/>
      <c r="Y870" s="2594"/>
      <c r="Z870" s="2594"/>
      <c r="AA870" s="2594"/>
      <c r="AB870" s="2594"/>
      <c r="AC870" s="2595"/>
      <c r="AD870" s="433"/>
      <c r="AU870" s="13"/>
      <c r="AZ870" s="3"/>
      <c r="BA870" s="3"/>
      <c r="BB870" s="3"/>
      <c r="BC870" s="3"/>
    </row>
    <row r="871" spans="3:55" ht="12.95" customHeight="1">
      <c r="AU871" s="13"/>
      <c r="AZ871" s="3"/>
      <c r="BA871" s="3"/>
      <c r="BB871" s="3"/>
      <c r="BC871" s="3"/>
    </row>
    <row r="872" spans="3:55" ht="12.95" customHeight="1">
      <c r="C872" s="2" t="s">
        <v>1559</v>
      </c>
      <c r="J872" s="37"/>
      <c r="K872" s="5"/>
      <c r="L872" s="5"/>
      <c r="M872" s="5"/>
      <c r="N872" s="5"/>
      <c r="O872" s="5"/>
      <c r="P872" s="5"/>
      <c r="Q872" s="5"/>
      <c r="R872" s="5"/>
      <c r="S872" s="5"/>
      <c r="T872" s="5"/>
      <c r="U872" s="5"/>
      <c r="V872" s="46" t="s">
        <v>1560</v>
      </c>
      <c r="W872" s="2590">
        <v>106875</v>
      </c>
      <c r="X872" s="2591"/>
      <c r="Y872" s="2591"/>
      <c r="Z872" s="2591"/>
      <c r="AA872" s="2591"/>
      <c r="AB872" s="2591"/>
      <c r="AC872" s="2592"/>
      <c r="AU872" s="13"/>
      <c r="AZ872" s="3"/>
      <c r="BA872" s="3"/>
      <c r="BB872" s="3"/>
      <c r="BC872" s="3"/>
    </row>
    <row r="873" spans="3:55" ht="12.95" customHeight="1">
      <c r="J873" s="412"/>
      <c r="AU873" s="13"/>
      <c r="AZ873" s="3"/>
      <c r="BA873" s="3"/>
      <c r="BB873" s="3"/>
      <c r="BC873" s="3"/>
    </row>
    <row r="874" spans="3:55" ht="12.95" customHeight="1">
      <c r="C874" s="2" t="s">
        <v>232</v>
      </c>
      <c r="J874" s="37" t="s">
        <v>1561</v>
      </c>
      <c r="K874" s="5"/>
      <c r="L874" s="5"/>
      <c r="M874" s="5"/>
      <c r="N874" s="5"/>
      <c r="O874" s="5"/>
      <c r="P874" s="5"/>
      <c r="Q874" s="5"/>
      <c r="R874" s="5"/>
      <c r="S874" s="5"/>
      <c r="T874" s="5"/>
      <c r="U874" s="5"/>
      <c r="V874" s="38"/>
      <c r="W874" s="1432">
        <v>4200</v>
      </c>
      <c r="X874" s="1432"/>
      <c r="Y874" s="1432"/>
      <c r="Z874" s="1432"/>
      <c r="AA874" s="1432"/>
      <c r="AB874" s="1432"/>
      <c r="AC874" s="1432"/>
      <c r="AU874" s="13"/>
      <c r="AZ874" s="3"/>
      <c r="BA874" s="3"/>
      <c r="BB874" s="3"/>
      <c r="BC874" s="3"/>
    </row>
    <row r="875" spans="3:55" ht="12.95" customHeight="1">
      <c r="J875" s="37" t="s">
        <v>1562</v>
      </c>
      <c r="K875" s="5"/>
      <c r="L875" s="5"/>
      <c r="M875" s="5"/>
      <c r="N875" s="5"/>
      <c r="O875" s="5"/>
      <c r="P875" s="5"/>
      <c r="Q875" s="5"/>
      <c r="R875" s="5"/>
      <c r="S875" s="5"/>
      <c r="T875" s="5"/>
      <c r="U875" s="5"/>
      <c r="V875" s="38"/>
      <c r="W875" s="1432">
        <v>42800</v>
      </c>
      <c r="X875" s="1432"/>
      <c r="Y875" s="1432"/>
      <c r="Z875" s="1432"/>
      <c r="AA875" s="1432"/>
      <c r="AB875" s="1432"/>
      <c r="AC875" s="1432"/>
      <c r="AU875" s="3"/>
      <c r="AZ875" s="3"/>
      <c r="BA875" s="3"/>
      <c r="BB875" s="3"/>
      <c r="BC875" s="3"/>
    </row>
    <row r="876" spans="3:55" ht="12.95" customHeight="1">
      <c r="J876" s="37" t="s">
        <v>1563</v>
      </c>
      <c r="K876" s="5"/>
      <c r="L876" s="5"/>
      <c r="M876" s="5"/>
      <c r="N876" s="5"/>
      <c r="O876" s="5"/>
      <c r="P876" s="5"/>
      <c r="Q876" s="5"/>
      <c r="R876" s="5"/>
      <c r="S876" s="5"/>
      <c r="T876" s="5"/>
      <c r="U876" s="5"/>
      <c r="V876" s="38"/>
      <c r="W876" s="1432">
        <v>41222</v>
      </c>
      <c r="X876" s="1432"/>
      <c r="Y876" s="1432"/>
      <c r="Z876" s="1432"/>
      <c r="AA876" s="1432"/>
      <c r="AB876" s="1432"/>
      <c r="AC876" s="1432"/>
      <c r="AU876" s="3"/>
      <c r="AZ876" s="3"/>
      <c r="BA876" s="3"/>
      <c r="BB876" s="3"/>
      <c r="BC876" s="3"/>
    </row>
    <row r="877" spans="3:55" ht="12.95" customHeight="1">
      <c r="J877" s="37" t="s">
        <v>1564</v>
      </c>
      <c r="K877" s="5"/>
      <c r="L877" s="5"/>
      <c r="M877" s="5"/>
      <c r="N877" s="5"/>
      <c r="O877" s="5"/>
      <c r="P877" s="5"/>
      <c r="Q877" s="5"/>
      <c r="R877" s="5"/>
      <c r="S877" s="5"/>
      <c r="T877" s="5"/>
      <c r="U877" s="5"/>
      <c r="V877" s="38"/>
      <c r="W877" s="1432">
        <v>6300</v>
      </c>
      <c r="X877" s="1432"/>
      <c r="Y877" s="1432"/>
      <c r="Z877" s="1432"/>
      <c r="AA877" s="1432"/>
      <c r="AB877" s="1432"/>
      <c r="AC877" s="1432"/>
      <c r="AU877" s="3"/>
      <c r="AZ877" s="3"/>
      <c r="BA877" s="3"/>
      <c r="BB877" s="3"/>
      <c r="BC877" s="3"/>
    </row>
    <row r="878" spans="3:55" ht="12.95" customHeight="1">
      <c r="J878" s="37" t="s">
        <v>1565</v>
      </c>
      <c r="K878" s="5"/>
      <c r="L878" s="5"/>
      <c r="M878" s="5"/>
      <c r="N878" s="5"/>
      <c r="O878" s="5"/>
      <c r="P878" s="5"/>
      <c r="Q878" s="5"/>
      <c r="R878" s="5"/>
      <c r="S878" s="5"/>
      <c r="T878" s="5"/>
      <c r="U878" s="5"/>
      <c r="V878" s="38"/>
      <c r="W878" s="1432">
        <v>10500</v>
      </c>
      <c r="X878" s="1432"/>
      <c r="Y878" s="1432"/>
      <c r="Z878" s="1432"/>
      <c r="AA878" s="1432"/>
      <c r="AB878" s="1432"/>
      <c r="AC878" s="1432"/>
      <c r="AU878" s="3"/>
      <c r="AZ878" s="3"/>
      <c r="BA878" s="3"/>
      <c r="BB878" s="3"/>
      <c r="BC878" s="3"/>
    </row>
    <row r="879" spans="3:55" ht="12.95" customHeight="1">
      <c r="J879" s="37" t="s">
        <v>1566</v>
      </c>
      <c r="K879" s="5"/>
      <c r="L879" s="5"/>
      <c r="M879" s="5"/>
      <c r="N879" s="5"/>
      <c r="O879" s="5"/>
      <c r="P879" s="5"/>
      <c r="Q879" s="5"/>
      <c r="R879" s="5"/>
      <c r="S879" s="5"/>
      <c r="T879" s="5"/>
      <c r="U879" s="5"/>
      <c r="V879" s="38"/>
      <c r="W879" s="1432"/>
      <c r="X879" s="1432"/>
      <c r="Y879" s="1432"/>
      <c r="Z879" s="1432"/>
      <c r="AA879" s="1432"/>
      <c r="AB879" s="1432"/>
      <c r="AC879" s="1432"/>
      <c r="AU879" s="3"/>
      <c r="AZ879" s="3"/>
      <c r="BA879" s="3"/>
      <c r="BB879" s="3"/>
      <c r="BC879" s="3"/>
    </row>
    <row r="880" spans="3:55" ht="12.95" customHeight="1">
      <c r="J880" s="37" t="s">
        <v>233</v>
      </c>
      <c r="K880" s="5"/>
      <c r="L880" s="5"/>
      <c r="M880" s="1436" t="s">
        <v>1266</v>
      </c>
      <c r="N880" s="1437"/>
      <c r="O880" s="1437"/>
      <c r="P880" s="1437"/>
      <c r="Q880" s="1437"/>
      <c r="R880" s="1437"/>
      <c r="S880" s="1437"/>
      <c r="T880" s="1437"/>
      <c r="U880" s="1437"/>
      <c r="V880" s="1438"/>
      <c r="W880" s="1432"/>
      <c r="X880" s="1432"/>
      <c r="Y880" s="1432"/>
      <c r="Z880" s="1432"/>
      <c r="AA880" s="1432"/>
      <c r="AB880" s="1432"/>
      <c r="AC880" s="1432"/>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1567</v>
      </c>
      <c r="W881" s="1592">
        <f>SUM(W874:W880)</f>
        <v>105022</v>
      </c>
      <c r="X881" s="1592"/>
      <c r="Y881" s="1592"/>
      <c r="Z881" s="1592"/>
      <c r="AA881" s="1592"/>
      <c r="AB881" s="1592"/>
      <c r="AC881" s="1592"/>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1568</v>
      </c>
      <c r="J883" s="37" t="s">
        <v>233</v>
      </c>
      <c r="K883" s="5"/>
      <c r="L883" s="5"/>
      <c r="M883" s="1436" t="s">
        <v>1266</v>
      </c>
      <c r="N883" s="1437"/>
      <c r="O883" s="1437"/>
      <c r="P883" s="1437"/>
      <c r="Q883" s="1437"/>
      <c r="R883" s="1437"/>
      <c r="S883" s="1437"/>
      <c r="T883" s="1437"/>
      <c r="U883" s="1437"/>
      <c r="V883" s="1438"/>
      <c r="W883" s="1405"/>
      <c r="X883" s="1406"/>
      <c r="Y883" s="1406"/>
      <c r="Z883" s="1406"/>
      <c r="AA883" s="1406"/>
      <c r="AB883" s="1406"/>
      <c r="AC883" s="1407"/>
      <c r="AD883" s="433"/>
      <c r="AV883" s="13"/>
      <c r="AW883" s="13"/>
      <c r="AX883" s="13"/>
      <c r="AY883" s="13"/>
      <c r="AZ883" s="3"/>
      <c r="BA883" s="3"/>
      <c r="BB883" s="3"/>
      <c r="BC883" s="3"/>
    </row>
    <row r="884" spans="3:55" ht="12.95" customHeight="1">
      <c r="C884" s="2" t="s">
        <v>1569</v>
      </c>
      <c r="J884" s="37" t="s">
        <v>233</v>
      </c>
      <c r="K884" s="5"/>
      <c r="L884" s="5"/>
      <c r="M884" s="1436" t="s">
        <v>1266</v>
      </c>
      <c r="N884" s="1437"/>
      <c r="O884" s="1437"/>
      <c r="P884" s="1437"/>
      <c r="Q884" s="1437"/>
      <c r="R884" s="1437"/>
      <c r="S884" s="1437"/>
      <c r="T884" s="1437"/>
      <c r="U884" s="1437"/>
      <c r="V884" s="1438"/>
      <c r="W884" s="1405"/>
      <c r="X884" s="1406"/>
      <c r="Y884" s="1406"/>
      <c r="Z884" s="1406"/>
      <c r="AA884" s="1406"/>
      <c r="AB884" s="1406"/>
      <c r="AC884" s="1407"/>
      <c r="AD884" s="433"/>
      <c r="AV884" s="13"/>
      <c r="AW884" s="13"/>
      <c r="AX884" s="13"/>
      <c r="AY884" s="13"/>
      <c r="AZ884" s="3"/>
      <c r="BA884" s="3"/>
      <c r="BB884" s="3"/>
      <c r="BC884" s="3"/>
    </row>
    <row r="885" spans="3:55" ht="12.95" customHeight="1">
      <c r="J885" s="37" t="s">
        <v>233</v>
      </c>
      <c r="K885" s="5"/>
      <c r="L885" s="5"/>
      <c r="M885" s="1436" t="s">
        <v>1266</v>
      </c>
      <c r="N885" s="1437"/>
      <c r="O885" s="1437"/>
      <c r="P885" s="1437"/>
      <c r="Q885" s="1437"/>
      <c r="R885" s="1437"/>
      <c r="S885" s="1437"/>
      <c r="T885" s="1437"/>
      <c r="U885" s="1437"/>
      <c r="V885" s="1438"/>
      <c r="W885" s="1405"/>
      <c r="X885" s="1406"/>
      <c r="Y885" s="1406"/>
      <c r="Z885" s="1406"/>
      <c r="AA885" s="1406"/>
      <c r="AB885" s="1406"/>
      <c r="AC885" s="1407"/>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436" t="s">
        <v>1266</v>
      </c>
      <c r="N886" s="1437"/>
      <c r="O886" s="1437"/>
      <c r="P886" s="1437"/>
      <c r="Q886" s="1437"/>
      <c r="R886" s="1437"/>
      <c r="S886" s="1437"/>
      <c r="T886" s="1437"/>
      <c r="U886" s="1437"/>
      <c r="V886" s="1438"/>
      <c r="W886" s="1405"/>
      <c r="X886" s="1406"/>
      <c r="Y886" s="1406"/>
      <c r="Z886" s="1406"/>
      <c r="AA886" s="1406"/>
      <c r="AB886" s="1406"/>
      <c r="AC886" s="1407"/>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436" t="s">
        <v>1266</v>
      </c>
      <c r="N887" s="1437"/>
      <c r="O887" s="1437"/>
      <c r="P887" s="1437"/>
      <c r="Q887" s="1437"/>
      <c r="R887" s="1437"/>
      <c r="S887" s="1437"/>
      <c r="T887" s="1437"/>
      <c r="U887" s="1437"/>
      <c r="V887" s="1438"/>
      <c r="W887" s="1405"/>
      <c r="X887" s="1406"/>
      <c r="Y887" s="1406"/>
      <c r="Z887" s="1406"/>
      <c r="AA887" s="1406"/>
      <c r="AB887" s="1406"/>
      <c r="AC887" s="1407"/>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1570</v>
      </c>
      <c r="W888" s="1460">
        <f>SUM(W883:W887)</f>
        <v>0</v>
      </c>
      <c r="X888" s="1461"/>
      <c r="Y888" s="1461"/>
      <c r="Z888" s="1461"/>
      <c r="AA888" s="1461"/>
      <c r="AB888" s="1461"/>
      <c r="AC888" s="146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1571</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1572</v>
      </c>
      <c r="AC892" s="1461">
        <f>W855+W863+W870+W872+W881+W888+W857</f>
        <v>526571</v>
      </c>
      <c r="AD892" s="1461"/>
      <c r="AE892" s="1461"/>
      <c r="AF892" s="1461"/>
      <c r="AG892" s="1461"/>
      <c r="AH892" s="146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1573</v>
      </c>
      <c r="AC893" s="1593">
        <f>O805+O785+G761</f>
        <v>84</v>
      </c>
      <c r="AD893" s="1593"/>
      <c r="AE893" s="1593"/>
      <c r="AF893" s="1593"/>
      <c r="AG893" s="1593"/>
      <c r="AH893" s="1594"/>
      <c r="AL893" s="3"/>
      <c r="AM893" s="3"/>
      <c r="AN893" s="3"/>
      <c r="AO893" s="3"/>
      <c r="AP893" s="3"/>
      <c r="AQ893" s="3"/>
      <c r="AR893" s="3"/>
      <c r="AS893" s="3"/>
      <c r="AT893" s="3"/>
      <c r="AZ893" s="3"/>
      <c r="BA893" s="3"/>
      <c r="BB893" s="3"/>
      <c r="BC893" s="3"/>
    </row>
    <row r="894" spans="3:55" ht="12.95" customHeight="1">
      <c r="C894" s="33"/>
      <c r="D894" s="34"/>
      <c r="E894" s="1598" t="s">
        <v>1574</v>
      </c>
      <c r="F894" s="1598"/>
      <c r="G894" s="1598"/>
      <c r="H894" s="1598"/>
      <c r="I894" s="1598"/>
      <c r="J894" s="1598"/>
      <c r="K894" s="1598"/>
      <c r="L894" s="1598"/>
      <c r="M894" s="1598"/>
      <c r="N894" s="1598"/>
      <c r="O894" s="1598"/>
      <c r="P894" s="1598"/>
      <c r="Q894" s="1598"/>
      <c r="R894" s="1598"/>
      <c r="S894" s="1598"/>
      <c r="T894" s="1598"/>
      <c r="U894" s="1598"/>
      <c r="V894" s="1598"/>
      <c r="W894" s="1598"/>
      <c r="X894" s="1598"/>
      <c r="Y894" s="1598"/>
      <c r="Z894" s="1598"/>
      <c r="AA894" s="1598"/>
      <c r="AB894" s="1599"/>
      <c r="AC894" s="1592">
        <f>IF(ISERROR((ROUNDDOWN(AC892/AC893,0))),0,(ROUNDDOWN(AC892/AC893,0)))</f>
        <v>6268</v>
      </c>
      <c r="AD894" s="1592"/>
      <c r="AE894" s="1592"/>
      <c r="AF894" s="1592"/>
      <c r="AG894" s="1592"/>
      <c r="AH894" s="1592"/>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1575</v>
      </c>
      <c r="AC895" s="1590"/>
      <c r="AD895" s="1591"/>
      <c r="AE895" s="1591"/>
      <c r="AF895" s="1591"/>
      <c r="AG895" s="1591"/>
      <c r="AH895" s="1591"/>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1576</v>
      </c>
      <c r="AC896" s="1407"/>
      <c r="AD896" s="1432"/>
      <c r="AE896" s="1432"/>
      <c r="AF896" s="1432"/>
      <c r="AG896" s="1432"/>
      <c r="AH896" s="1432"/>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1577</v>
      </c>
      <c r="AC897" s="1406">
        <v>80000</v>
      </c>
      <c r="AD897" s="1406"/>
      <c r="AE897" s="1406"/>
      <c r="AF897" s="1406"/>
      <c r="AG897" s="1406"/>
      <c r="AH897" s="1407"/>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1578</v>
      </c>
      <c r="AC898" s="1406">
        <v>42000</v>
      </c>
      <c r="AD898" s="1406"/>
      <c r="AE898" s="1406"/>
      <c r="AF898" s="1406"/>
      <c r="AG898" s="1406"/>
      <c r="AH898" s="1407"/>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1579</v>
      </c>
      <c r="AC899" s="1477"/>
      <c r="AD899" s="1478"/>
      <c r="AE899" s="1478"/>
      <c r="AF899" s="1478"/>
      <c r="AG899" s="1478"/>
      <c r="AH899" s="1479"/>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1580</v>
      </c>
      <c r="AC900" s="1406"/>
      <c r="AD900" s="1406"/>
      <c r="AE900" s="1406"/>
      <c r="AF900" s="1406"/>
      <c r="AG900" s="1406"/>
      <c r="AH900" s="1407"/>
      <c r="AZ900" s="3"/>
      <c r="BA900" s="3"/>
      <c r="BB900" s="3"/>
      <c r="BC900" s="3"/>
    </row>
    <row r="901" spans="1:58" ht="12.95" hidden="1" customHeight="1">
      <c r="C901" s="1469" t="s">
        <v>1581</v>
      </c>
      <c r="D901" s="1470"/>
      <c r="E901" s="1470"/>
      <c r="F901" s="1470"/>
      <c r="G901" s="1470"/>
      <c r="H901" s="1470"/>
      <c r="I901" s="1470"/>
      <c r="J901" s="1470"/>
      <c r="K901" s="1470"/>
      <c r="L901" s="1470"/>
      <c r="M901" s="1470"/>
      <c r="N901" s="1470"/>
      <c r="O901" s="1470"/>
      <c r="P901" s="1470"/>
      <c r="Q901" s="1470"/>
      <c r="R901" s="1470"/>
      <c r="S901" s="1470"/>
      <c r="T901" s="1470"/>
      <c r="U901" s="1470"/>
      <c r="V901" s="1470"/>
      <c r="W901" s="1470"/>
      <c r="X901" s="1470"/>
      <c r="Y901" s="1470"/>
      <c r="Z901" s="1470"/>
      <c r="AA901" s="1470"/>
      <c r="AB901" s="1471"/>
      <c r="AC901" s="1406"/>
      <c r="AD901" s="1406"/>
      <c r="AE901" s="1406"/>
      <c r="AF901" s="1406"/>
      <c r="AG901" s="1406"/>
      <c r="AH901" s="1407"/>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1582</v>
      </c>
      <c r="AC902" s="1406"/>
      <c r="AD902" s="1406"/>
      <c r="AE902" s="1406"/>
      <c r="AF902" s="1406"/>
      <c r="AG902" s="1406"/>
      <c r="AH902" s="1407"/>
      <c r="AZ902" s="3"/>
      <c r="BA902" s="3"/>
      <c r="BB902" s="3"/>
      <c r="BC902" s="3"/>
    </row>
    <row r="903" spans="1:58" ht="12.95" customHeight="1">
      <c r="C903" s="1566" t="s">
        <v>1583</v>
      </c>
      <c r="D903" s="1567"/>
      <c r="E903" s="1567"/>
      <c r="F903" s="1567"/>
      <c r="G903" s="1567"/>
      <c r="H903" s="1567"/>
      <c r="I903" s="1567"/>
      <c r="J903" s="1567"/>
      <c r="K903" s="1567"/>
      <c r="L903" s="1567"/>
      <c r="M903" s="1567"/>
      <c r="N903" s="1567"/>
      <c r="O903" s="1567"/>
      <c r="P903" s="1567"/>
      <c r="Q903" s="1567"/>
      <c r="R903" s="1567"/>
      <c r="S903" s="1567"/>
      <c r="T903" s="1567"/>
      <c r="U903" s="1567"/>
      <c r="V903" s="1567"/>
      <c r="W903" s="1567"/>
      <c r="X903" s="1567"/>
      <c r="Y903" s="1567"/>
      <c r="Z903" s="1567"/>
      <c r="AA903" s="1567"/>
      <c r="AB903" s="1568"/>
      <c r="AC903" s="1432">
        <v>18000</v>
      </c>
      <c r="AD903" s="1432"/>
      <c r="AE903" s="1432"/>
      <c r="AF903" s="1432"/>
      <c r="AG903" s="1432"/>
      <c r="AH903" s="1432"/>
      <c r="AZ903" s="3"/>
      <c r="BA903" s="3"/>
      <c r="BB903" s="3"/>
      <c r="BC903" s="3"/>
    </row>
    <row r="904" spans="1:58" ht="12.95" customHeight="1">
      <c r="C904" s="1566" t="s">
        <v>1584</v>
      </c>
      <c r="D904" s="1567"/>
      <c r="E904" s="1567"/>
      <c r="F904" s="1567"/>
      <c r="G904" s="1567"/>
      <c r="H904" s="1567"/>
      <c r="I904" s="1567"/>
      <c r="J904" s="1567"/>
      <c r="K904" s="1567"/>
      <c r="L904" s="1567"/>
      <c r="M904" s="1567"/>
      <c r="N904" s="1567"/>
      <c r="O904" s="1567"/>
      <c r="P904" s="1567"/>
      <c r="Q904" s="1567"/>
      <c r="R904" s="1567"/>
      <c r="S904" s="1567"/>
      <c r="T904" s="1567"/>
      <c r="U904" s="1567"/>
      <c r="V904" s="1567"/>
      <c r="W904" s="1567"/>
      <c r="X904" s="1567"/>
      <c r="Y904" s="1567"/>
      <c r="Z904" s="1567"/>
      <c r="AA904" s="1567"/>
      <c r="AB904" s="1568"/>
      <c r="AC904" s="1432">
        <v>1000</v>
      </c>
      <c r="AD904" s="1432"/>
      <c r="AE904" s="1432"/>
      <c r="AF904" s="1432"/>
      <c r="AG904" s="1432"/>
      <c r="AH904" s="1432"/>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1303</v>
      </c>
      <c r="C906" s="2" t="s">
        <v>1585</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1586</v>
      </c>
      <c r="I908" s="5"/>
      <c r="J908" s="5"/>
      <c r="K908" s="5"/>
      <c r="L908" s="5"/>
      <c r="M908" s="5"/>
      <c r="N908" s="5"/>
      <c r="O908" s="5"/>
      <c r="P908" s="5"/>
      <c r="Q908" s="5"/>
      <c r="R908" s="5"/>
      <c r="S908" s="5"/>
      <c r="T908" s="5"/>
      <c r="U908" s="5"/>
      <c r="V908" s="5"/>
      <c r="W908" s="5"/>
      <c r="X908" s="5"/>
      <c r="Y908" s="38"/>
      <c r="Z908" s="1405"/>
      <c r="AA908" s="1406"/>
      <c r="AB908" s="1406"/>
      <c r="AC908" s="1406"/>
      <c r="AD908" s="1406"/>
      <c r="AE908" s="1407"/>
      <c r="AF908" s="433"/>
      <c r="AZ908" s="3"/>
      <c r="BB908" s="25"/>
      <c r="BC908" s="712"/>
      <c r="BD908" s="1580"/>
      <c r="BE908" s="1580"/>
      <c r="BF908" s="13"/>
    </row>
    <row r="909" spans="1:58" ht="12.95" customHeight="1">
      <c r="H909" s="87" t="s">
        <v>1587</v>
      </c>
      <c r="I909" s="5"/>
      <c r="J909" s="5"/>
      <c r="K909" s="5"/>
      <c r="L909" s="5"/>
      <c r="M909" s="5"/>
      <c r="N909" s="5"/>
      <c r="O909" s="5"/>
      <c r="P909" s="5"/>
      <c r="Q909" s="5"/>
      <c r="R909" s="5"/>
      <c r="S909" s="5"/>
      <c r="T909" s="5"/>
      <c r="U909" s="5"/>
      <c r="V909" s="5"/>
      <c r="W909" s="5"/>
      <c r="X909" s="5"/>
      <c r="Y909" s="5"/>
      <c r="Z909" s="1405"/>
      <c r="AA909" s="1406"/>
      <c r="AB909" s="1406"/>
      <c r="AC909" s="1406"/>
      <c r="AD909" s="1406"/>
      <c r="AE909" s="1407"/>
      <c r="AZ909" s="3"/>
      <c r="BB909" s="25"/>
      <c r="BC909" s="712"/>
      <c r="BD909" s="1580"/>
      <c r="BE909" s="1580"/>
      <c r="BF909" s="13"/>
    </row>
    <row r="910" spans="1:58" ht="12.95" customHeight="1">
      <c r="H910" s="87" t="s">
        <v>1588</v>
      </c>
      <c r="I910" s="5"/>
      <c r="J910" s="5"/>
      <c r="K910" s="5"/>
      <c r="L910" s="5"/>
      <c r="M910" s="5"/>
      <c r="N910" s="5"/>
      <c r="O910" s="5"/>
      <c r="P910" s="5"/>
      <c r="Q910" s="5"/>
      <c r="R910" s="5"/>
      <c r="S910" s="5"/>
      <c r="T910" s="5"/>
      <c r="U910" s="5"/>
      <c r="V910" s="5"/>
      <c r="W910" s="5"/>
      <c r="X910" s="5"/>
      <c r="Y910" s="5"/>
      <c r="Z910" s="1405"/>
      <c r="AA910" s="1406"/>
      <c r="AB910" s="1406"/>
      <c r="AC910" s="1406"/>
      <c r="AD910" s="1406"/>
      <c r="AE910" s="1407"/>
      <c r="AZ910" s="3"/>
      <c r="BB910" s="25"/>
      <c r="BC910" s="712"/>
      <c r="BD910" s="1311"/>
      <c r="BE910" s="1311"/>
      <c r="BF910" s="13"/>
    </row>
    <row r="911" spans="1:58" ht="12.95" customHeight="1">
      <c r="H911" s="37"/>
      <c r="I911" s="5"/>
      <c r="J911" s="5"/>
      <c r="K911" s="5"/>
      <c r="L911" s="5"/>
      <c r="M911" s="5"/>
      <c r="N911" s="5"/>
      <c r="O911" s="5"/>
      <c r="P911" s="5"/>
      <c r="Q911" s="5"/>
      <c r="R911" s="5"/>
      <c r="S911" s="5"/>
      <c r="T911" s="5"/>
      <c r="U911" s="5"/>
      <c r="V911" s="5"/>
      <c r="W911" s="5"/>
      <c r="X911" s="5"/>
      <c r="Y911" s="125" t="s">
        <v>1589</v>
      </c>
      <c r="Z911" s="1460">
        <f>Z908-(Z909+Z910)</f>
        <v>0</v>
      </c>
      <c r="AA911" s="1461"/>
      <c r="AB911" s="1461"/>
      <c r="AC911" s="1461"/>
      <c r="AD911" s="1461"/>
      <c r="AE911" s="1462"/>
      <c r="AZ911" s="3"/>
      <c r="BB911" s="25"/>
      <c r="BC911" s="712"/>
      <c r="BD911" s="1311"/>
      <c r="BE911" s="1311"/>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11"/>
      <c r="BE912" s="1311"/>
      <c r="BF912" s="13"/>
    </row>
    <row r="913" spans="1:58" ht="12.95" customHeight="1">
      <c r="C913" t="s">
        <v>1590</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0"/>
      <c r="BE913" s="1311"/>
      <c r="BF913" s="13"/>
    </row>
    <row r="914" spans="1:58" ht="12.95" customHeight="1">
      <c r="C914" s="126" t="s">
        <v>1591</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48"/>
      <c r="BE914" s="1648"/>
      <c r="BF914" s="1648"/>
    </row>
    <row r="915" spans="1:58" ht="12.95" customHeight="1">
      <c r="C915" s="126" t="s">
        <v>1592</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06"/>
      <c r="BE915" s="1606"/>
      <c r="BF915" s="1606"/>
    </row>
    <row r="916" spans="1:58" ht="12.95" customHeight="1">
      <c r="C916" s="243" t="s">
        <v>1593</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11"/>
      <c r="BE916" s="1311"/>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0"/>
      <c r="BE917" s="1311"/>
      <c r="BF917" s="13"/>
    </row>
    <row r="918" spans="1:58" ht="12.95" customHeight="1">
      <c r="AZ918" s="3"/>
      <c r="BB918" s="25"/>
      <c r="BC918" s="712"/>
    </row>
    <row r="919" spans="1:58" ht="12.95" customHeight="1">
      <c r="A919" s="1448" t="s">
        <v>1594</v>
      </c>
      <c r="B919" s="1448"/>
      <c r="C919" s="1448"/>
      <c r="D919" s="1448"/>
      <c r="E919" s="1448"/>
      <c r="F919" s="1448"/>
      <c r="G919" s="1448"/>
      <c r="H919" s="1448"/>
      <c r="I919" s="1448"/>
      <c r="J919" s="1448"/>
      <c r="K919" s="1448"/>
      <c r="L919" s="1448"/>
      <c r="M919" s="1448"/>
      <c r="N919" s="1448"/>
      <c r="O919" s="1448"/>
      <c r="P919" s="1448"/>
      <c r="Q919" s="1448"/>
      <c r="R919" s="1448"/>
      <c r="S919" s="1448"/>
      <c r="T919" s="1448"/>
      <c r="U919" s="1448"/>
      <c r="V919" s="1448"/>
      <c r="W919" s="1448"/>
      <c r="X919" s="1448"/>
      <c r="Y919" s="1448"/>
      <c r="Z919" s="1448"/>
      <c r="AA919" s="1448"/>
      <c r="AB919" s="1448"/>
      <c r="AC919" s="1448"/>
      <c r="AD919" s="1448"/>
      <c r="AE919" s="1448"/>
      <c r="AF919" s="1448"/>
      <c r="AG919" s="1448"/>
      <c r="AH919" s="1448"/>
      <c r="AI919" s="1448"/>
      <c r="AJ919" s="1448"/>
      <c r="AK919" s="1448"/>
      <c r="AL919" s="1448"/>
      <c r="AM919" s="1448"/>
      <c r="AN919" s="1448"/>
      <c r="AO919" s="1448"/>
      <c r="AP919" s="1448"/>
      <c r="AQ919" s="1448"/>
      <c r="AR919" s="1448"/>
      <c r="AS919" s="1448"/>
      <c r="AT919" s="1448"/>
      <c r="AZ919" s="3"/>
      <c r="BA919" s="3"/>
      <c r="BB919" s="25"/>
      <c r="BC919" s="25"/>
      <c r="BD919" s="1580"/>
      <c r="BE919" s="1311"/>
      <c r="BF919" s="803"/>
    </row>
    <row r="920" spans="1:58" ht="12.95" customHeight="1">
      <c r="A920" s="1448"/>
      <c r="B920" s="1448"/>
      <c r="C920" s="1448"/>
      <c r="D920" s="1448"/>
      <c r="E920" s="1448"/>
      <c r="F920" s="1448"/>
      <c r="G920" s="1448"/>
      <c r="H920" s="1448"/>
      <c r="I920" s="1448"/>
      <c r="J920" s="1448"/>
      <c r="K920" s="1448"/>
      <c r="L920" s="1448"/>
      <c r="M920" s="1448"/>
      <c r="N920" s="1448"/>
      <c r="O920" s="1448"/>
      <c r="P920" s="1448"/>
      <c r="Q920" s="1448"/>
      <c r="R920" s="1448"/>
      <c r="S920" s="1448"/>
      <c r="T920" s="1448"/>
      <c r="U920" s="1448"/>
      <c r="V920" s="1448"/>
      <c r="W920" s="1448"/>
      <c r="X920" s="1448"/>
      <c r="Y920" s="1448"/>
      <c r="Z920" s="1448"/>
      <c r="AA920" s="1448"/>
      <c r="AB920" s="1448"/>
      <c r="AC920" s="1448"/>
      <c r="AD920" s="1448"/>
      <c r="AE920" s="1448"/>
      <c r="AF920" s="1448"/>
      <c r="AG920" s="1448"/>
      <c r="AH920" s="1448"/>
      <c r="AI920" s="1448"/>
      <c r="AJ920" s="1448"/>
      <c r="AK920" s="1448"/>
      <c r="AL920" s="1448"/>
      <c r="AM920" s="1448"/>
      <c r="AN920" s="1448"/>
      <c r="AO920" s="1448"/>
      <c r="AP920" s="1448"/>
      <c r="AQ920" s="1448"/>
      <c r="AR920" s="1448"/>
      <c r="AS920" s="1448"/>
      <c r="AT920" s="1448"/>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83" t="s">
        <v>1595</v>
      </c>
      <c r="G924" s="1584"/>
      <c r="H924" s="1584"/>
      <c r="I924" s="1584"/>
      <c r="J924" s="1584"/>
      <c r="K924" s="1584"/>
      <c r="L924" s="1584"/>
      <c r="M924" s="1584"/>
      <c r="N924" s="1584"/>
      <c r="O924" s="1584"/>
      <c r="P924" s="1584"/>
      <c r="Q924" s="1584"/>
      <c r="R924" s="1584"/>
      <c r="S924" s="1584"/>
      <c r="T924" s="1585"/>
      <c r="U924" s="1533" t="s">
        <v>1596</v>
      </c>
      <c r="V924" s="1534"/>
      <c r="W924" s="1534"/>
      <c r="X924" s="1534"/>
      <c r="Y924" s="1534"/>
      <c r="Z924" s="1534"/>
      <c r="AA924" s="35"/>
      <c r="AB924" s="216"/>
      <c r="AC924" s="216"/>
      <c r="AD924" s="216"/>
      <c r="AE924" s="216"/>
      <c r="AF924" s="1179"/>
      <c r="AZ924" s="3"/>
      <c r="BA924" s="3"/>
      <c r="BB924" s="3"/>
      <c r="BC924" s="3"/>
    </row>
    <row r="925" spans="1:58" ht="12.95" customHeight="1">
      <c r="B925" s="2"/>
      <c r="F925" s="1535" t="s">
        <v>1597</v>
      </c>
      <c r="G925" s="1536"/>
      <c r="H925" s="1536"/>
      <c r="I925" s="1536"/>
      <c r="J925" s="1536"/>
      <c r="K925" s="1536"/>
      <c r="L925" s="1536"/>
      <c r="M925" s="1536"/>
      <c r="N925" s="1536"/>
      <c r="O925" s="1536"/>
      <c r="P925" s="1536"/>
      <c r="Q925" s="1536"/>
      <c r="R925" s="1536"/>
      <c r="S925" s="1536"/>
      <c r="T925" s="1586"/>
      <c r="U925" s="1535"/>
      <c r="V925" s="1536"/>
      <c r="W925" s="1536"/>
      <c r="X925" s="1536"/>
      <c r="Y925" s="1536"/>
      <c r="Z925" s="1536"/>
      <c r="AA925" s="36"/>
      <c r="AB925" s="3"/>
      <c r="AC925" s="3"/>
      <c r="AD925" s="3"/>
      <c r="AE925" s="3"/>
      <c r="AF925" s="1180"/>
      <c r="AZ925" s="3"/>
      <c r="BA925" s="3"/>
      <c r="BB925" s="3"/>
      <c r="BC925" s="3"/>
    </row>
    <row r="926" spans="1:58" ht="12.95" customHeight="1">
      <c r="B926" s="2"/>
      <c r="F926" s="1537"/>
      <c r="G926" s="1538"/>
      <c r="H926" s="1538"/>
      <c r="I926" s="1538"/>
      <c r="J926" s="1538"/>
      <c r="K926" s="1538"/>
      <c r="L926" s="1538"/>
      <c r="M926" s="1538"/>
      <c r="N926" s="1538"/>
      <c r="O926" s="1538"/>
      <c r="P926" s="1538"/>
      <c r="Q926" s="1538"/>
      <c r="R926" s="1538"/>
      <c r="S926" s="1538"/>
      <c r="T926" s="1578"/>
      <c r="U926" s="1537"/>
      <c r="V926" s="1538"/>
      <c r="W926" s="1538"/>
      <c r="X926" s="1538"/>
      <c r="Y926" s="1538"/>
      <c r="Z926" s="1538"/>
      <c r="AA926" s="789"/>
      <c r="AB926" s="1430" t="s">
        <v>1598</v>
      </c>
      <c r="AC926" s="1430"/>
      <c r="AD926" s="1430"/>
      <c r="AE926" s="1430"/>
      <c r="AF926" s="1181"/>
      <c r="AZ926" s="3"/>
      <c r="BA926" s="3"/>
      <c r="BB926" s="3"/>
      <c r="BC926" s="3"/>
    </row>
    <row r="927" spans="1:58" ht="12.95" customHeight="1">
      <c r="B927" s="2"/>
      <c r="F927" s="37" t="s">
        <v>1599</v>
      </c>
      <c r="G927" s="40"/>
      <c r="H927" s="40"/>
      <c r="I927" s="40"/>
      <c r="J927" s="40"/>
      <c r="K927" s="40"/>
      <c r="L927" s="40"/>
      <c r="M927" s="40"/>
      <c r="N927" s="40"/>
      <c r="O927" s="40"/>
      <c r="P927" s="40"/>
      <c r="Q927" s="40"/>
      <c r="R927" s="40"/>
      <c r="S927" s="40"/>
      <c r="T927" s="41"/>
      <c r="U927" s="1347" t="s">
        <v>857</v>
      </c>
      <c r="V927" s="1348"/>
      <c r="W927" s="1348"/>
      <c r="X927" s="1348"/>
      <c r="Y927" s="1348"/>
      <c r="Z927" s="1349"/>
      <c r="AA927" s="1375">
        <f>AM562</f>
        <v>17490897</v>
      </c>
      <c r="AB927" s="1376"/>
      <c r="AC927" s="1376"/>
      <c r="AD927" s="1376"/>
      <c r="AE927" s="1376"/>
      <c r="AF927" s="1377"/>
      <c r="AG927" s="1080" t="str">
        <f>IF(NOT(AA927=AW927),"!","")</f>
        <v/>
      </c>
      <c r="AH927" s="3"/>
      <c r="AW927" s="1312">
        <f>SUMIF($M$562:$M$573,"Loan, Tax-Exempt",$AM$562:$AM$573)</f>
        <v>17490897</v>
      </c>
      <c r="AX927" s="1312"/>
      <c r="AY927" s="1312"/>
      <c r="AZ927" s="3" t="s">
        <v>1600</v>
      </c>
      <c r="BA927" s="3"/>
      <c r="BB927" s="3"/>
      <c r="BC927" s="3"/>
    </row>
    <row r="928" spans="1:58" ht="12.95" customHeight="1">
      <c r="B928" s="2"/>
      <c r="F928" s="87" t="s">
        <v>1601</v>
      </c>
      <c r="G928" s="40"/>
      <c r="H928" s="40"/>
      <c r="I928" s="40"/>
      <c r="J928" s="40"/>
      <c r="K928" s="40"/>
      <c r="L928" s="40"/>
      <c r="M928" s="40"/>
      <c r="N928" s="40"/>
      <c r="O928" s="40"/>
      <c r="P928" s="40"/>
      <c r="Q928" s="40"/>
      <c r="R928" s="40"/>
      <c r="S928" s="40"/>
      <c r="T928" s="41"/>
      <c r="U928" s="1347" t="s">
        <v>857</v>
      </c>
      <c r="V928" s="1348"/>
      <c r="W928" s="1348"/>
      <c r="X928" s="1348"/>
      <c r="Y928" s="1348"/>
      <c r="Z928" s="1349"/>
      <c r="AA928" s="1375">
        <f>AM563</f>
        <v>37347782</v>
      </c>
      <c r="AB928" s="1376"/>
      <c r="AC928" s="1376"/>
      <c r="AD928" s="1376"/>
      <c r="AE928" s="1376"/>
      <c r="AF928" s="1377"/>
      <c r="AZ928" s="3"/>
      <c r="BA928" s="3"/>
      <c r="BB928" s="3"/>
      <c r="BC928" s="3"/>
    </row>
    <row r="929" spans="6:55" ht="12.95" customHeight="1">
      <c r="F929" s="37" t="s">
        <v>1602</v>
      </c>
      <c r="G929" s="5"/>
      <c r="H929" s="5"/>
      <c r="I929" s="5"/>
      <c r="J929" s="5"/>
      <c r="K929" s="5"/>
      <c r="L929" s="5"/>
      <c r="M929" s="5"/>
      <c r="N929" s="5"/>
      <c r="O929" s="5"/>
      <c r="P929" s="5"/>
      <c r="Q929" s="5"/>
      <c r="R929" s="5"/>
      <c r="S929" s="5"/>
      <c r="T929" s="38"/>
      <c r="U929" s="1347" t="s">
        <v>822</v>
      </c>
      <c r="V929" s="1348"/>
      <c r="W929" s="1348"/>
      <c r="X929" s="1348"/>
      <c r="Y929" s="1348"/>
      <c r="Z929" s="1349"/>
      <c r="AA929" s="1375"/>
      <c r="AB929" s="1376"/>
      <c r="AC929" s="1376"/>
      <c r="AD929" s="1376"/>
      <c r="AE929" s="1376"/>
      <c r="AF929" s="1377"/>
      <c r="AZ929" s="3"/>
      <c r="BA929" s="3"/>
      <c r="BB929" s="3"/>
      <c r="BC929" s="3"/>
    </row>
    <row r="930" spans="6:55" ht="12.95" customHeight="1">
      <c r="F930" s="37" t="s">
        <v>1603</v>
      </c>
      <c r="G930" s="5"/>
      <c r="H930" s="5"/>
      <c r="I930" s="5"/>
      <c r="J930" s="5"/>
      <c r="K930" s="5"/>
      <c r="L930" s="5"/>
      <c r="M930" s="5"/>
      <c r="N930" s="5"/>
      <c r="O930" s="5"/>
      <c r="P930" s="5"/>
      <c r="Q930" s="5"/>
      <c r="R930" s="5"/>
      <c r="S930" s="5"/>
      <c r="T930" s="38"/>
      <c r="U930" s="1347" t="s">
        <v>822</v>
      </c>
      <c r="V930" s="1348"/>
      <c r="W930" s="1348"/>
      <c r="X930" s="1348"/>
      <c r="Y930" s="1348"/>
      <c r="Z930" s="1349"/>
      <c r="AA930" s="1375"/>
      <c r="AB930" s="1376"/>
      <c r="AC930" s="1376"/>
      <c r="AD930" s="1376"/>
      <c r="AE930" s="1376"/>
      <c r="AF930" s="1377"/>
      <c r="AZ930" s="3"/>
      <c r="BA930" s="3"/>
      <c r="BB930" s="3"/>
      <c r="BC930" s="3"/>
    </row>
    <row r="931" spans="6:55" ht="12.95" customHeight="1">
      <c r="F931" s="87" t="s">
        <v>1604</v>
      </c>
      <c r="G931" s="5"/>
      <c r="H931" s="5"/>
      <c r="I931" s="5"/>
      <c r="J931" s="5"/>
      <c r="K931" s="5"/>
      <c r="L931" s="5"/>
      <c r="M931" s="5"/>
      <c r="N931" s="5"/>
      <c r="O931" s="5"/>
      <c r="P931" s="5"/>
      <c r="Q931" s="5"/>
      <c r="R931" s="5"/>
      <c r="S931" s="5"/>
      <c r="T931" s="38"/>
      <c r="U931" s="1347" t="s">
        <v>822</v>
      </c>
      <c r="V931" s="1348"/>
      <c r="W931" s="1348"/>
      <c r="X931" s="1348"/>
      <c r="Y931" s="1348"/>
      <c r="Z931" s="1349"/>
      <c r="AA931" s="1375"/>
      <c r="AB931" s="1376"/>
      <c r="AC931" s="1376"/>
      <c r="AD931" s="1376"/>
      <c r="AE931" s="1376"/>
      <c r="AF931" s="1377"/>
      <c r="AZ931" s="3"/>
      <c r="BA931" s="3"/>
      <c r="BB931" s="3"/>
      <c r="BC931" s="3"/>
    </row>
    <row r="932" spans="6:55" ht="12.95" customHeight="1">
      <c r="F932" s="87" t="s">
        <v>1605</v>
      </c>
      <c r="G932" s="5"/>
      <c r="H932" s="5"/>
      <c r="I932" s="5"/>
      <c r="J932" s="5"/>
      <c r="K932" s="5"/>
      <c r="L932" s="5"/>
      <c r="M932" s="5"/>
      <c r="N932" s="5"/>
      <c r="O932" s="5"/>
      <c r="P932" s="5"/>
      <c r="Q932" s="5"/>
      <c r="R932" s="5"/>
      <c r="S932" s="5"/>
      <c r="T932" s="38"/>
      <c r="U932" s="1347" t="s">
        <v>822</v>
      </c>
      <c r="V932" s="1348"/>
      <c r="W932" s="1348"/>
      <c r="X932" s="1348"/>
      <c r="Y932" s="1348"/>
      <c r="Z932" s="1349"/>
      <c r="AA932" s="1375"/>
      <c r="AB932" s="1376"/>
      <c r="AC932" s="1376"/>
      <c r="AD932" s="1376"/>
      <c r="AE932" s="1376"/>
      <c r="AF932" s="1377"/>
      <c r="AZ932" s="3"/>
      <c r="BA932" s="3"/>
      <c r="BB932" s="3"/>
      <c r="BC932" s="3"/>
    </row>
    <row r="933" spans="6:55" ht="12.95" customHeight="1">
      <c r="F933" s="87" t="s">
        <v>1606</v>
      </c>
      <c r="G933" s="5"/>
      <c r="H933" s="5"/>
      <c r="I933" s="5"/>
      <c r="J933" s="5"/>
      <c r="K933" s="5"/>
      <c r="L933" s="5"/>
      <c r="M933" s="5"/>
      <c r="N933" s="5"/>
      <c r="O933" s="5"/>
      <c r="P933" s="5"/>
      <c r="Q933" s="5"/>
      <c r="R933" s="5"/>
      <c r="S933" s="5"/>
      <c r="T933" s="38"/>
      <c r="U933" s="1347" t="s">
        <v>822</v>
      </c>
      <c r="V933" s="1348"/>
      <c r="W933" s="1348"/>
      <c r="X933" s="1348"/>
      <c r="Y933" s="1348"/>
      <c r="Z933" s="1349"/>
      <c r="AA933" s="1375"/>
      <c r="AB933" s="1376"/>
      <c r="AC933" s="1376"/>
      <c r="AD933" s="1376"/>
      <c r="AE933" s="1376"/>
      <c r="AF933" s="1377"/>
      <c r="AZ933" s="3"/>
      <c r="BA933" s="3"/>
      <c r="BB933" s="3"/>
      <c r="BC933" s="3"/>
    </row>
    <row r="934" spans="6:55" ht="12.95" customHeight="1">
      <c r="F934" s="37" t="s">
        <v>1607</v>
      </c>
      <c r="G934" s="5"/>
      <c r="H934" s="5"/>
      <c r="I934" s="5"/>
      <c r="J934" s="5"/>
      <c r="K934" s="5"/>
      <c r="L934" s="5"/>
      <c r="M934" s="5"/>
      <c r="N934" s="5"/>
      <c r="O934" s="5"/>
      <c r="P934" s="5"/>
      <c r="Q934" s="5"/>
      <c r="R934" s="5"/>
      <c r="S934" s="5"/>
      <c r="T934" s="38"/>
      <c r="U934" s="1347" t="s">
        <v>822</v>
      </c>
      <c r="V934" s="1348"/>
      <c r="W934" s="1348"/>
      <c r="X934" s="1348"/>
      <c r="Y934" s="1348"/>
      <c r="Z934" s="1349"/>
      <c r="AA934" s="1375"/>
      <c r="AB934" s="1376"/>
      <c r="AC934" s="1376"/>
      <c r="AD934" s="1376"/>
      <c r="AE934" s="1376"/>
      <c r="AF934" s="1377"/>
      <c r="AZ934" s="3"/>
      <c r="BA934" s="3"/>
      <c r="BB934" s="3"/>
      <c r="BC934" s="3"/>
    </row>
    <row r="935" spans="6:55" ht="12.95" customHeight="1">
      <c r="F935" s="2596" t="s">
        <v>1608</v>
      </c>
      <c r="G935" s="2597"/>
      <c r="H935" s="2597"/>
      <c r="I935" s="2597"/>
      <c r="J935" s="2597"/>
      <c r="K935" s="2597"/>
      <c r="L935" s="2597"/>
      <c r="M935" s="2597"/>
      <c r="N935" s="2597"/>
      <c r="O935" s="2597"/>
      <c r="P935" s="2597"/>
      <c r="Q935" s="2597"/>
      <c r="R935" s="2597"/>
      <c r="S935" s="2597"/>
      <c r="T935" s="2598"/>
      <c r="U935" s="1347" t="s">
        <v>822</v>
      </c>
      <c r="V935" s="1348"/>
      <c r="W935" s="1348"/>
      <c r="X935" s="1348"/>
      <c r="Y935" s="1348"/>
      <c r="Z935" s="1349"/>
      <c r="AA935" s="1375"/>
      <c r="AB935" s="1376"/>
      <c r="AC935" s="1376"/>
      <c r="AD935" s="1376"/>
      <c r="AE935" s="1376"/>
      <c r="AF935" s="1377"/>
      <c r="AZ935" s="3"/>
      <c r="BA935" s="3"/>
      <c r="BB935" s="3"/>
      <c r="BC935" s="3"/>
    </row>
    <row r="936" spans="6:55" ht="12.95" customHeight="1">
      <c r="F936" s="2596" t="s">
        <v>1609</v>
      </c>
      <c r="G936" s="2597"/>
      <c r="H936" s="2597"/>
      <c r="I936" s="2597"/>
      <c r="J936" s="2597"/>
      <c r="K936" s="2597"/>
      <c r="L936" s="2597"/>
      <c r="M936" s="2597"/>
      <c r="N936" s="2597"/>
      <c r="O936" s="2597"/>
      <c r="P936" s="2597"/>
      <c r="Q936" s="2597"/>
      <c r="R936" s="2597"/>
      <c r="S936" s="2597"/>
      <c r="T936" s="2598"/>
      <c r="U936" s="1347" t="s">
        <v>822</v>
      </c>
      <c r="V936" s="1348"/>
      <c r="W936" s="1348"/>
      <c r="X936" s="1348"/>
      <c r="Y936" s="1348"/>
      <c r="Z936" s="1349"/>
      <c r="AA936" s="1375"/>
      <c r="AB936" s="1376"/>
      <c r="AC936" s="1376"/>
      <c r="AD936" s="1376"/>
      <c r="AE936" s="1376"/>
      <c r="AF936" s="1377"/>
      <c r="AU936" s="2"/>
      <c r="AZ936" s="3"/>
      <c r="BA936" s="3"/>
      <c r="BB936" s="3"/>
      <c r="BC936" s="3"/>
    </row>
    <row r="937" spans="6:55" ht="12.95" customHeight="1">
      <c r="F937" s="2596" t="s">
        <v>1610</v>
      </c>
      <c r="G937" s="2597"/>
      <c r="H937" s="2597"/>
      <c r="I937" s="2597"/>
      <c r="J937" s="2597"/>
      <c r="K937" s="2597"/>
      <c r="L937" s="2597"/>
      <c r="M937" s="2597"/>
      <c r="N937" s="2597"/>
      <c r="O937" s="2597"/>
      <c r="P937" s="2597"/>
      <c r="Q937" s="2597"/>
      <c r="R937" s="2597"/>
      <c r="S937" s="2597"/>
      <c r="T937" s="2598"/>
      <c r="U937" s="1347" t="s">
        <v>822</v>
      </c>
      <c r="V937" s="1348"/>
      <c r="W937" s="1348"/>
      <c r="X937" s="1348"/>
      <c r="Y937" s="1348"/>
      <c r="Z937" s="1349"/>
      <c r="AA937" s="1375"/>
      <c r="AB937" s="1376"/>
      <c r="AC937" s="1376"/>
      <c r="AD937" s="1376"/>
      <c r="AE937" s="1376"/>
      <c r="AF937" s="1377"/>
      <c r="AU937" s="2"/>
      <c r="AZ937" s="3"/>
      <c r="BA937" s="3"/>
      <c r="BB937" s="3"/>
      <c r="BC937" s="3"/>
    </row>
    <row r="938" spans="6:55" ht="12.95" customHeight="1">
      <c r="F938" s="2596" t="s">
        <v>1611</v>
      </c>
      <c r="G938" s="2597"/>
      <c r="H938" s="2597"/>
      <c r="I938" s="2597"/>
      <c r="J938" s="2597"/>
      <c r="K938" s="2597"/>
      <c r="L938" s="2597"/>
      <c r="M938" s="2597"/>
      <c r="N938" s="2597"/>
      <c r="O938" s="2597"/>
      <c r="P938" s="2597"/>
      <c r="Q938" s="2597"/>
      <c r="R938" s="2597"/>
      <c r="S938" s="2597"/>
      <c r="T938" s="2598"/>
      <c r="U938" s="1347" t="s">
        <v>822</v>
      </c>
      <c r="V938" s="1348"/>
      <c r="W938" s="1348"/>
      <c r="X938" s="1348"/>
      <c r="Y938" s="1348"/>
      <c r="Z938" s="1349"/>
      <c r="AA938" s="1375"/>
      <c r="AB938" s="1376"/>
      <c r="AC938" s="1376"/>
      <c r="AD938" s="1376"/>
      <c r="AE938" s="1376"/>
      <c r="AF938" s="1377"/>
      <c r="AU938" s="2"/>
      <c r="AZ938" s="3"/>
      <c r="BA938" s="3"/>
      <c r="BB938" s="3"/>
      <c r="BC938" s="3"/>
    </row>
    <row r="939" spans="6:55" ht="12.95" customHeight="1">
      <c r="F939" s="2596" t="s">
        <v>1612</v>
      </c>
      <c r="G939" s="2597"/>
      <c r="H939" s="2597"/>
      <c r="I939" s="2597"/>
      <c r="J939" s="2597"/>
      <c r="K939" s="2597"/>
      <c r="L939" s="2597"/>
      <c r="M939" s="2597"/>
      <c r="N939" s="2597"/>
      <c r="O939" s="2597"/>
      <c r="P939" s="2597"/>
      <c r="Q939" s="2597"/>
      <c r="R939" s="2597"/>
      <c r="S939" s="2597"/>
      <c r="T939" s="2598"/>
      <c r="U939" s="1347" t="s">
        <v>822</v>
      </c>
      <c r="V939" s="1348"/>
      <c r="W939" s="1348"/>
      <c r="X939" s="1348"/>
      <c r="Y939" s="1348"/>
      <c r="Z939" s="1349"/>
      <c r="AA939" s="1375"/>
      <c r="AB939" s="1376"/>
      <c r="AC939" s="1376"/>
      <c r="AD939" s="1376"/>
      <c r="AE939" s="1376"/>
      <c r="AF939" s="1377"/>
      <c r="AU939" s="2"/>
      <c r="AZ939" s="3"/>
      <c r="BA939" s="3"/>
      <c r="BB939" s="3"/>
      <c r="BC939" s="3"/>
    </row>
    <row r="940" spans="6:55" ht="12.95" customHeight="1">
      <c r="F940" s="2596" t="s">
        <v>1366</v>
      </c>
      <c r="G940" s="2597"/>
      <c r="H940" s="2597"/>
      <c r="I940" s="2597"/>
      <c r="J940" s="2597"/>
      <c r="K940" s="2597"/>
      <c r="L940" s="2597"/>
      <c r="M940" s="2597"/>
      <c r="N940" s="2597"/>
      <c r="O940" s="2597"/>
      <c r="P940" s="2597"/>
      <c r="Q940" s="2597"/>
      <c r="R940" s="2597"/>
      <c r="S940" s="2597"/>
      <c r="T940" s="2598"/>
      <c r="U940" s="1347" t="s">
        <v>857</v>
      </c>
      <c r="V940" s="1348"/>
      <c r="W940" s="1348"/>
      <c r="X940" s="1348"/>
      <c r="Y940" s="1348"/>
      <c r="Z940" s="1349"/>
      <c r="AA940" s="1375">
        <f>AO636</f>
        <v>21861776</v>
      </c>
      <c r="AB940" s="1376"/>
      <c r="AC940" s="1376"/>
      <c r="AD940" s="1376"/>
      <c r="AE940" s="1376"/>
      <c r="AF940" s="1377"/>
      <c r="AU940" s="2"/>
      <c r="AZ940" s="3"/>
      <c r="BA940" s="3"/>
      <c r="BB940" s="3"/>
      <c r="BC940" s="3"/>
    </row>
    <row r="941" spans="6:55" ht="12.95" customHeight="1">
      <c r="F941" s="2596" t="s">
        <v>1613</v>
      </c>
      <c r="G941" s="2597"/>
      <c r="H941" s="2597"/>
      <c r="I941" s="2597"/>
      <c r="J941" s="2597"/>
      <c r="K941" s="2597"/>
      <c r="L941" s="2597"/>
      <c r="M941" s="2597"/>
      <c r="N941" s="2597"/>
      <c r="O941" s="2597"/>
      <c r="P941" s="2597"/>
      <c r="Q941" s="2597"/>
      <c r="R941" s="2597"/>
      <c r="S941" s="2597"/>
      <c r="T941" s="2598"/>
      <c r="U941" s="1347" t="s">
        <v>822</v>
      </c>
      <c r="V941" s="1348"/>
      <c r="W941" s="1348"/>
      <c r="X941" s="1348"/>
      <c r="Y941" s="1348"/>
      <c r="Z941" s="1349"/>
      <c r="AA941" s="1375"/>
      <c r="AB941" s="1376"/>
      <c r="AC941" s="1376"/>
      <c r="AD941" s="1376"/>
      <c r="AE941" s="1376"/>
      <c r="AF941" s="1377"/>
      <c r="AZ941" s="25"/>
      <c r="BA941" s="25"/>
    </row>
    <row r="942" spans="6:55" ht="12.95" customHeight="1">
      <c r="F942" s="123" t="s">
        <v>1614</v>
      </c>
      <c r="G942" s="5"/>
      <c r="H942" s="5"/>
      <c r="I942" s="5"/>
      <c r="J942" s="5"/>
      <c r="K942" s="5"/>
      <c r="L942" s="5"/>
      <c r="M942" s="5"/>
      <c r="N942" s="5"/>
      <c r="O942" s="5"/>
      <c r="P942" s="5"/>
      <c r="Q942" s="5"/>
      <c r="R942" s="5"/>
      <c r="S942" s="5"/>
      <c r="T942" s="38"/>
      <c r="U942" s="1347" t="s">
        <v>822</v>
      </c>
      <c r="V942" s="1348"/>
      <c r="W942" s="1348"/>
      <c r="X942" s="1348"/>
      <c r="Y942" s="1348"/>
      <c r="Z942" s="1349"/>
      <c r="AA942" s="1375"/>
      <c r="AB942" s="1376"/>
      <c r="AC942" s="1376"/>
      <c r="AD942" s="1376"/>
      <c r="AE942" s="1376"/>
      <c r="AF942" s="1377"/>
    </row>
    <row r="943" spans="6:55" ht="12.95" customHeight="1">
      <c r="F943" s="87" t="s">
        <v>1615</v>
      </c>
      <c r="G943" s="5"/>
      <c r="H943" s="5"/>
      <c r="I943" s="5"/>
      <c r="J943" s="5"/>
      <c r="K943" s="5"/>
      <c r="L943" s="5"/>
      <c r="M943" s="5"/>
      <c r="N943" s="5"/>
      <c r="O943" s="5"/>
      <c r="P943" s="5"/>
      <c r="Q943" s="5"/>
      <c r="R943" s="5"/>
      <c r="S943" s="5"/>
      <c r="T943" s="38"/>
      <c r="U943" s="1347" t="s">
        <v>822</v>
      </c>
      <c r="V943" s="1348"/>
      <c r="W943" s="1348"/>
      <c r="X943" s="1348"/>
      <c r="Y943" s="1348"/>
      <c r="Z943" s="1349"/>
      <c r="AA943" s="1375"/>
      <c r="AB943" s="1376"/>
      <c r="AC943" s="1376"/>
      <c r="AD943" s="1376"/>
      <c r="AE943" s="1376"/>
      <c r="AF943" s="1377"/>
      <c r="AZ943" s="25"/>
      <c r="BA943" s="13"/>
    </row>
    <row r="944" spans="6:55" ht="12.95" customHeight="1">
      <c r="F944" s="87" t="s">
        <v>1616</v>
      </c>
      <c r="G944" s="5"/>
      <c r="H944" s="5"/>
      <c r="I944" s="5"/>
      <c r="J944" s="5"/>
      <c r="K944" s="5"/>
      <c r="L944" s="5"/>
      <c r="M944" s="5"/>
      <c r="N944" s="5"/>
      <c r="O944" s="5"/>
      <c r="P944" s="5"/>
      <c r="Q944" s="5"/>
      <c r="R944" s="5"/>
      <c r="S944" s="5"/>
      <c r="T944" s="38"/>
      <c r="U944" s="1347" t="s">
        <v>822</v>
      </c>
      <c r="V944" s="1348"/>
      <c r="W944" s="1348"/>
      <c r="X944" s="1348"/>
      <c r="Y944" s="1348"/>
      <c r="Z944" s="1349"/>
      <c r="AA944" s="1375"/>
      <c r="AB944" s="1376"/>
      <c r="AC944" s="1376"/>
      <c r="AD944" s="1376"/>
      <c r="AE944" s="1376"/>
      <c r="AF944" s="1377"/>
      <c r="AZ944" s="25"/>
      <c r="BA944" s="13"/>
    </row>
    <row r="945" spans="6:55" ht="12.95" customHeight="1">
      <c r="F945" s="2599" t="s">
        <v>1617</v>
      </c>
      <c r="G945" s="2600"/>
      <c r="H945" s="2600"/>
      <c r="I945" s="2600"/>
      <c r="J945" s="2600"/>
      <c r="K945" s="2600"/>
      <c r="L945" s="2600"/>
      <c r="M945" s="2600"/>
      <c r="N945" s="2600"/>
      <c r="O945" s="2600"/>
      <c r="P945" s="2600"/>
      <c r="Q945" s="2600"/>
      <c r="R945" s="2600"/>
      <c r="S945" s="2600"/>
      <c r="T945" s="2601"/>
      <c r="U945" s="1347" t="s">
        <v>822</v>
      </c>
      <c r="V945" s="1348"/>
      <c r="W945" s="1348"/>
      <c r="X945" s="1348"/>
      <c r="Y945" s="1348"/>
      <c r="Z945" s="1349"/>
      <c r="AA945" s="1375"/>
      <c r="AB945" s="1376"/>
      <c r="AC945" s="1376"/>
      <c r="AD945" s="1376"/>
      <c r="AE945" s="1376"/>
      <c r="AF945" s="1377"/>
      <c r="AZ945" s="25"/>
      <c r="BA945" s="13"/>
    </row>
    <row r="946" spans="6:55" ht="12.95" customHeight="1">
      <c r="F946" s="2599" t="s">
        <v>1618</v>
      </c>
      <c r="G946" s="2600"/>
      <c r="H946" s="2600"/>
      <c r="I946" s="2600"/>
      <c r="J946" s="2600"/>
      <c r="K946" s="2600"/>
      <c r="L946" s="2600"/>
      <c r="M946" s="2600"/>
      <c r="N946" s="2600"/>
      <c r="O946" s="2600"/>
      <c r="P946" s="2600"/>
      <c r="Q946" s="2600"/>
      <c r="R946" s="2600"/>
      <c r="S946" s="2600"/>
      <c r="T946" s="2601"/>
      <c r="U946" s="1347" t="s">
        <v>822</v>
      </c>
      <c r="V946" s="1348"/>
      <c r="W946" s="1348"/>
      <c r="X946" s="1348"/>
      <c r="Y946" s="1348"/>
      <c r="Z946" s="1349"/>
      <c r="AA946" s="1375"/>
      <c r="AB946" s="1376"/>
      <c r="AC946" s="1376"/>
      <c r="AD946" s="1376"/>
      <c r="AE946" s="1376"/>
      <c r="AF946" s="1377"/>
      <c r="AZ946" s="25"/>
      <c r="BA946" s="25"/>
    </row>
    <row r="947" spans="6:55" ht="12.95" customHeight="1">
      <c r="F947" s="2596" t="s">
        <v>1619</v>
      </c>
      <c r="G947" s="2597"/>
      <c r="H947" s="2597"/>
      <c r="I947" s="2597"/>
      <c r="J947" s="2597"/>
      <c r="K947" s="2597"/>
      <c r="L947" s="2597"/>
      <c r="M947" s="2597"/>
      <c r="N947" s="2597"/>
      <c r="O947" s="2597"/>
      <c r="P947" s="2597"/>
      <c r="Q947" s="2597"/>
      <c r="R947" s="2597"/>
      <c r="S947" s="2597"/>
      <c r="T947" s="2598"/>
      <c r="U947" s="1347" t="s">
        <v>822</v>
      </c>
      <c r="V947" s="1348"/>
      <c r="W947" s="1348"/>
      <c r="X947" s="1348"/>
      <c r="Y947" s="1348"/>
      <c r="Z947" s="1349"/>
      <c r="AA947" s="1375"/>
      <c r="AB947" s="1376"/>
      <c r="AC947" s="1376"/>
      <c r="AD947" s="1376"/>
      <c r="AE947" s="1376"/>
      <c r="AF947" s="1377"/>
      <c r="AZ947" s="25"/>
      <c r="BA947" s="25"/>
    </row>
    <row r="948" spans="6:55" ht="12.95" customHeight="1">
      <c r="F948" s="2596" t="s">
        <v>1620</v>
      </c>
      <c r="G948" s="2597"/>
      <c r="H948" s="2597"/>
      <c r="I948" s="2597"/>
      <c r="J948" s="2597"/>
      <c r="K948" s="2597"/>
      <c r="L948" s="2597"/>
      <c r="M948" s="2597"/>
      <c r="N948" s="2597"/>
      <c r="O948" s="2597"/>
      <c r="P948" s="2597"/>
      <c r="Q948" s="2597"/>
      <c r="R948" s="2597"/>
      <c r="S948" s="2597"/>
      <c r="T948" s="2598"/>
      <c r="U948" s="1347" t="s">
        <v>822</v>
      </c>
      <c r="V948" s="1348"/>
      <c r="W948" s="1348"/>
      <c r="X948" s="1348"/>
      <c r="Y948" s="1348"/>
      <c r="Z948" s="1349"/>
      <c r="AA948" s="1375"/>
      <c r="AB948" s="1376"/>
      <c r="AC948" s="1376"/>
      <c r="AD948" s="1376"/>
      <c r="AE948" s="1376"/>
      <c r="AF948" s="1377"/>
      <c r="AZ948" s="25"/>
      <c r="BA948" s="25"/>
    </row>
    <row r="949" spans="6:55" ht="12.95" customHeight="1">
      <c r="F949" s="2596" t="s">
        <v>1621</v>
      </c>
      <c r="G949" s="2597"/>
      <c r="H949" s="2597"/>
      <c r="I949" s="2597"/>
      <c r="J949" s="2597"/>
      <c r="K949" s="2597"/>
      <c r="L949" s="2597"/>
      <c r="M949" s="2597"/>
      <c r="N949" s="2597"/>
      <c r="O949" s="2597"/>
      <c r="P949" s="2597"/>
      <c r="Q949" s="2597"/>
      <c r="R949" s="2597"/>
      <c r="S949" s="2597"/>
      <c r="T949" s="2598"/>
      <c r="U949" s="1347" t="s">
        <v>822</v>
      </c>
      <c r="V949" s="1348"/>
      <c r="W949" s="1348"/>
      <c r="X949" s="1348"/>
      <c r="Y949" s="1348"/>
      <c r="Z949" s="1349"/>
      <c r="AA949" s="1375"/>
      <c r="AB949" s="1376"/>
      <c r="AC949" s="1376"/>
      <c r="AD949" s="1376"/>
      <c r="AE949" s="1376"/>
      <c r="AF949" s="1377"/>
      <c r="AZ949" s="3"/>
      <c r="BA949" s="3"/>
      <c r="BB949" s="13"/>
      <c r="BC949" s="13"/>
    </row>
    <row r="950" spans="6:55" ht="12.95" customHeight="1">
      <c r="F950" s="87" t="s">
        <v>1622</v>
      </c>
      <c r="G950" s="5"/>
      <c r="H950" s="5"/>
      <c r="I950" s="5"/>
      <c r="J950" s="5"/>
      <c r="K950" s="5"/>
      <c r="L950" s="5"/>
      <c r="M950" s="5"/>
      <c r="N950" s="5"/>
      <c r="O950" s="5"/>
      <c r="P950" s="5"/>
      <c r="Q950" s="5"/>
      <c r="R950" s="5"/>
      <c r="S950" s="5"/>
      <c r="T950" s="38"/>
      <c r="U950" s="1347" t="s">
        <v>822</v>
      </c>
      <c r="V950" s="1348"/>
      <c r="W950" s="1348"/>
      <c r="X950" s="1348"/>
      <c r="Y950" s="1348"/>
      <c r="Z950" s="1349"/>
      <c r="AA950" s="1375"/>
      <c r="AB950" s="1376"/>
      <c r="AC950" s="1376"/>
      <c r="AD950" s="1376"/>
      <c r="AE950" s="1376"/>
      <c r="AF950" s="1377"/>
      <c r="AZ950" s="3"/>
      <c r="BA950" s="3"/>
      <c r="BB950" s="13"/>
      <c r="BC950" s="13"/>
    </row>
    <row r="951" spans="6:55" ht="12.95" customHeight="1">
      <c r="F951" s="2599" t="s">
        <v>1623</v>
      </c>
      <c r="G951" s="2600"/>
      <c r="H951" s="2600"/>
      <c r="I951" s="2600"/>
      <c r="J951" s="2600"/>
      <c r="K951" s="2600"/>
      <c r="L951" s="2600"/>
      <c r="M951" s="2600"/>
      <c r="N951" s="2600"/>
      <c r="O951" s="2600"/>
      <c r="P951" s="2600"/>
      <c r="Q951" s="2600"/>
      <c r="R951" s="2600"/>
      <c r="S951" s="2600"/>
      <c r="T951" s="2601"/>
      <c r="U951" s="1347" t="s">
        <v>822</v>
      </c>
      <c r="V951" s="1348"/>
      <c r="W951" s="1348"/>
      <c r="X951" s="1348"/>
      <c r="Y951" s="1348"/>
      <c r="Z951" s="1349"/>
      <c r="AA951" s="1375"/>
      <c r="AB951" s="1376"/>
      <c r="AC951" s="1376"/>
      <c r="AD951" s="1376"/>
      <c r="AE951" s="1376"/>
      <c r="AF951" s="1377"/>
      <c r="AZ951" s="3"/>
      <c r="BA951" s="3"/>
      <c r="BB951" s="3"/>
      <c r="BC951" s="3"/>
    </row>
    <row r="952" spans="6:55" ht="12.95" customHeight="1">
      <c r="F952" s="87" t="s">
        <v>1624</v>
      </c>
      <c r="G952" s="5"/>
      <c r="H952" s="5"/>
      <c r="I952" s="5"/>
      <c r="J952" s="5"/>
      <c r="K952" s="5"/>
      <c r="L952" s="5"/>
      <c r="M952" s="5"/>
      <c r="N952" s="5"/>
      <c r="O952" s="5"/>
      <c r="P952" s="5"/>
      <c r="Q952" s="5"/>
      <c r="R952" s="5"/>
      <c r="S952" s="5"/>
      <c r="T952" s="38"/>
      <c r="U952" s="1347" t="s">
        <v>822</v>
      </c>
      <c r="V952" s="1348"/>
      <c r="W952" s="1348"/>
      <c r="X952" s="1348"/>
      <c r="Y952" s="1348"/>
      <c r="Z952" s="1349"/>
      <c r="AA952" s="1375"/>
      <c r="AB952" s="1376"/>
      <c r="AC952" s="1376"/>
      <c r="AD952" s="1376"/>
      <c r="AE952" s="1376"/>
      <c r="AF952" s="1377"/>
      <c r="AZ952" s="3"/>
      <c r="BA952" s="3"/>
      <c r="BB952" s="3"/>
      <c r="BC952" s="3"/>
    </row>
    <row r="953" spans="6:55" ht="12.95" customHeight="1">
      <c r="F953" s="2599" t="s">
        <v>1625</v>
      </c>
      <c r="G953" s="2600"/>
      <c r="H953" s="2600"/>
      <c r="I953" s="2600"/>
      <c r="J953" s="2600"/>
      <c r="K953" s="2600"/>
      <c r="L953" s="2600"/>
      <c r="M953" s="2600"/>
      <c r="N953" s="2600"/>
      <c r="O953" s="2600"/>
      <c r="P953" s="2600"/>
      <c r="Q953" s="2600"/>
      <c r="R953" s="2600"/>
      <c r="S953" s="2600"/>
      <c r="T953" s="2601"/>
      <c r="U953" s="1347" t="s">
        <v>822</v>
      </c>
      <c r="V953" s="1348"/>
      <c r="W953" s="1348"/>
      <c r="X953" s="1348"/>
      <c r="Y953" s="1348"/>
      <c r="Z953" s="1349"/>
      <c r="AA953" s="1375"/>
      <c r="AB953" s="1376"/>
      <c r="AC953" s="1376"/>
      <c r="AD953" s="1376"/>
      <c r="AE953" s="1376"/>
      <c r="AF953" s="1377"/>
      <c r="AZ953" s="3"/>
      <c r="BA953" s="3"/>
      <c r="BB953" s="3"/>
      <c r="BC953" s="3"/>
    </row>
    <row r="954" spans="6:55" ht="12.95" customHeight="1">
      <c r="F954" s="37" t="s">
        <v>1626</v>
      </c>
      <c r="G954" s="5"/>
      <c r="H954" s="5"/>
      <c r="I954" s="5"/>
      <c r="J954" s="5"/>
      <c r="K954" s="5"/>
      <c r="L954" s="5"/>
      <c r="M954" s="5"/>
      <c r="N954" s="5"/>
      <c r="O954" s="5"/>
      <c r="P954" s="1347" t="s">
        <v>700</v>
      </c>
      <c r="Q954" s="1348"/>
      <c r="R954" s="1348"/>
      <c r="S954" s="1348"/>
      <c r="T954" s="1349"/>
      <c r="U954" s="1347" t="s">
        <v>822</v>
      </c>
      <c r="V954" s="1348"/>
      <c r="W954" s="1348"/>
      <c r="X954" s="1348"/>
      <c r="Y954" s="1348"/>
      <c r="Z954" s="1349"/>
      <c r="AA954" s="1375"/>
      <c r="AB954" s="1376"/>
      <c r="AC954" s="1376"/>
      <c r="AD954" s="1376"/>
      <c r="AE954" s="1376"/>
      <c r="AF954" s="1377"/>
      <c r="AZ954" s="3"/>
      <c r="BA954" s="3"/>
      <c r="BB954" s="3"/>
      <c r="BC954" s="3"/>
    </row>
    <row r="955" spans="6:55" ht="12.95" customHeight="1">
      <c r="F955" s="2596" t="s">
        <v>1627</v>
      </c>
      <c r="G955" s="2597"/>
      <c r="H955" s="2598"/>
      <c r="I955" s="1436" t="s">
        <v>1266</v>
      </c>
      <c r="J955" s="1437"/>
      <c r="K955" s="1437"/>
      <c r="L955" s="1437"/>
      <c r="M955" s="1437"/>
      <c r="N955" s="1437"/>
      <c r="O955" s="1437"/>
      <c r="P955" s="1437"/>
      <c r="Q955" s="1437"/>
      <c r="R955" s="1437"/>
      <c r="S955" s="1437"/>
      <c r="T955" s="1438"/>
      <c r="U955" s="1347" t="s">
        <v>822</v>
      </c>
      <c r="V955" s="1348"/>
      <c r="W955" s="1348"/>
      <c r="X955" s="1348"/>
      <c r="Y955" s="1348"/>
      <c r="Z955" s="1349"/>
      <c r="AA955" s="1375"/>
      <c r="AB955" s="1376"/>
      <c r="AC955" s="1376"/>
      <c r="AD955" s="1376"/>
      <c r="AE955" s="1376"/>
      <c r="AF955" s="1377"/>
      <c r="AZ955" s="3"/>
      <c r="BA955" s="3"/>
      <c r="BB955" s="3"/>
      <c r="BC955" s="3"/>
    </row>
    <row r="956" spans="6:55" ht="12.95" customHeight="1">
      <c r="F956" s="37" t="s">
        <v>1078</v>
      </c>
      <c r="G956" s="40"/>
      <c r="H956" s="40"/>
      <c r="I956" s="1436" t="s">
        <v>1266</v>
      </c>
      <c r="J956" s="1437"/>
      <c r="K956" s="1437"/>
      <c r="L956" s="1437"/>
      <c r="M956" s="1437"/>
      <c r="N956" s="1437"/>
      <c r="O956" s="1437"/>
      <c r="P956" s="1437"/>
      <c r="Q956" s="1437"/>
      <c r="R956" s="1437"/>
      <c r="S956" s="1437"/>
      <c r="T956" s="1438"/>
      <c r="U956" s="1347" t="s">
        <v>822</v>
      </c>
      <c r="V956" s="1348"/>
      <c r="W956" s="1348"/>
      <c r="X956" s="1348"/>
      <c r="Y956" s="1348"/>
      <c r="Z956" s="1349"/>
      <c r="AA956" s="1375"/>
      <c r="AB956" s="1376"/>
      <c r="AC956" s="1376"/>
      <c r="AD956" s="1376"/>
      <c r="AE956" s="1376"/>
      <c r="AF956" s="1377"/>
      <c r="AZ956" s="3"/>
      <c r="BA956" s="3"/>
      <c r="BB956" s="3"/>
      <c r="BC956" s="3"/>
    </row>
    <row r="957" spans="6:55" ht="12.95" customHeight="1">
      <c r="F957" s="37" t="s">
        <v>1628</v>
      </c>
      <c r="G957" s="40"/>
      <c r="H957" s="40"/>
      <c r="I957" s="1436" t="s">
        <v>1436</v>
      </c>
      <c r="J957" s="1437"/>
      <c r="K957" s="1437"/>
      <c r="L957" s="1437"/>
      <c r="M957" s="1437"/>
      <c r="N957" s="1437"/>
      <c r="O957" s="1437"/>
      <c r="P957" s="1437"/>
      <c r="Q957" s="1437"/>
      <c r="R957" s="1437"/>
      <c r="S957" s="1437"/>
      <c r="T957" s="1438"/>
      <c r="U957" s="1347" t="s">
        <v>857</v>
      </c>
      <c r="V957" s="1348"/>
      <c r="W957" s="1348"/>
      <c r="X957" s="1348"/>
      <c r="Y957" s="1348"/>
      <c r="Z957" s="1349"/>
      <c r="AA957" s="1375">
        <f>AO637</f>
        <v>2000000</v>
      </c>
      <c r="AB957" s="1376"/>
      <c r="AC957" s="1376"/>
      <c r="AD957" s="1376"/>
      <c r="AE957" s="1376"/>
      <c r="AF957" s="1377"/>
      <c r="AV957" s="2"/>
      <c r="AW957" s="2"/>
      <c r="AX957" s="2"/>
      <c r="AY957" s="2"/>
      <c r="AZ957" s="3"/>
      <c r="BA957" s="3"/>
      <c r="BB957" s="3"/>
      <c r="BC957" s="3"/>
    </row>
    <row r="958" spans="6:55" ht="12.95" customHeight="1">
      <c r="F958" s="39" t="s">
        <v>233</v>
      </c>
      <c r="G958" s="40"/>
      <c r="H958" s="40"/>
      <c r="I958" s="1436" t="s">
        <v>1266</v>
      </c>
      <c r="J958" s="1437"/>
      <c r="K958" s="1437"/>
      <c r="L958" s="1437"/>
      <c r="M958" s="1437"/>
      <c r="N958" s="1437"/>
      <c r="O958" s="1437"/>
      <c r="P958" s="1437"/>
      <c r="Q958" s="1437"/>
      <c r="R958" s="1437"/>
      <c r="S958" s="1437"/>
      <c r="T958" s="1438"/>
      <c r="U958" s="1347" t="s">
        <v>822</v>
      </c>
      <c r="V958" s="1348"/>
      <c r="W958" s="1348"/>
      <c r="X958" s="1348"/>
      <c r="Y958" s="1348"/>
      <c r="Z958" s="1349"/>
      <c r="AA958" s="1375"/>
      <c r="AB958" s="1376"/>
      <c r="AC958" s="1376"/>
      <c r="AD958" s="1376"/>
      <c r="AE958" s="1376"/>
      <c r="AF958" s="1377"/>
      <c r="AU958" s="2"/>
      <c r="AZ958" s="3"/>
      <c r="BA958" s="3"/>
      <c r="BB958" s="3"/>
      <c r="BC958" s="3"/>
    </row>
    <row r="959" spans="6:55" ht="12.95" customHeight="1">
      <c r="F959" s="39" t="s">
        <v>233</v>
      </c>
      <c r="G959" s="40"/>
      <c r="H959" s="40"/>
      <c r="I959" s="1436" t="s">
        <v>1266</v>
      </c>
      <c r="J959" s="1437"/>
      <c r="K959" s="1437"/>
      <c r="L959" s="1437"/>
      <c r="M959" s="1437"/>
      <c r="N959" s="1437"/>
      <c r="O959" s="1437"/>
      <c r="P959" s="1437"/>
      <c r="Q959" s="1437"/>
      <c r="R959" s="1437"/>
      <c r="S959" s="1437"/>
      <c r="T959" s="1438"/>
      <c r="U959" s="1347" t="s">
        <v>822</v>
      </c>
      <c r="V959" s="1348"/>
      <c r="W959" s="1348"/>
      <c r="X959" s="1348"/>
      <c r="Y959" s="1348"/>
      <c r="Z959" s="1349"/>
      <c r="AA959" s="1375"/>
      <c r="AB959" s="1376"/>
      <c r="AC959" s="1376"/>
      <c r="AD959" s="1376"/>
      <c r="AE959" s="1376"/>
      <c r="AF959" s="1377"/>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1629</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1630</v>
      </c>
      <c r="D964" s="5"/>
      <c r="E964" s="5"/>
      <c r="F964" s="5"/>
      <c r="G964" s="5"/>
      <c r="H964" s="5"/>
      <c r="I964" s="5"/>
      <c r="J964" s="5"/>
      <c r="K964" s="5"/>
      <c r="L964" s="38"/>
      <c r="M964" s="1499"/>
      <c r="N964" s="1500"/>
      <c r="O964" s="1500"/>
      <c r="P964" s="1500"/>
      <c r="Q964" s="1500"/>
      <c r="R964" s="1500"/>
      <c r="S964" s="1501"/>
      <c r="U964" s="87" t="s">
        <v>1630</v>
      </c>
      <c r="V964" s="5"/>
      <c r="W964" s="5"/>
      <c r="X964" s="5"/>
      <c r="Y964" s="5"/>
      <c r="Z964" s="5"/>
      <c r="AA964" s="5"/>
      <c r="AB964" s="5"/>
      <c r="AC964" s="5"/>
      <c r="AD964" s="38"/>
      <c r="AE964" s="1499"/>
      <c r="AF964" s="1500"/>
      <c r="AG964" s="1500"/>
      <c r="AH964" s="1500"/>
      <c r="AI964" s="1500"/>
      <c r="AJ964" s="1500"/>
      <c r="AK964" s="1501"/>
      <c r="AZ964" s="3"/>
      <c r="BA964" s="3"/>
      <c r="BB964" s="3"/>
      <c r="BC964" s="3"/>
    </row>
    <row r="965" spans="1:64" ht="12.95" customHeight="1">
      <c r="C965" s="87" t="s">
        <v>1631</v>
      </c>
      <c r="D965" s="5"/>
      <c r="E965" s="5"/>
      <c r="F965" s="5"/>
      <c r="G965" s="5"/>
      <c r="H965" s="5"/>
      <c r="I965" s="5"/>
      <c r="J965" s="5"/>
      <c r="K965" s="5"/>
      <c r="L965" s="38"/>
      <c r="M965" s="1353"/>
      <c r="N965" s="1354"/>
      <c r="O965" s="1354"/>
      <c r="P965" s="1354"/>
      <c r="Q965" s="1354"/>
      <c r="R965" s="1354"/>
      <c r="S965" s="1355"/>
      <c r="U965" s="87" t="s">
        <v>1631</v>
      </c>
      <c r="V965" s="5"/>
      <c r="W965" s="5"/>
      <c r="X965" s="5"/>
      <c r="Y965" s="5"/>
      <c r="Z965" s="5"/>
      <c r="AA965" s="5"/>
      <c r="AB965" s="5"/>
      <c r="AC965" s="5"/>
      <c r="AD965" s="38"/>
      <c r="AE965" s="1353"/>
      <c r="AF965" s="1354"/>
      <c r="AG965" s="1354"/>
      <c r="AH965" s="1354"/>
      <c r="AI965" s="1354"/>
      <c r="AJ965" s="1354"/>
      <c r="AK965" s="1355"/>
      <c r="AZ965" s="3"/>
      <c r="BA965" s="3"/>
      <c r="BB965" s="3"/>
      <c r="BC965" s="3"/>
    </row>
    <row r="966" spans="1:64" ht="12.95" customHeight="1">
      <c r="C966" s="87" t="s">
        <v>1632</v>
      </c>
      <c r="D966" s="5"/>
      <c r="E966" s="5"/>
      <c r="J966" s="1356" t="s">
        <v>348</v>
      </c>
      <c r="K966" s="1357"/>
      <c r="L966" s="1357"/>
      <c r="M966" s="1357"/>
      <c r="N966" s="1357"/>
      <c r="O966" s="1357"/>
      <c r="P966" s="1357"/>
      <c r="Q966" s="1357"/>
      <c r="R966" s="1357"/>
      <c r="S966" s="1358"/>
      <c r="U966" s="87" t="s">
        <v>1632</v>
      </c>
      <c r="V966" s="5"/>
      <c r="W966" s="5"/>
      <c r="AB966" s="1356" t="s">
        <v>348</v>
      </c>
      <c r="AC966" s="1357"/>
      <c r="AD966" s="1357"/>
      <c r="AE966" s="1357"/>
      <c r="AF966" s="1357"/>
      <c r="AG966" s="1357"/>
      <c r="AH966" s="1357"/>
      <c r="AI966" s="1357"/>
      <c r="AJ966" s="1357"/>
      <c r="AK966" s="1358"/>
      <c r="AZ966" s="3"/>
      <c r="BA966" s="3"/>
      <c r="BB966" s="3"/>
      <c r="BC966" s="3"/>
    </row>
    <row r="967" spans="1:64" ht="12.95" customHeight="1">
      <c r="C967" s="87" t="s">
        <v>1633</v>
      </c>
      <c r="D967" s="5"/>
      <c r="E967" s="5"/>
      <c r="F967" s="5"/>
      <c r="G967" s="5"/>
      <c r="H967" s="5"/>
      <c r="I967" s="5"/>
      <c r="J967" s="5"/>
      <c r="K967" s="5"/>
      <c r="L967" s="38"/>
      <c r="M967" s="1579"/>
      <c r="N967" s="1393"/>
      <c r="O967" s="1393"/>
      <c r="P967" s="1393"/>
      <c r="Q967" s="1393"/>
      <c r="R967" s="1393"/>
      <c r="S967" s="1394"/>
      <c r="U967" s="87" t="s">
        <v>1633</v>
      </c>
      <c r="V967" s="5"/>
      <c r="W967" s="5"/>
      <c r="X967" s="5"/>
      <c r="Y967" s="5"/>
      <c r="Z967" s="5"/>
      <c r="AA967" s="5"/>
      <c r="AB967" s="5"/>
      <c r="AC967" s="5"/>
      <c r="AD967" s="38"/>
      <c r="AE967" s="1392"/>
      <c r="AF967" s="1393"/>
      <c r="AG967" s="1393"/>
      <c r="AH967" s="1393"/>
      <c r="AI967" s="1393"/>
      <c r="AJ967" s="1393"/>
      <c r="AK967" s="1394"/>
      <c r="AZ967" s="3"/>
      <c r="BA967" s="3"/>
      <c r="BB967" s="3"/>
      <c r="BC967" s="3"/>
    </row>
    <row r="968" spans="1:64" ht="12.95" customHeight="1">
      <c r="C968" s="87" t="s">
        <v>1634</v>
      </c>
      <c r="D968" s="5"/>
      <c r="E968" s="5"/>
      <c r="F968" s="5"/>
      <c r="G968" s="5"/>
      <c r="H968" s="5"/>
      <c r="I968" s="5"/>
      <c r="J968" s="5"/>
      <c r="K968" s="5"/>
      <c r="L968" s="38"/>
      <c r="M968" s="1560"/>
      <c r="N968" s="1561"/>
      <c r="O968" s="1561"/>
      <c r="P968" s="1561"/>
      <c r="Q968" s="1561"/>
      <c r="R968" s="1561"/>
      <c r="S968" s="1562"/>
      <c r="U968" s="87" t="s">
        <v>1634</v>
      </c>
      <c r="V968" s="5"/>
      <c r="W968" s="5"/>
      <c r="X968" s="5"/>
      <c r="Y968" s="5"/>
      <c r="Z968" s="5"/>
      <c r="AA968" s="5"/>
      <c r="AB968" s="5"/>
      <c r="AC968" s="5"/>
      <c r="AD968" s="38"/>
      <c r="AE968" s="1560"/>
      <c r="AF968" s="1561"/>
      <c r="AG968" s="1561"/>
      <c r="AH968" s="1561"/>
      <c r="AI968" s="1561"/>
      <c r="AJ968" s="1561"/>
      <c r="AK968" s="1562"/>
      <c r="AV968" s="2"/>
      <c r="AW968" s="2"/>
      <c r="AX968" s="2"/>
      <c r="AY968" s="2"/>
      <c r="AZ968" s="3"/>
      <c r="BA968" s="3"/>
      <c r="BB968" s="3"/>
      <c r="BC968" s="3"/>
    </row>
    <row r="969" spans="1:64" ht="12.95" customHeight="1">
      <c r="C969" s="87" t="s">
        <v>1635</v>
      </c>
      <c r="D969" s="5"/>
      <c r="E969" s="5"/>
      <c r="F969" s="5"/>
      <c r="G969" s="5"/>
      <c r="H969" s="5"/>
      <c r="I969" s="5"/>
      <c r="J969" s="5"/>
      <c r="K969" s="5"/>
      <c r="L969" s="38"/>
      <c r="M969" s="1375"/>
      <c r="N969" s="1376"/>
      <c r="O969" s="1376"/>
      <c r="P969" s="1376"/>
      <c r="Q969" s="1376"/>
      <c r="R969" s="1376"/>
      <c r="S969" s="1377"/>
      <c r="U969" s="87" t="s">
        <v>1635</v>
      </c>
      <c r="V969" s="5"/>
      <c r="W969" s="5"/>
      <c r="X969" s="5"/>
      <c r="Y969" s="5"/>
      <c r="Z969" s="5"/>
      <c r="AA969" s="5"/>
      <c r="AB969" s="5"/>
      <c r="AC969" s="5"/>
      <c r="AD969" s="38"/>
      <c r="AE969" s="1375"/>
      <c r="AF969" s="1376"/>
      <c r="AG969" s="1376"/>
      <c r="AH969" s="1376"/>
      <c r="AI969" s="1376"/>
      <c r="AJ969" s="1376"/>
      <c r="AK969" s="1377"/>
      <c r="AV969" s="2"/>
      <c r="AW969" s="2"/>
      <c r="AX969" s="2"/>
      <c r="AY969" s="2"/>
      <c r="AZ969" s="3"/>
      <c r="BA969" s="3"/>
      <c r="BB969" s="3"/>
      <c r="BC969" s="3"/>
    </row>
    <row r="970" spans="1:64" ht="12.95" customHeight="1">
      <c r="C970" s="87" t="s">
        <v>1636</v>
      </c>
      <c r="D970" s="5"/>
      <c r="E970" s="5"/>
      <c r="F970" s="5"/>
      <c r="G970" s="5"/>
      <c r="H970" s="5"/>
      <c r="I970" s="5"/>
      <c r="J970" s="5"/>
      <c r="K970" s="5"/>
      <c r="L970" s="38"/>
      <c r="M970" s="1375"/>
      <c r="N970" s="1376"/>
      <c r="O970" s="1376"/>
      <c r="P970" s="1376"/>
      <c r="Q970" s="1376"/>
      <c r="R970" s="1376"/>
      <c r="S970" s="1377"/>
      <c r="U970" s="87" t="s">
        <v>1636</v>
      </c>
      <c r="V970" s="5"/>
      <c r="W970" s="5"/>
      <c r="X970" s="5"/>
      <c r="Y970" s="5"/>
      <c r="Z970" s="5"/>
      <c r="AA970" s="5"/>
      <c r="AB970" s="5"/>
      <c r="AC970" s="5"/>
      <c r="AD970" s="38"/>
      <c r="AE970" s="1375"/>
      <c r="AF970" s="1376"/>
      <c r="AG970" s="1376"/>
      <c r="AH970" s="1376"/>
      <c r="AI970" s="1376"/>
      <c r="AJ970" s="1376"/>
      <c r="AK970" s="1377"/>
      <c r="AV970" s="2"/>
      <c r="AW970" s="2"/>
      <c r="AX970" s="2"/>
      <c r="AY970" s="2"/>
      <c r="AZ970" s="3"/>
      <c r="BB970" s="3"/>
      <c r="BC970" s="3"/>
    </row>
    <row r="971" spans="1:64" ht="12.95" customHeight="1">
      <c r="C971" s="87" t="s">
        <v>1252</v>
      </c>
      <c r="D971" s="5"/>
      <c r="E971" s="5"/>
      <c r="F971" s="5"/>
      <c r="G971" s="5"/>
      <c r="H971" s="5"/>
      <c r="I971" s="5"/>
      <c r="J971" s="5"/>
      <c r="K971" s="5"/>
      <c r="L971" s="38"/>
      <c r="M971" s="1372"/>
      <c r="N971" s="1373"/>
      <c r="O971" s="1373"/>
      <c r="P971" s="1373"/>
      <c r="Q971" s="1373"/>
      <c r="R971" s="1373"/>
      <c r="S971" s="1374"/>
      <c r="U971" s="87" t="s">
        <v>1252</v>
      </c>
      <c r="V971" s="5"/>
      <c r="W971" s="5"/>
      <c r="X971" s="5"/>
      <c r="Y971" s="5"/>
      <c r="Z971" s="5"/>
      <c r="AA971" s="5"/>
      <c r="AB971" s="5"/>
      <c r="AC971" s="5"/>
      <c r="AD971" s="38"/>
      <c r="AE971" s="1372"/>
      <c r="AF971" s="1373"/>
      <c r="AG971" s="1373"/>
      <c r="AH971" s="1373"/>
      <c r="AI971" s="1373"/>
      <c r="AJ971" s="1373"/>
      <c r="AK971" s="1374"/>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1000</v>
      </c>
      <c r="C973" s="2" t="s">
        <v>1637</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1638</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1639</v>
      </c>
      <c r="G976" s="5"/>
      <c r="H976" s="5"/>
      <c r="I976" s="5"/>
      <c r="J976" s="5"/>
      <c r="K976" s="5"/>
      <c r="L976" s="38"/>
      <c r="M976" s="1350"/>
      <c r="N976" s="1351"/>
      <c r="O976" s="1351"/>
      <c r="P976" s="1351"/>
      <c r="Q976" s="1351"/>
      <c r="R976" s="1351"/>
      <c r="S976" s="1352"/>
      <c r="T976" s="87" t="s">
        <v>1640</v>
      </c>
      <c r="U976" s="5"/>
      <c r="V976" s="5"/>
      <c r="W976" s="5"/>
      <c r="X976" s="5"/>
      <c r="Y976" s="5"/>
      <c r="Z976" s="38"/>
      <c r="AA976" s="1350"/>
      <c r="AB976" s="1351"/>
      <c r="AC976" s="1351"/>
      <c r="AD976" s="1351"/>
      <c r="AE976" s="1351"/>
      <c r="AF976" s="1351"/>
      <c r="AG976" s="1352"/>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1641</v>
      </c>
      <c r="G977" s="5"/>
      <c r="H977" s="5"/>
      <c r="I977" s="5"/>
      <c r="J977" s="5"/>
      <c r="K977" s="5"/>
      <c r="L977" s="38"/>
      <c r="M977" s="1350"/>
      <c r="N977" s="1351"/>
      <c r="O977" s="1351"/>
      <c r="P977" s="1351"/>
      <c r="Q977" s="1351"/>
      <c r="R977" s="1351"/>
      <c r="S977" s="1352"/>
      <c r="T977" s="87" t="s">
        <v>1642</v>
      </c>
      <c r="U977" s="5"/>
      <c r="V977" s="5"/>
      <c r="W977" s="5"/>
      <c r="X977" s="5"/>
      <c r="Y977" s="5"/>
      <c r="Z977" s="38"/>
      <c r="AA977" s="1350"/>
      <c r="AB977" s="1351"/>
      <c r="AC977" s="1351"/>
      <c r="AD977" s="1351"/>
      <c r="AE977" s="1351"/>
      <c r="AF977" s="1351"/>
      <c r="AG977" s="1352"/>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1643</v>
      </c>
      <c r="G978" s="5"/>
      <c r="H978" s="5"/>
      <c r="I978" s="5"/>
      <c r="J978" s="5"/>
      <c r="K978" s="5"/>
      <c r="L978" s="38"/>
      <c r="M978" s="1571" t="s">
        <v>822</v>
      </c>
      <c r="N978" s="1572"/>
      <c r="O978" s="1572"/>
      <c r="P978" s="1572"/>
      <c r="Q978" s="1572"/>
      <c r="R978" s="1572"/>
      <c r="S978" s="1573"/>
      <c r="T978" s="37" t="s">
        <v>1644</v>
      </c>
      <c r="U978" s="5"/>
      <c r="V978" s="5"/>
      <c r="W978" s="5"/>
      <c r="X978" s="5"/>
      <c r="Y978" s="5"/>
      <c r="Z978" s="38"/>
      <c r="AA978" s="1350"/>
      <c r="AB978" s="1351"/>
      <c r="AC978" s="1351"/>
      <c r="AD978" s="1351"/>
      <c r="AE978" s="1351"/>
      <c r="AF978" s="1351"/>
      <c r="AG978" s="1352"/>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1645</v>
      </c>
      <c r="G979" s="5"/>
      <c r="H979" s="5"/>
      <c r="I979" s="5"/>
      <c r="J979" s="5"/>
      <c r="K979" s="5"/>
      <c r="L979" s="38"/>
      <c r="M979" s="1350"/>
      <c r="N979" s="1351"/>
      <c r="O979" s="1351"/>
      <c r="P979" s="1351"/>
      <c r="Q979" s="1351"/>
      <c r="R979" s="1351"/>
      <c r="S979" s="1352"/>
      <c r="T979" s="37" t="s">
        <v>1646</v>
      </c>
      <c r="U979" s="5"/>
      <c r="V979" s="5"/>
      <c r="W979" s="5"/>
      <c r="X979" s="5"/>
      <c r="Y979" s="5"/>
      <c r="Z979" s="38"/>
      <c r="AA979" s="1350"/>
      <c r="AB979" s="1351"/>
      <c r="AC979" s="1351"/>
      <c r="AD979" s="1351"/>
      <c r="AE979" s="1351"/>
      <c r="AF979" s="1351"/>
      <c r="AG979" s="1352"/>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1647</v>
      </c>
      <c r="G980" s="5"/>
      <c r="H980" s="5"/>
      <c r="I980" s="5"/>
      <c r="J980" s="5"/>
      <c r="K980" s="5"/>
      <c r="L980" s="38"/>
      <c r="M980" s="1350"/>
      <c r="N980" s="1351"/>
      <c r="O980" s="1351"/>
      <c r="P980" s="1351"/>
      <c r="Q980" s="1351"/>
      <c r="R980" s="1351"/>
      <c r="S980" s="1352"/>
      <c r="T980" s="37" t="s">
        <v>1648</v>
      </c>
      <c r="U980" s="5"/>
      <c r="V980" s="5"/>
      <c r="W980" s="5"/>
      <c r="X980" s="5"/>
      <c r="Y980" s="5"/>
      <c r="Z980" s="38"/>
      <c r="AA980" s="1350"/>
      <c r="AB980" s="1351"/>
      <c r="AC980" s="1351"/>
      <c r="AD980" s="1351"/>
      <c r="AE980" s="1351"/>
      <c r="AF980" s="1351"/>
      <c r="AG980" s="1352"/>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1632</v>
      </c>
      <c r="G981" s="34"/>
      <c r="H981" s="34"/>
      <c r="I981" s="34"/>
      <c r="J981" s="34"/>
      <c r="K981" s="34"/>
      <c r="L981" s="50"/>
      <c r="M981" s="1356" t="s">
        <v>348</v>
      </c>
      <c r="N981" s="1357"/>
      <c r="O981" s="1357"/>
      <c r="P981" s="1357"/>
      <c r="Q981" s="1357"/>
      <c r="R981" s="1357"/>
      <c r="S981" s="1358"/>
      <c r="T981" s="1360"/>
      <c r="U981" s="1361"/>
      <c r="V981" s="1361"/>
      <c r="W981" s="1361"/>
      <c r="X981" s="1361"/>
      <c r="Y981" s="1361"/>
      <c r="Z981" s="1362"/>
      <c r="AA981" s="1350"/>
      <c r="AB981" s="1351"/>
      <c r="AC981" s="1351"/>
      <c r="AD981" s="1351"/>
      <c r="AE981" s="1351"/>
      <c r="AF981" s="1351"/>
      <c r="AG981" s="1352"/>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1649</v>
      </c>
      <c r="G982" s="34"/>
      <c r="H982" s="34"/>
      <c r="I982" s="34"/>
      <c r="J982" s="34"/>
      <c r="K982" s="34"/>
      <c r="L982" s="50"/>
      <c r="M982" s="1350"/>
      <c r="N982" s="1351"/>
      <c r="O982" s="1351"/>
      <c r="P982" s="1351"/>
      <c r="Q982" s="1351"/>
      <c r="R982" s="1351"/>
      <c r="S982" s="1352"/>
      <c r="T982" s="1360"/>
      <c r="U982" s="1361"/>
      <c r="V982" s="1361"/>
      <c r="W982" s="1361"/>
      <c r="X982" s="1361"/>
      <c r="Y982" s="1361"/>
      <c r="Z982" s="1362"/>
      <c r="AA982" s="1350"/>
      <c r="AB982" s="1351"/>
      <c r="AC982" s="1351"/>
      <c r="AD982" s="1351"/>
      <c r="AE982" s="1351"/>
      <c r="AF982" s="1351"/>
      <c r="AG982" s="1352"/>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1650</v>
      </c>
      <c r="G983" s="34"/>
      <c r="H983" s="34"/>
      <c r="I983" s="34"/>
      <c r="J983" s="34"/>
      <c r="K983" s="34"/>
      <c r="L983" s="34"/>
      <c r="M983" s="34"/>
      <c r="N983" s="34"/>
      <c r="O983" s="1494" t="s">
        <v>700</v>
      </c>
      <c r="P983" s="1466"/>
      <c r="Q983" s="67"/>
      <c r="R983" s="67"/>
      <c r="S983" s="68"/>
      <c r="T983" s="33" t="s">
        <v>233</v>
      </c>
      <c r="U983" s="34"/>
      <c r="V983" s="34"/>
      <c r="W983" s="1507" t="s">
        <v>1266</v>
      </c>
      <c r="X983" s="1508"/>
      <c r="Y983" s="1508"/>
      <c r="Z983" s="1508"/>
      <c r="AA983" s="1508"/>
      <c r="AB983" s="1508"/>
      <c r="AC983" s="1508"/>
      <c r="AD983" s="1508"/>
      <c r="AE983" s="1508"/>
      <c r="AF983" s="1508"/>
      <c r="AG983" s="1509"/>
      <c r="AU983" s="1182"/>
      <c r="AV983" s="70"/>
      <c r="AW983" s="70"/>
      <c r="AX983" s="70"/>
      <c r="AY983" s="70"/>
      <c r="AZ983" s="3"/>
      <c r="BB983" s="3"/>
      <c r="BC983" s="3"/>
      <c r="BD983" s="3"/>
      <c r="BE983" s="3"/>
      <c r="BF983" s="3"/>
      <c r="BG983" s="3"/>
      <c r="BH983" s="3"/>
      <c r="BI983" s="3"/>
      <c r="BJ983" s="3"/>
      <c r="BK983" s="3"/>
      <c r="BL983" s="3"/>
    </row>
    <row r="984" spans="1:64" ht="12.95" customHeight="1">
      <c r="F984" s="1559" t="s">
        <v>1651</v>
      </c>
      <c r="G984" s="1408"/>
      <c r="H984" s="1408"/>
      <c r="I984" s="1408"/>
      <c r="J984" s="1408"/>
      <c r="K984" s="1408"/>
      <c r="L984" s="1408"/>
      <c r="M984" s="1350"/>
      <c r="N984" s="1351"/>
      <c r="O984" s="1351"/>
      <c r="P984" s="1351"/>
      <c r="Q984" s="1351"/>
      <c r="R984" s="1351"/>
      <c r="S984" s="1352"/>
      <c r="T984" s="39"/>
      <c r="U984" s="40"/>
      <c r="V984" s="40"/>
      <c r="W984" s="40"/>
      <c r="X984" s="40"/>
      <c r="Y984" s="40"/>
      <c r="Z984" s="90" t="s">
        <v>1652</v>
      </c>
      <c r="AA984" s="1539"/>
      <c r="AB984" s="2602"/>
      <c r="AC984" s="2602"/>
      <c r="AD984" s="2602"/>
      <c r="AE984" s="2602"/>
      <c r="AF984" s="2602"/>
      <c r="AG984" s="2603"/>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311"/>
      <c r="BH985" s="1311"/>
      <c r="BI985" s="1311"/>
      <c r="BJ985" s="1311"/>
      <c r="BK985" s="1311"/>
      <c r="BL985" s="1311"/>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48" t="s">
        <v>1653</v>
      </c>
      <c r="B988" s="1448"/>
      <c r="C988" s="1448"/>
      <c r="D988" s="1448"/>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8"/>
      <c r="AF988" s="1448"/>
      <c r="AG988" s="1448"/>
      <c r="AH988" s="1448"/>
      <c r="AI988" s="1448"/>
      <c r="AJ988" s="1448"/>
      <c r="AK988" s="1448"/>
      <c r="AL988" s="1448"/>
      <c r="AM988" s="1448"/>
      <c r="AN988" s="1448"/>
      <c r="AO988" s="1448"/>
      <c r="AP988" s="1448"/>
      <c r="AQ988" s="1448"/>
      <c r="AR988" s="1448"/>
      <c r="AS988" s="1448"/>
      <c r="AT988" s="1448"/>
      <c r="AU988" s="1182"/>
      <c r="AV988" s="1182"/>
      <c r="AW988" s="1182"/>
      <c r="AX988" s="1182"/>
      <c r="AY988" s="1182"/>
      <c r="AZ988" s="13"/>
      <c r="BA988" s="13"/>
      <c r="BB988" s="804"/>
      <c r="BC988" s="804"/>
    </row>
    <row r="989" spans="1:64" ht="12.95" customHeight="1">
      <c r="A989" s="1448"/>
      <c r="B989" s="1448"/>
      <c r="C989" s="1448"/>
      <c r="D989" s="1448"/>
      <c r="E989" s="1448"/>
      <c r="F989" s="1448"/>
      <c r="G989" s="1448"/>
      <c r="H989" s="1448"/>
      <c r="I989" s="1448"/>
      <c r="J989" s="1448"/>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8"/>
      <c r="AF989" s="1448"/>
      <c r="AG989" s="1448"/>
      <c r="AH989" s="1448"/>
      <c r="AI989" s="1448"/>
      <c r="AJ989" s="1448"/>
      <c r="AK989" s="1448"/>
      <c r="AL989" s="1448"/>
      <c r="AM989" s="1448"/>
      <c r="AN989" s="1448"/>
      <c r="AO989" s="1448"/>
      <c r="AP989" s="1448"/>
      <c r="AQ989" s="1448"/>
      <c r="AR989" s="1448"/>
      <c r="AS989" s="1448"/>
      <c r="AT989" s="1448"/>
      <c r="AU989" s="1182"/>
      <c r="AV989" s="1182"/>
      <c r="AW989" s="1182"/>
      <c r="AX989" s="1182"/>
      <c r="AY989" s="1182"/>
      <c r="AZ989" s="25"/>
      <c r="BA989" s="13"/>
      <c r="BB989" s="13"/>
      <c r="BC989" s="13"/>
    </row>
    <row r="990" spans="1:64" ht="12.95" customHeight="1">
      <c r="A990" s="1448"/>
      <c r="B990" s="1448"/>
      <c r="C990" s="1448"/>
      <c r="D990" s="1448"/>
      <c r="E990" s="1448"/>
      <c r="F990" s="1448"/>
      <c r="G990" s="1448"/>
      <c r="H990" s="1448"/>
      <c r="I990" s="1448"/>
      <c r="J990" s="1448"/>
      <c r="K990" s="1448"/>
      <c r="L990" s="1448"/>
      <c r="M990" s="1448"/>
      <c r="N990" s="1448"/>
      <c r="O990" s="1448"/>
      <c r="P990" s="1448"/>
      <c r="Q990" s="1448"/>
      <c r="R990" s="1448"/>
      <c r="S990" s="1448"/>
      <c r="T990" s="1448"/>
      <c r="U990" s="1448"/>
      <c r="V990" s="1448"/>
      <c r="W990" s="1448"/>
      <c r="X990" s="1448"/>
      <c r="Y990" s="1448"/>
      <c r="Z990" s="1448"/>
      <c r="AA990" s="1448"/>
      <c r="AB990" s="1448"/>
      <c r="AC990" s="1448"/>
      <c r="AD990" s="1448"/>
      <c r="AE990" s="1448"/>
      <c r="AF990" s="1448"/>
      <c r="AG990" s="1448"/>
      <c r="AH990" s="1448"/>
      <c r="AI990" s="1448"/>
      <c r="AJ990" s="1448"/>
      <c r="AK990" s="1448"/>
      <c r="AL990" s="1448"/>
      <c r="AM990" s="1448"/>
      <c r="AN990" s="1448"/>
      <c r="AO990" s="1448"/>
      <c r="AP990" s="1448"/>
      <c r="AQ990" s="1448"/>
      <c r="AR990" s="1448"/>
      <c r="AS990" s="1448"/>
      <c r="AT990" s="1448"/>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504" t="s">
        <v>1654</v>
      </c>
      <c r="E994" s="1505"/>
      <c r="F994" s="1505"/>
      <c r="G994" s="1505"/>
      <c r="H994" s="1505"/>
      <c r="I994" s="1505"/>
      <c r="J994" s="1505"/>
      <c r="K994" s="1505"/>
      <c r="L994" s="1505"/>
      <c r="M994" s="1505"/>
      <c r="N994" s="1505"/>
      <c r="O994" s="1505"/>
      <c r="P994" s="1505"/>
      <c r="Q994" s="1506"/>
      <c r="R994" s="1504" t="s">
        <v>1655</v>
      </c>
      <c r="S994" s="1505"/>
      <c r="T994" s="1505"/>
      <c r="U994" s="1505"/>
      <c r="V994" s="1505"/>
      <c r="W994" s="1505"/>
      <c r="X994" s="1505"/>
      <c r="Y994" s="1505"/>
      <c r="Z994" s="1505"/>
      <c r="AA994" s="1506"/>
      <c r="AB994" s="1504" t="s">
        <v>1656</v>
      </c>
      <c r="AC994" s="1505"/>
      <c r="AD994" s="1505"/>
      <c r="AE994" s="1505"/>
      <c r="AF994" s="1505"/>
      <c r="AG994" s="1505"/>
      <c r="AH994" s="1505"/>
      <c r="AI994" s="1506"/>
      <c r="AJ994" s="1504" t="s">
        <v>1657</v>
      </c>
      <c r="AK994" s="1505"/>
      <c r="AL994" s="1505"/>
      <c r="AM994" s="1505"/>
      <c r="AN994" s="1505"/>
      <c r="AO994" s="1505"/>
      <c r="AP994" s="1505"/>
      <c r="AQ994" s="1506"/>
      <c r="AR994" s="1182"/>
      <c r="AS994" s="1182"/>
      <c r="AT994" s="1182"/>
      <c r="AU994" s="1182"/>
      <c r="AV994" s="1182"/>
      <c r="AW994" s="1182"/>
      <c r="AX994" s="1182"/>
      <c r="AY994" s="1182"/>
      <c r="AZ994" s="25"/>
      <c r="BB994" s="13"/>
      <c r="BC994" s="13"/>
    </row>
    <row r="995" spans="1:55" ht="12.95" customHeight="1">
      <c r="A995" s="13"/>
      <c r="B995" s="58"/>
      <c r="C995" s="819"/>
      <c r="D995" s="1398" t="s">
        <v>848</v>
      </c>
      <c r="E995" s="1399"/>
      <c r="F995" s="1399"/>
      <c r="G995" s="1399"/>
      <c r="H995" s="1399"/>
      <c r="I995" s="1399"/>
      <c r="J995" s="1399"/>
      <c r="K995" s="1399"/>
      <c r="L995" s="1399"/>
      <c r="M995" s="1399"/>
      <c r="N995" s="1399"/>
      <c r="O995" s="1399"/>
      <c r="P995" s="1399"/>
      <c r="Q995" s="1400"/>
      <c r="R995" s="1401">
        <f>IF(ISNA(IF($CU$122="4%",(INDEX($CS$160:$CW$217,MATCH($DG$122,$CR$160:$CR$217,0),MATCH(D995,$CS$159:$CW$159,0))),(INDEX($CZ$160:$DD$217,MATCH($DG$122,$CY$160:$CY$217,0),MATCH(D995,$CZ$159:$DD$159,0))))),0,IF($CU$122="4%",(INDEX($CS$160:$CW$217,MATCH($DG$122,$CR$160:$CR$217,0),MATCH(D995,$CS$159:$CW$159,0))),(INDEX($CZ$160:$DD$217,MATCH($DG$122,$CY$160:$CY$217,0),MATCH(D995,$CZ$159:$DD$159,0)))))</f>
        <v>360075</v>
      </c>
      <c r="S995" s="1401"/>
      <c r="T995" s="1401"/>
      <c r="U995" s="1401"/>
      <c r="V995" s="1401"/>
      <c r="W995" s="1401"/>
      <c r="X995" s="1401"/>
      <c r="Y995" s="1401"/>
      <c r="Z995" s="1401"/>
      <c r="AA995" s="1401"/>
      <c r="AB995" s="1395">
        <f>CP810</f>
        <v>0</v>
      </c>
      <c r="AC995" s="1396"/>
      <c r="AD995" s="1396"/>
      <c r="AE995" s="1396"/>
      <c r="AF995" s="1396"/>
      <c r="AG995" s="1396"/>
      <c r="AH995" s="1396"/>
      <c r="AI995" s="1397"/>
      <c r="AJ995" s="1402">
        <f>IF(ISERROR((R995*AB995)),0,(R995*AB995))</f>
        <v>0</v>
      </c>
      <c r="AK995" s="1403"/>
      <c r="AL995" s="1403"/>
      <c r="AM995" s="1403"/>
      <c r="AN995" s="1403"/>
      <c r="AO995" s="1403"/>
      <c r="AP995" s="1403"/>
      <c r="AQ995" s="1404"/>
      <c r="AR995" s="1182"/>
      <c r="AS995" s="1182"/>
      <c r="AT995" s="1182"/>
      <c r="AU995" s="1182"/>
      <c r="AV995" s="1182"/>
      <c r="AW995" s="1182"/>
      <c r="AX995" s="1182"/>
      <c r="AY995" s="1182"/>
      <c r="AZ995" s="25"/>
      <c r="BB995" s="13"/>
      <c r="BC995" s="13"/>
    </row>
    <row r="996" spans="1:55" ht="12.95" customHeight="1">
      <c r="A996" s="13"/>
      <c r="B996" s="58"/>
      <c r="C996" s="62"/>
      <c r="D996" s="1398" t="s">
        <v>843</v>
      </c>
      <c r="E996" s="1399"/>
      <c r="F996" s="1399"/>
      <c r="G996" s="1399"/>
      <c r="H996" s="1399"/>
      <c r="I996" s="1399"/>
      <c r="J996" s="1399"/>
      <c r="K996" s="1399"/>
      <c r="L996" s="1399"/>
      <c r="M996" s="1399"/>
      <c r="N996" s="1399"/>
      <c r="O996" s="1399"/>
      <c r="P996" s="1399"/>
      <c r="Q996" s="1400"/>
      <c r="R996" s="1401">
        <f>IF(ISNA(IF($CU$122="4%",(INDEX($CS$160:$CW$217,MATCH($DG$122,$CR$160:$CR$217,0),MATCH(D996,$CS$159:$CW$159,0))),(INDEX($CZ$160:$DD$217,MATCH($DG$122,$CY$160:$CY$217,0),MATCH(D996,$CZ$159:$DD$159,0))))),0,IF($CU$122="4%",(INDEX($CS$160:$CW$217,MATCH($DG$122,$CR$160:$CR$217,0),MATCH(D996,$CS$159:$CW$159,0))),(INDEX($CZ$160:$DD$217,MATCH($DG$122,$CY$160:$CY$217,0),MATCH(D996,$CZ$159:$DD$159,0)))))</f>
        <v>415163</v>
      </c>
      <c r="S996" s="1401"/>
      <c r="T996" s="1401"/>
      <c r="U996" s="1401"/>
      <c r="V996" s="1401"/>
      <c r="W996" s="1401"/>
      <c r="X996" s="1401"/>
      <c r="Y996" s="1401"/>
      <c r="Z996" s="1401"/>
      <c r="AA996" s="1401"/>
      <c r="AB996" s="1395">
        <f>CU810</f>
        <v>70</v>
      </c>
      <c r="AC996" s="1396"/>
      <c r="AD996" s="1396"/>
      <c r="AE996" s="1396"/>
      <c r="AF996" s="1396"/>
      <c r="AG996" s="1396"/>
      <c r="AH996" s="1396"/>
      <c r="AI996" s="1397"/>
      <c r="AJ996" s="1402">
        <f>IF(ISERROR((R996*AB996)),0,(R996*AB996))</f>
        <v>29061410</v>
      </c>
      <c r="AK996" s="1403"/>
      <c r="AL996" s="1403"/>
      <c r="AM996" s="1403"/>
      <c r="AN996" s="1403"/>
      <c r="AO996" s="1403"/>
      <c r="AP996" s="1403"/>
      <c r="AQ996" s="1404"/>
      <c r="AR996" s="1182"/>
      <c r="AS996" s="1182"/>
      <c r="AT996" s="1182"/>
      <c r="AU996" s="1182"/>
      <c r="AV996" s="1182"/>
      <c r="AW996" s="1182"/>
      <c r="AX996" s="1182"/>
      <c r="AY996" s="1182"/>
      <c r="AZ996" s="25"/>
      <c r="BB996" s="13"/>
      <c r="BC996" s="13"/>
    </row>
    <row r="997" spans="1:55" ht="12.95" customHeight="1">
      <c r="A997" s="13"/>
      <c r="B997" s="58"/>
      <c r="C997" s="62"/>
      <c r="D997" s="1398" t="s">
        <v>844</v>
      </c>
      <c r="E997" s="1399"/>
      <c r="F997" s="1399"/>
      <c r="G997" s="1399"/>
      <c r="H997" s="1399"/>
      <c r="I997" s="1399"/>
      <c r="J997" s="1399"/>
      <c r="K997" s="1399"/>
      <c r="L997" s="1399"/>
      <c r="M997" s="1399"/>
      <c r="N997" s="1399"/>
      <c r="O997" s="1399"/>
      <c r="P997" s="1399"/>
      <c r="Q997" s="1400"/>
      <c r="R997" s="1401">
        <f>IF(ISNA(IF($CU$122="4%",(INDEX($CS$160:$CW$217,MATCH($DG$122,$CR$160:$CR$217,0),MATCH(D997,$CS$159:$CW$159,0))),(INDEX($CZ$160:$DD$217,MATCH($DG$122,$CY$160:$CY$217,0),MATCH(D997,$CZ$159:$DD$159,0))))),0,IF($CU$122="4%",(INDEX($CS$160:$CW$217,MATCH($DG$122,$CR$160:$CR$217,0),MATCH(D997,$CS$159:$CW$159,0))),(INDEX($CZ$160:$DD$217,MATCH($DG$122,$CY$160:$CY$217,0),MATCH(D997,$CZ$159:$DD$159,0)))))</f>
        <v>500800</v>
      </c>
      <c r="S997" s="1401"/>
      <c r="T997" s="1401"/>
      <c r="U997" s="1401"/>
      <c r="V997" s="1401"/>
      <c r="W997" s="1401"/>
      <c r="X997" s="1401"/>
      <c r="Y997" s="1401"/>
      <c r="Z997" s="1401"/>
      <c r="AA997" s="1401"/>
      <c r="AB997" s="1395">
        <f>CZ810</f>
        <v>14</v>
      </c>
      <c r="AC997" s="1396"/>
      <c r="AD997" s="1396"/>
      <c r="AE997" s="1396"/>
      <c r="AF997" s="1396"/>
      <c r="AG997" s="1396"/>
      <c r="AH997" s="1396"/>
      <c r="AI997" s="1397"/>
      <c r="AJ997" s="1402">
        <f>IF(ISERROR((R997*AB997)),0,(R997*AB997))</f>
        <v>7011200</v>
      </c>
      <c r="AK997" s="1403"/>
      <c r="AL997" s="1403"/>
      <c r="AM997" s="1403"/>
      <c r="AN997" s="1403"/>
      <c r="AO997" s="1403"/>
      <c r="AP997" s="1403"/>
      <c r="AQ997" s="1404"/>
      <c r="AR997" s="1182"/>
      <c r="AS997" s="1182"/>
      <c r="AT997" s="1182"/>
      <c r="AU997" s="1182"/>
      <c r="AV997" s="1182"/>
      <c r="AW997" s="1182"/>
      <c r="AX997" s="1182"/>
      <c r="AY997" s="1182"/>
      <c r="AZ997" s="25"/>
      <c r="BB997" s="13"/>
      <c r="BC997" s="13"/>
    </row>
    <row r="998" spans="1:55" ht="12.95" customHeight="1">
      <c r="A998" s="13"/>
      <c r="B998" s="58"/>
      <c r="C998" s="62"/>
      <c r="D998" s="1398" t="s">
        <v>845</v>
      </c>
      <c r="E998" s="1399"/>
      <c r="F998" s="1399"/>
      <c r="G998" s="1399"/>
      <c r="H998" s="1399"/>
      <c r="I998" s="1399"/>
      <c r="J998" s="1399"/>
      <c r="K998" s="1399"/>
      <c r="L998" s="1399"/>
      <c r="M998" s="1399"/>
      <c r="N998" s="1399"/>
      <c r="O998" s="1399"/>
      <c r="P998" s="1399"/>
      <c r="Q998" s="1400"/>
      <c r="R998" s="1401">
        <f>IF(ISNA(IF($CU$122="4%",(INDEX($CS$160:$CW$217,MATCH($DG$122,$CR$160:$CR$217,0),MATCH(D998,$CS$159:$CW$159,0))),(INDEX($CZ$160:$DD$217,MATCH($DG$122,$CY$160:$CY$217,0),MATCH(D998,$CZ$159:$DD$159,0))))),0,IF($CU$122="4%",(INDEX($CS$160:$CW$217,MATCH($DG$122,$CR$160:$CR$217,0),MATCH(D998,$CS$159:$CW$159,0))),(INDEX($CZ$160:$DD$217,MATCH($DG$122,$CY$160:$CY$217,0),MATCH(D998,$CZ$159:$DD$159,0)))))</f>
        <v>641024</v>
      </c>
      <c r="S998" s="1401"/>
      <c r="T998" s="1401"/>
      <c r="U998" s="1401"/>
      <c r="V998" s="1401"/>
      <c r="W998" s="1401"/>
      <c r="X998" s="1401"/>
      <c r="Y998" s="1401"/>
      <c r="Z998" s="1401"/>
      <c r="AA998" s="1401"/>
      <c r="AB998" s="1395">
        <f>DE810</f>
        <v>0</v>
      </c>
      <c r="AC998" s="1396"/>
      <c r="AD998" s="1396"/>
      <c r="AE998" s="1396"/>
      <c r="AF998" s="1396"/>
      <c r="AG998" s="1396"/>
      <c r="AH998" s="1396"/>
      <c r="AI998" s="1397"/>
      <c r="AJ998" s="1402">
        <f>IF(ISERROR((R998*AB998)),0,(R998*AB998))</f>
        <v>0</v>
      </c>
      <c r="AK998" s="1403"/>
      <c r="AL998" s="1403"/>
      <c r="AM998" s="1403"/>
      <c r="AN998" s="1403"/>
      <c r="AO998" s="1403"/>
      <c r="AP998" s="1403"/>
      <c r="AQ998" s="1404"/>
      <c r="AR998" s="1182"/>
      <c r="AS998" s="1182"/>
      <c r="AT998" s="1182"/>
      <c r="AU998" s="1182"/>
      <c r="AV998" s="1182"/>
      <c r="AW998" s="1182"/>
      <c r="AX998" s="1182"/>
      <c r="AY998" s="1182"/>
      <c r="AZ998" s="25"/>
      <c r="BA998" s="3"/>
      <c r="BB998" s="13"/>
      <c r="BC998" s="13"/>
    </row>
    <row r="999" spans="1:55" ht="12.95" customHeight="1">
      <c r="A999" s="13"/>
      <c r="B999" s="39"/>
      <c r="C999" s="60"/>
      <c r="D999" s="1398" t="s">
        <v>849</v>
      </c>
      <c r="E999" s="1399"/>
      <c r="F999" s="1399"/>
      <c r="G999" s="1399"/>
      <c r="H999" s="1399"/>
      <c r="I999" s="1399"/>
      <c r="J999" s="1399"/>
      <c r="K999" s="1399"/>
      <c r="L999" s="1399"/>
      <c r="M999" s="1399"/>
      <c r="N999" s="1399"/>
      <c r="O999" s="1399"/>
      <c r="P999" s="1399"/>
      <c r="Q999" s="1400"/>
      <c r="R999" s="1401">
        <f>IF(ISNA(IF($CU$122="4%",(INDEX($CS$160:$CW$217,MATCH($DG$122,$CR$160:$CR$217,0),MATCH(D999,$CS$159:$CW$159,0))),(INDEX($CZ$160:$DD$217,MATCH($DG$122,$CY$160:$CY$217,0),MATCH(D999,$CZ$159:$DD$159,0))))),0,IF($CU$122="4%",(INDEX($CS$160:$CW$217,MATCH($DG$122,$CR$160:$CR$217,0),MATCH(D999,$CS$159:$CW$159,0))),(INDEX($CZ$160:$DD$217,MATCH($DG$122,$CY$160:$CY$217,0),MATCH(D999,$CZ$159:$DD$159,0)))))</f>
        <v>714141</v>
      </c>
      <c r="S999" s="1401"/>
      <c r="T999" s="1401"/>
      <c r="U999" s="1401"/>
      <c r="V999" s="1401"/>
      <c r="W999" s="1401"/>
      <c r="X999" s="1401"/>
      <c r="Y999" s="1401"/>
      <c r="Z999" s="1401"/>
      <c r="AA999" s="1401"/>
      <c r="AB999" s="1395">
        <f>DO810+DJ810</f>
        <v>0</v>
      </c>
      <c r="AC999" s="1396"/>
      <c r="AD999" s="1396"/>
      <c r="AE999" s="1396"/>
      <c r="AF999" s="1396"/>
      <c r="AG999" s="1396"/>
      <c r="AH999" s="1396"/>
      <c r="AI999" s="1397"/>
      <c r="AJ999" s="1402">
        <f>IF(ISERROR((R999*AB999)),0,(R999*AB999))</f>
        <v>0</v>
      </c>
      <c r="AK999" s="1403"/>
      <c r="AL999" s="1403"/>
      <c r="AM999" s="1403"/>
      <c r="AN999" s="1403"/>
      <c r="AO999" s="1403"/>
      <c r="AP999" s="1403"/>
      <c r="AQ999" s="1404"/>
      <c r="AR999" s="1182"/>
      <c r="AS999" s="1182"/>
      <c r="AT999" s="1182"/>
      <c r="AU999" s="1182"/>
      <c r="AV999" s="1182"/>
      <c r="AW999" s="1182"/>
      <c r="AX999" s="1182"/>
      <c r="AY999" s="1182"/>
      <c r="AZ999" s="25"/>
      <c r="BB999" s="13"/>
      <c r="BC999" s="13"/>
    </row>
    <row r="1000" spans="1:55" ht="12.95" customHeight="1">
      <c r="A1000" s="13"/>
      <c r="B1000" s="1525" t="s">
        <v>1658</v>
      </c>
      <c r="C1000" s="1526"/>
      <c r="D1000" s="1526"/>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7"/>
      <c r="AB1000" s="1395">
        <f>SUM(AB995:AI999)</f>
        <v>84</v>
      </c>
      <c r="AC1000" s="1396"/>
      <c r="AD1000" s="1396"/>
      <c r="AE1000" s="1396"/>
      <c r="AF1000" s="1396"/>
      <c r="AG1000" s="1396"/>
      <c r="AH1000" s="1396"/>
      <c r="AI1000" s="1397"/>
      <c r="AJ1000" s="1402"/>
      <c r="AK1000" s="1403"/>
      <c r="AL1000" s="1403"/>
      <c r="AM1000" s="1403"/>
      <c r="AN1000" s="1403"/>
      <c r="AO1000" s="1403"/>
      <c r="AP1000" s="1403"/>
      <c r="AQ1000" s="1404"/>
      <c r="AR1000" s="1182"/>
      <c r="AS1000" s="1182"/>
      <c r="AT1000" s="1182"/>
      <c r="AU1000" s="1182"/>
      <c r="AV1000" s="1182"/>
      <c r="AW1000" s="1182"/>
      <c r="AX1000" s="1182"/>
      <c r="AY1000" s="1182"/>
      <c r="AZ1000" s="3"/>
      <c r="BA1000" s="3"/>
      <c r="BB1000" s="13"/>
      <c r="BC1000" s="13"/>
    </row>
    <row r="1001" spans="1:55" ht="12.95" customHeight="1">
      <c r="A1001" s="13"/>
      <c r="B1001" s="1522" t="s">
        <v>1659</v>
      </c>
      <c r="C1001" s="1523"/>
      <c r="D1001" s="1523"/>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4"/>
      <c r="AJ1001" s="1402">
        <f>SUM(AJ995:AQ999)</f>
        <v>36072610</v>
      </c>
      <c r="AK1001" s="1403"/>
      <c r="AL1001" s="1403"/>
      <c r="AM1001" s="1403"/>
      <c r="AN1001" s="1403"/>
      <c r="AO1001" s="1403"/>
      <c r="AP1001" s="1403"/>
      <c r="AQ1001" s="1404"/>
      <c r="AR1001" s="1182"/>
      <c r="AS1001" s="1182"/>
      <c r="AT1001" s="1182"/>
      <c r="AU1001" s="1182"/>
      <c r="AV1001" s="1182"/>
      <c r="AW1001" s="1182"/>
      <c r="AX1001" s="1182"/>
      <c r="AY1001" s="1182"/>
      <c r="AZ1001" s="3"/>
      <c r="BB1001" s="3"/>
      <c r="BC1001" s="3"/>
    </row>
    <row r="1002" spans="1:55" ht="12.95" customHeight="1">
      <c r="A1002" s="13"/>
      <c r="B1002" s="1519"/>
      <c r="C1002" s="1520"/>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1"/>
      <c r="AF1002" s="1540" t="s">
        <v>1660</v>
      </c>
      <c r="AG1002" s="1541"/>
      <c r="AH1002" s="1541"/>
      <c r="AI1002" s="1542"/>
      <c r="AJ1002" s="1519"/>
      <c r="AK1002" s="1520"/>
      <c r="AL1002" s="1520"/>
      <c r="AM1002" s="1520"/>
      <c r="AN1002" s="1520"/>
      <c r="AO1002" s="1520"/>
      <c r="AP1002" s="1520"/>
      <c r="AQ1002" s="1521"/>
      <c r="AR1002" s="1182"/>
      <c r="AS1002" s="1182"/>
      <c r="AT1002" s="1182"/>
      <c r="AU1002" s="1182"/>
      <c r="AV1002" s="1182"/>
      <c r="AW1002" s="1182"/>
      <c r="AX1002" s="1182"/>
      <c r="AY1002" s="1182"/>
      <c r="AZ1002" s="3"/>
      <c r="BA1002" s="3"/>
      <c r="BB1002" s="3"/>
      <c r="BC1002" s="3"/>
    </row>
    <row r="1003" spans="1:55" ht="12.95" customHeight="1">
      <c r="A1003" s="13"/>
      <c r="B1003" s="58"/>
      <c r="C1003" s="1185" t="s">
        <v>1661</v>
      </c>
      <c r="D1003" s="1510" t="s">
        <v>1662</v>
      </c>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2"/>
      <c r="AF1003" s="61"/>
      <c r="AG1003" s="1543" t="s">
        <v>857</v>
      </c>
      <c r="AH1003" s="1544"/>
      <c r="AI1003" s="64"/>
      <c r="AJ1003" s="1338">
        <f>ROUND(IF(AND(AG1003="yes",D1009&gt;0),AJ1001*0.2,0),0)</f>
        <v>7214522</v>
      </c>
      <c r="AK1003" s="1339"/>
      <c r="AL1003" s="1339"/>
      <c r="AM1003" s="1339"/>
      <c r="AN1003" s="1339"/>
      <c r="AO1003" s="1339"/>
      <c r="AP1003" s="1339"/>
      <c r="AQ1003" s="1340"/>
      <c r="AR1003" s="1182"/>
      <c r="AS1003" s="1182"/>
      <c r="AT1003" s="1182"/>
      <c r="AU1003" s="1182"/>
      <c r="AV1003" s="1182"/>
      <c r="AW1003" s="1182"/>
      <c r="AX1003" s="1182"/>
      <c r="AY1003" s="1182"/>
      <c r="AZ1003" s="3"/>
      <c r="BA1003" s="3"/>
      <c r="BB1003" s="3"/>
      <c r="BC1003" s="3"/>
    </row>
    <row r="1004" spans="1:55" ht="12.95" customHeight="1">
      <c r="A1004" s="13"/>
      <c r="B1004" s="1186"/>
      <c r="C1004" s="1187"/>
      <c r="D1004" s="1485" t="s">
        <v>1663</v>
      </c>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58"/>
      <c r="AG1004" s="13"/>
      <c r="AH1004" s="13"/>
      <c r="AI1004" s="62"/>
      <c r="AJ1004" s="1341"/>
      <c r="AK1004" s="1342"/>
      <c r="AL1004" s="1342"/>
      <c r="AM1004" s="1342"/>
      <c r="AN1004" s="1342"/>
      <c r="AO1004" s="1342"/>
      <c r="AP1004" s="1342"/>
      <c r="AQ1004" s="1343"/>
      <c r="AR1004" s="1182"/>
      <c r="AS1004" s="1182"/>
      <c r="AT1004" s="1182"/>
      <c r="AU1004" s="1182"/>
      <c r="AV1004" s="1182"/>
      <c r="AW1004" s="1182"/>
      <c r="AX1004" s="1182"/>
      <c r="AY1004" s="1182"/>
      <c r="AZ1004" s="3"/>
      <c r="BA1004" s="3"/>
      <c r="BB1004" s="3"/>
      <c r="BC1004" s="3"/>
    </row>
    <row r="1005" spans="1:55" ht="12.95" customHeight="1">
      <c r="A1005" s="13"/>
      <c r="B1005" s="1186"/>
      <c r="C1005" s="1187"/>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58"/>
      <c r="AG1005" s="13"/>
      <c r="AH1005" s="13"/>
      <c r="AI1005" s="62"/>
      <c r="AJ1005" s="1341"/>
      <c r="AK1005" s="1342"/>
      <c r="AL1005" s="1342"/>
      <c r="AM1005" s="1342"/>
      <c r="AN1005" s="1342"/>
      <c r="AO1005" s="1342"/>
      <c r="AP1005" s="1342"/>
      <c r="AQ1005" s="1343"/>
      <c r="AR1005" s="1182"/>
      <c r="AS1005" s="1182"/>
      <c r="AT1005" s="1182"/>
      <c r="AU1005" s="1182"/>
      <c r="AV1005" s="1182"/>
      <c r="AW1005" s="1182"/>
      <c r="AX1005" s="1182"/>
      <c r="AY1005" s="1182"/>
      <c r="AZ1005" s="3"/>
      <c r="BA1005" s="3"/>
      <c r="BB1005" s="3"/>
      <c r="BC1005" s="3"/>
    </row>
    <row r="1006" spans="1:55" ht="12.95" customHeight="1">
      <c r="A1006" s="13"/>
      <c r="B1006" s="1186"/>
      <c r="C1006" s="1187"/>
      <c r="D1006" s="1485"/>
      <c r="E1006" s="1486"/>
      <c r="F1006" s="1486"/>
      <c r="G1006" s="1486"/>
      <c r="H1006" s="1486"/>
      <c r="I1006" s="1486"/>
      <c r="J1006" s="1486"/>
      <c r="K1006" s="1486"/>
      <c r="L1006" s="1486"/>
      <c r="M1006" s="1486"/>
      <c r="N1006" s="1486"/>
      <c r="O1006" s="1486"/>
      <c r="P1006" s="1486"/>
      <c r="Q1006" s="1486"/>
      <c r="R1006" s="1486"/>
      <c r="S1006" s="1486"/>
      <c r="T1006" s="1486"/>
      <c r="U1006" s="1486"/>
      <c r="V1006" s="1486"/>
      <c r="W1006" s="1486"/>
      <c r="X1006" s="1486"/>
      <c r="Y1006" s="1486"/>
      <c r="Z1006" s="1486"/>
      <c r="AA1006" s="1486"/>
      <c r="AB1006" s="1486"/>
      <c r="AC1006" s="1486"/>
      <c r="AD1006" s="1486"/>
      <c r="AE1006" s="1487"/>
      <c r="AF1006" s="58"/>
      <c r="AG1006" s="13"/>
      <c r="AH1006" s="13"/>
      <c r="AI1006" s="62"/>
      <c r="AJ1006" s="1341"/>
      <c r="AK1006" s="1342"/>
      <c r="AL1006" s="1342"/>
      <c r="AM1006" s="1342"/>
      <c r="AN1006" s="1342"/>
      <c r="AO1006" s="1342"/>
      <c r="AP1006" s="1342"/>
      <c r="AQ1006" s="1343"/>
      <c r="AR1006" s="1182"/>
      <c r="AS1006" s="1182"/>
      <c r="AT1006" s="1182"/>
      <c r="AU1006" s="1182"/>
      <c r="AV1006" s="1182"/>
      <c r="AW1006" s="1182"/>
      <c r="AX1006" s="1182"/>
      <c r="AY1006" s="1182"/>
      <c r="AZ1006" s="3"/>
      <c r="BA1006" s="3"/>
      <c r="BB1006" s="3"/>
      <c r="BC1006" s="3"/>
    </row>
    <row r="1007" spans="1:55" ht="12.95" customHeight="1">
      <c r="A1007" s="13"/>
      <c r="B1007" s="1186"/>
      <c r="C1007" s="1187"/>
      <c r="D1007" s="1485"/>
      <c r="E1007" s="1486"/>
      <c r="F1007" s="1486"/>
      <c r="G1007" s="1486"/>
      <c r="H1007" s="1486"/>
      <c r="I1007" s="1486"/>
      <c r="J1007" s="1486"/>
      <c r="K1007" s="1486"/>
      <c r="L1007" s="1486"/>
      <c r="M1007" s="1486"/>
      <c r="N1007" s="1486"/>
      <c r="O1007" s="1486"/>
      <c r="P1007" s="1486"/>
      <c r="Q1007" s="1486"/>
      <c r="R1007" s="1486"/>
      <c r="S1007" s="1486"/>
      <c r="T1007" s="1486"/>
      <c r="U1007" s="1486"/>
      <c r="V1007" s="1486"/>
      <c r="W1007" s="1486"/>
      <c r="X1007" s="1486"/>
      <c r="Y1007" s="1486"/>
      <c r="Z1007" s="1486"/>
      <c r="AA1007" s="1486"/>
      <c r="AB1007" s="1486"/>
      <c r="AC1007" s="1486"/>
      <c r="AD1007" s="1486"/>
      <c r="AE1007" s="1487"/>
      <c r="AF1007" s="58"/>
      <c r="AG1007" s="13"/>
      <c r="AH1007" s="13"/>
      <c r="AI1007" s="62"/>
      <c r="AJ1007" s="1341"/>
      <c r="AK1007" s="1342"/>
      <c r="AL1007" s="1342"/>
      <c r="AM1007" s="1342"/>
      <c r="AN1007" s="1342"/>
      <c r="AO1007" s="1342"/>
      <c r="AP1007" s="1342"/>
      <c r="AQ1007" s="1343"/>
      <c r="AR1007" s="1182"/>
      <c r="AS1007" s="1182"/>
      <c r="AT1007" s="1182"/>
      <c r="AU1007" s="1182"/>
      <c r="AV1007" s="1182"/>
      <c r="AW1007" s="1182"/>
      <c r="AX1007" s="1182"/>
      <c r="AY1007" s="1182"/>
      <c r="AZ1007" s="3"/>
      <c r="BA1007" s="3"/>
      <c r="BB1007" s="3"/>
      <c r="BC1007" s="3"/>
    </row>
    <row r="1008" spans="1:55" ht="12.95" customHeight="1">
      <c r="A1008" s="13"/>
      <c r="B1008" s="1186"/>
      <c r="C1008" s="1187"/>
      <c r="D1008" s="1488" t="s">
        <v>1664</v>
      </c>
      <c r="E1008" s="1489"/>
      <c r="F1008" s="1489"/>
      <c r="G1008" s="1489"/>
      <c r="H1008" s="1489"/>
      <c r="I1008" s="1489"/>
      <c r="J1008" s="1489"/>
      <c r="K1008" s="1489"/>
      <c r="L1008" s="1489"/>
      <c r="M1008" s="1489"/>
      <c r="N1008" s="1489"/>
      <c r="O1008" s="1489"/>
      <c r="P1008" s="1489"/>
      <c r="Q1008" s="1489"/>
      <c r="R1008" s="1489"/>
      <c r="S1008" s="1489"/>
      <c r="T1008" s="1489"/>
      <c r="U1008" s="1489"/>
      <c r="V1008" s="1489"/>
      <c r="W1008" s="1489"/>
      <c r="X1008" s="1489"/>
      <c r="Y1008" s="1489"/>
      <c r="Z1008" s="1489"/>
      <c r="AA1008" s="1489"/>
      <c r="AB1008" s="1489"/>
      <c r="AC1008" s="1489"/>
      <c r="AD1008" s="1489"/>
      <c r="AE1008" s="1490"/>
      <c r="AF1008" s="58"/>
      <c r="AG1008" s="13"/>
      <c r="AH1008" s="13"/>
      <c r="AI1008" s="62"/>
      <c r="AJ1008" s="1341"/>
      <c r="AK1008" s="1342"/>
      <c r="AL1008" s="1342"/>
      <c r="AM1008" s="1342"/>
      <c r="AN1008" s="1342"/>
      <c r="AO1008" s="1342"/>
      <c r="AP1008" s="1342"/>
      <c r="AQ1008" s="1343"/>
      <c r="AR1008" s="1182"/>
      <c r="AS1008" s="1182"/>
      <c r="AT1008" s="1182"/>
      <c r="AU1008" s="1182"/>
      <c r="AV1008" s="1182"/>
      <c r="AW1008" s="1182"/>
      <c r="AX1008" s="1182"/>
      <c r="AY1008" s="1182"/>
      <c r="AZ1008" s="3"/>
      <c r="BA1008" s="3"/>
      <c r="BB1008" s="3"/>
      <c r="BC1008" s="3"/>
    </row>
    <row r="1009" spans="1:55" ht="12.95" customHeight="1">
      <c r="A1009" s="13"/>
      <c r="B1009" s="1186"/>
      <c r="C1009" s="1187"/>
      <c r="D1009" s="1556" t="s">
        <v>1665</v>
      </c>
      <c r="E1009" s="1557"/>
      <c r="F1009" s="1557"/>
      <c r="G1009" s="1557"/>
      <c r="H1009" s="1557"/>
      <c r="I1009" s="1557"/>
      <c r="J1009" s="1557"/>
      <c r="K1009" s="1557"/>
      <c r="L1009" s="1557"/>
      <c r="M1009" s="1557"/>
      <c r="N1009" s="1557"/>
      <c r="O1009" s="1557"/>
      <c r="P1009" s="1557"/>
      <c r="Q1009" s="1557"/>
      <c r="R1009" s="1557"/>
      <c r="S1009" s="1557"/>
      <c r="T1009" s="1557"/>
      <c r="U1009" s="1557"/>
      <c r="V1009" s="1557"/>
      <c r="W1009" s="1557"/>
      <c r="X1009" s="1557"/>
      <c r="Y1009" s="1557"/>
      <c r="Z1009" s="1557"/>
      <c r="AA1009" s="1557"/>
      <c r="AB1009" s="1557"/>
      <c r="AC1009" s="1557"/>
      <c r="AD1009" s="1557"/>
      <c r="AE1009" s="1558"/>
      <c r="AF1009" s="59"/>
      <c r="AG1009" s="6"/>
      <c r="AH1009" s="6"/>
      <c r="AI1009" s="60"/>
      <c r="AJ1009" s="1344"/>
      <c r="AK1009" s="1345"/>
      <c r="AL1009" s="1345"/>
      <c r="AM1009" s="1345"/>
      <c r="AN1009" s="1345"/>
      <c r="AO1009" s="1345"/>
      <c r="AP1009" s="1345"/>
      <c r="AQ1009" s="1346"/>
      <c r="AR1009" s="1182"/>
      <c r="AS1009" s="1182"/>
      <c r="AT1009" s="1182"/>
      <c r="AU1009" s="1182"/>
      <c r="AV1009" s="1182"/>
      <c r="AW1009" s="1182"/>
      <c r="AX1009" s="1182"/>
      <c r="AY1009" s="1182"/>
      <c r="AZ1009" s="3"/>
      <c r="BA1009" s="3"/>
      <c r="BB1009" s="3"/>
      <c r="BC1009" s="3"/>
    </row>
    <row r="1010" spans="1:55" ht="12.95" customHeight="1">
      <c r="A1010" s="13"/>
      <c r="B1010" s="1188"/>
      <c r="C1010" s="1189"/>
      <c r="D1010" s="1300" t="s">
        <v>1666</v>
      </c>
      <c r="E1010" s="1301"/>
      <c r="F1010" s="1301"/>
      <c r="G1010" s="1301"/>
      <c r="H1010" s="1301"/>
      <c r="I1010" s="1301"/>
      <c r="J1010" s="1301"/>
      <c r="K1010" s="1301"/>
      <c r="L1010" s="1301"/>
      <c r="M1010" s="1301"/>
      <c r="N1010" s="1301"/>
      <c r="O1010" s="1301"/>
      <c r="P1010" s="1301"/>
      <c r="Q1010" s="1301"/>
      <c r="R1010" s="1301"/>
      <c r="S1010" s="1301"/>
      <c r="T1010" s="1301"/>
      <c r="U1010" s="1301"/>
      <c r="V1010" s="1301"/>
      <c r="W1010" s="1301"/>
      <c r="X1010" s="1301"/>
      <c r="Y1010" s="1301"/>
      <c r="Z1010" s="1301"/>
      <c r="AA1010" s="1301"/>
      <c r="AB1010" s="1301"/>
      <c r="AC1010" s="1301"/>
      <c r="AD1010" s="1301"/>
      <c r="AE1010" s="1302"/>
      <c r="AF1010" s="61"/>
      <c r="AG1010" s="1502" t="s">
        <v>700</v>
      </c>
      <c r="AH1010" s="1503"/>
      <c r="AI1010" s="64"/>
      <c r="AJ1010" s="1338">
        <f>ROUND(IF(AG1010="yes",AJ1001*0.05,0),0)</f>
        <v>0</v>
      </c>
      <c r="AK1010" s="1339"/>
      <c r="AL1010" s="1339"/>
      <c r="AM1010" s="1339"/>
      <c r="AN1010" s="1339"/>
      <c r="AO1010" s="1339"/>
      <c r="AP1010" s="1339"/>
      <c r="AQ1010" s="1340"/>
      <c r="AR1010" s="1182"/>
      <c r="AS1010" s="1182"/>
      <c r="AT1010" s="1182"/>
      <c r="AU1010" s="1182"/>
      <c r="AV1010" s="1182"/>
      <c r="AW1010" s="1182"/>
      <c r="AX1010" s="1182"/>
      <c r="AY1010" s="1182"/>
      <c r="AZ1010" s="3"/>
      <c r="BA1010" s="3"/>
      <c r="BB1010" s="3"/>
      <c r="BC1010" s="3"/>
    </row>
    <row r="1011" spans="1:55" ht="12.95" customHeight="1">
      <c r="A1011" s="13"/>
      <c r="B1011" s="1186"/>
      <c r="C1011" s="1190"/>
      <c r="D1011" s="1485" t="s">
        <v>1667</v>
      </c>
      <c r="E1011" s="1486"/>
      <c r="F1011" s="1486"/>
      <c r="G1011" s="1486"/>
      <c r="H1011" s="1486"/>
      <c r="I1011" s="1486"/>
      <c r="J1011" s="1486"/>
      <c r="K1011" s="1486"/>
      <c r="L1011" s="1486"/>
      <c r="M1011" s="1486"/>
      <c r="N1011" s="1486"/>
      <c r="O1011" s="1486"/>
      <c r="P1011" s="1486"/>
      <c r="Q1011" s="1486"/>
      <c r="R1011" s="1486"/>
      <c r="S1011" s="1486"/>
      <c r="T1011" s="1486"/>
      <c r="U1011" s="1486"/>
      <c r="V1011" s="1486"/>
      <c r="W1011" s="1486"/>
      <c r="X1011" s="1486"/>
      <c r="Y1011" s="1486"/>
      <c r="Z1011" s="1486"/>
      <c r="AA1011" s="1486"/>
      <c r="AB1011" s="1486"/>
      <c r="AC1011" s="1486"/>
      <c r="AD1011" s="1486"/>
      <c r="AE1011" s="1487"/>
      <c r="AF1011" s="58"/>
      <c r="AG1011" s="13"/>
      <c r="AH1011" s="13"/>
      <c r="AI1011" s="62"/>
      <c r="AJ1011" s="1341"/>
      <c r="AK1011" s="1342"/>
      <c r="AL1011" s="1342"/>
      <c r="AM1011" s="1342"/>
      <c r="AN1011" s="1342"/>
      <c r="AO1011" s="1342"/>
      <c r="AP1011" s="1342"/>
      <c r="AQ1011" s="1343"/>
      <c r="AR1011" s="1182"/>
      <c r="AS1011" s="1182"/>
      <c r="AT1011" s="1182"/>
      <c r="AU1011" s="1182"/>
      <c r="AV1011" s="1182"/>
      <c r="AW1011" s="1182"/>
      <c r="AX1011" s="1182"/>
      <c r="AY1011" s="3"/>
      <c r="AZ1011" s="3"/>
      <c r="BB1011" s="3"/>
    </row>
    <row r="1012" spans="1:55" ht="12.95" customHeight="1">
      <c r="A1012" s="13"/>
      <c r="B1012" s="1186"/>
      <c r="C1012" s="1190"/>
      <c r="D1012" s="1485"/>
      <c r="E1012" s="1486"/>
      <c r="F1012" s="1486"/>
      <c r="G1012" s="1486"/>
      <c r="H1012" s="1486"/>
      <c r="I1012" s="1486"/>
      <c r="J1012" s="1486"/>
      <c r="K1012" s="1486"/>
      <c r="L1012" s="1486"/>
      <c r="M1012" s="1486"/>
      <c r="N1012" s="1486"/>
      <c r="O1012" s="1486"/>
      <c r="P1012" s="1486"/>
      <c r="Q1012" s="1486"/>
      <c r="R1012" s="1486"/>
      <c r="S1012" s="1486"/>
      <c r="T1012" s="1486"/>
      <c r="U1012" s="1486"/>
      <c r="V1012" s="1486"/>
      <c r="W1012" s="1486"/>
      <c r="X1012" s="1486"/>
      <c r="Y1012" s="1486"/>
      <c r="Z1012" s="1486"/>
      <c r="AA1012" s="1486"/>
      <c r="AB1012" s="1486"/>
      <c r="AC1012" s="1486"/>
      <c r="AD1012" s="1486"/>
      <c r="AE1012" s="1487"/>
      <c r="AF1012" s="58"/>
      <c r="AG1012" s="13"/>
      <c r="AH1012" s="13"/>
      <c r="AI1012" s="62"/>
      <c r="AJ1012" s="1341"/>
      <c r="AK1012" s="1342"/>
      <c r="AL1012" s="1342"/>
      <c r="AM1012" s="1342"/>
      <c r="AN1012" s="1342"/>
      <c r="AO1012" s="1342"/>
      <c r="AP1012" s="1342"/>
      <c r="AQ1012" s="1343"/>
      <c r="AR1012" s="1182"/>
      <c r="AS1012" s="1182"/>
      <c r="AT1012" s="1182"/>
      <c r="AU1012" s="1182"/>
      <c r="AV1012" s="1182"/>
      <c r="AW1012" s="1182"/>
      <c r="AX1012" s="1182"/>
      <c r="AY1012" s="806">
        <f>G761+O805</f>
        <v>83</v>
      </c>
      <c r="AZ1012" s="3"/>
      <c r="BB1012" s="3"/>
    </row>
    <row r="1013" spans="1:55" ht="12.95" customHeight="1">
      <c r="A1013" s="13"/>
      <c r="B1013" s="1186"/>
      <c r="C1013" s="1190"/>
      <c r="D1013" s="1485"/>
      <c r="E1013" s="1486"/>
      <c r="F1013" s="1486"/>
      <c r="G1013" s="1486"/>
      <c r="H1013" s="1486"/>
      <c r="I1013" s="1486"/>
      <c r="J1013" s="1486"/>
      <c r="K1013" s="1486"/>
      <c r="L1013" s="1486"/>
      <c r="M1013" s="1486"/>
      <c r="N1013" s="1486"/>
      <c r="O1013" s="1486"/>
      <c r="P1013" s="1486"/>
      <c r="Q1013" s="1486"/>
      <c r="R1013" s="1486"/>
      <c r="S1013" s="1486"/>
      <c r="T1013" s="1486"/>
      <c r="U1013" s="1486"/>
      <c r="V1013" s="1486"/>
      <c r="W1013" s="1486"/>
      <c r="X1013" s="1486"/>
      <c r="Y1013" s="1486"/>
      <c r="Z1013" s="1486"/>
      <c r="AA1013" s="1486"/>
      <c r="AB1013" s="1486"/>
      <c r="AC1013" s="1486"/>
      <c r="AD1013" s="1486"/>
      <c r="AE1013" s="1487"/>
      <c r="AF1013" s="58"/>
      <c r="AG1013" s="13"/>
      <c r="AH1013" s="13"/>
      <c r="AI1013" s="62"/>
      <c r="AJ1013" s="1341"/>
      <c r="AK1013" s="1342"/>
      <c r="AL1013" s="1342"/>
      <c r="AM1013" s="1342"/>
      <c r="AN1013" s="1342"/>
      <c r="AO1013" s="1342"/>
      <c r="AP1013" s="1342"/>
      <c r="AQ1013" s="1343"/>
      <c r="AR1013" s="1182"/>
      <c r="AS1013" s="1182"/>
      <c r="AT1013" s="1182"/>
      <c r="AU1013" s="1182"/>
      <c r="AV1013" s="1182"/>
      <c r="AW1013" s="1182"/>
      <c r="AX1013" s="1182"/>
      <c r="AY1013" s="13"/>
      <c r="AZ1013" s="3"/>
      <c r="BB1013" s="3"/>
    </row>
    <row r="1014" spans="1:55" ht="12.95" customHeight="1">
      <c r="A1014" s="13"/>
      <c r="B1014" s="1186"/>
      <c r="C1014" s="1190"/>
      <c r="D1014" s="1485"/>
      <c r="E1014" s="1486"/>
      <c r="F1014" s="1486"/>
      <c r="G1014" s="1486"/>
      <c r="H1014" s="1486"/>
      <c r="I1014" s="1486"/>
      <c r="J1014" s="1486"/>
      <c r="K1014" s="1486"/>
      <c r="L1014" s="1486"/>
      <c r="M1014" s="1486"/>
      <c r="N1014" s="1486"/>
      <c r="O1014" s="1486"/>
      <c r="P1014" s="1486"/>
      <c r="Q1014" s="1486"/>
      <c r="R1014" s="1486"/>
      <c r="S1014" s="1486"/>
      <c r="T1014" s="1486"/>
      <c r="U1014" s="1486"/>
      <c r="V1014" s="1486"/>
      <c r="W1014" s="1486"/>
      <c r="X1014" s="1486"/>
      <c r="Y1014" s="1486"/>
      <c r="Z1014" s="1486"/>
      <c r="AA1014" s="1486"/>
      <c r="AB1014" s="1486"/>
      <c r="AC1014" s="1486"/>
      <c r="AD1014" s="1486"/>
      <c r="AE1014" s="1487"/>
      <c r="AF1014" s="58"/>
      <c r="AG1014" s="13"/>
      <c r="AH1014" s="13"/>
      <c r="AI1014" s="62"/>
      <c r="AJ1014" s="1341"/>
      <c r="AK1014" s="1342"/>
      <c r="AL1014" s="1342"/>
      <c r="AM1014" s="1342"/>
      <c r="AN1014" s="1342"/>
      <c r="AO1014" s="1342"/>
      <c r="AP1014" s="1342"/>
      <c r="AQ1014" s="1343"/>
      <c r="AR1014" s="1182"/>
      <c r="AS1014" s="1182"/>
      <c r="AT1014" s="1182"/>
      <c r="AU1014" s="1182"/>
      <c r="AV1014" s="1182"/>
      <c r="AW1014" s="1182"/>
      <c r="AX1014" s="1182"/>
      <c r="AY1014" s="805">
        <f>ROUNDDOWN(X1057/I1057,2)</f>
        <v>0.3</v>
      </c>
      <c r="AZ1014" s="3"/>
      <c r="BB1014" s="3"/>
    </row>
    <row r="1015" spans="1:55" ht="12.95" customHeight="1">
      <c r="A1015" s="13"/>
      <c r="B1015" s="1191"/>
      <c r="C1015" s="1192"/>
      <c r="D1015" s="1488"/>
      <c r="E1015" s="1489"/>
      <c r="F1015" s="1489"/>
      <c r="G1015" s="1489"/>
      <c r="H1015" s="1489"/>
      <c r="I1015" s="1489"/>
      <c r="J1015" s="1489"/>
      <c r="K1015" s="1489"/>
      <c r="L1015" s="1489"/>
      <c r="M1015" s="1489"/>
      <c r="N1015" s="1489"/>
      <c r="O1015" s="1489"/>
      <c r="P1015" s="1489"/>
      <c r="Q1015" s="1489"/>
      <c r="R1015" s="1489"/>
      <c r="S1015" s="1489"/>
      <c r="T1015" s="1489"/>
      <c r="U1015" s="1489"/>
      <c r="V1015" s="1489"/>
      <c r="W1015" s="1489"/>
      <c r="X1015" s="1489"/>
      <c r="Y1015" s="1489"/>
      <c r="Z1015" s="1489"/>
      <c r="AA1015" s="1489"/>
      <c r="AB1015" s="1489"/>
      <c r="AC1015" s="1489"/>
      <c r="AD1015" s="1489"/>
      <c r="AE1015" s="1490"/>
      <c r="AF1015" s="59"/>
      <c r="AG1015" s="6"/>
      <c r="AH1015" s="6"/>
      <c r="AI1015" s="60"/>
      <c r="AJ1015" s="1344"/>
      <c r="AK1015" s="1345"/>
      <c r="AL1015" s="1345"/>
      <c r="AM1015" s="1345"/>
      <c r="AN1015" s="1345"/>
      <c r="AO1015" s="1345"/>
      <c r="AP1015" s="1345"/>
      <c r="AQ1015" s="1346"/>
      <c r="AR1015" s="1182"/>
      <c r="AS1015" s="1182"/>
      <c r="AT1015" s="1182"/>
      <c r="AU1015" s="1182"/>
      <c r="AV1015" s="1182"/>
      <c r="AW1015" s="1182"/>
      <c r="AX1015" s="1182"/>
      <c r="AY1015" s="805">
        <f>ROUNDDOWN(X1061/I1061,2)</f>
        <v>0.31</v>
      </c>
      <c r="AZ1015" s="3"/>
      <c r="BB1015" s="3"/>
    </row>
    <row r="1016" spans="1:55" ht="12.95" customHeight="1">
      <c r="A1016" s="13"/>
      <c r="B1016" s="1188"/>
      <c r="C1016" s="242" t="s">
        <v>1668</v>
      </c>
      <c r="D1016" s="1300" t="s">
        <v>1669</v>
      </c>
      <c r="E1016" s="1301"/>
      <c r="F1016" s="1301"/>
      <c r="G1016" s="1301"/>
      <c r="H1016" s="1301"/>
      <c r="I1016" s="1301"/>
      <c r="J1016" s="1301"/>
      <c r="K1016" s="1301"/>
      <c r="L1016" s="1301"/>
      <c r="M1016" s="1301"/>
      <c r="N1016" s="1301"/>
      <c r="O1016" s="1301"/>
      <c r="P1016" s="1301"/>
      <c r="Q1016" s="1301"/>
      <c r="R1016" s="1301"/>
      <c r="S1016" s="1301"/>
      <c r="T1016" s="1301"/>
      <c r="U1016" s="1301"/>
      <c r="V1016" s="1301"/>
      <c r="W1016" s="1301"/>
      <c r="X1016" s="1301"/>
      <c r="Y1016" s="1301"/>
      <c r="Z1016" s="1301"/>
      <c r="AA1016" s="1301"/>
      <c r="AB1016" s="1301"/>
      <c r="AC1016" s="1301"/>
      <c r="AD1016" s="1301"/>
      <c r="AE1016" s="1302"/>
      <c r="AF1016" s="63"/>
      <c r="AG1016" s="1502" t="s">
        <v>857</v>
      </c>
      <c r="AH1016" s="1503"/>
      <c r="AI1016" s="64"/>
      <c r="AJ1016" s="1338">
        <f>ROUND(IF(AG1016="yes",AJ1001*0.1,0),0)</f>
        <v>3607261</v>
      </c>
      <c r="AK1016" s="1339"/>
      <c r="AL1016" s="1339"/>
      <c r="AM1016" s="1339"/>
      <c r="AN1016" s="1339"/>
      <c r="AO1016" s="1339"/>
      <c r="AP1016" s="1339"/>
      <c r="AQ1016" s="1340"/>
      <c r="AR1016" s="1182"/>
      <c r="AS1016" s="1182"/>
      <c r="AT1016" s="1182"/>
      <c r="AU1016" s="1182"/>
      <c r="AV1016" s="1182"/>
      <c r="AW1016" s="1182"/>
      <c r="AX1016" s="1182"/>
      <c r="BB1016" s="3"/>
    </row>
    <row r="1017" spans="1:55" ht="12.95" customHeight="1">
      <c r="A1017" s="13"/>
      <c r="B1017" s="58"/>
      <c r="C1017" s="1193"/>
      <c r="D1017" s="1303" t="s">
        <v>1670</v>
      </c>
      <c r="E1017" s="1304"/>
      <c r="F1017" s="1304"/>
      <c r="G1017" s="1304"/>
      <c r="H1017" s="1304"/>
      <c r="I1017" s="1304"/>
      <c r="J1017" s="1304"/>
      <c r="K1017" s="1304"/>
      <c r="L1017" s="1304"/>
      <c r="M1017" s="1304"/>
      <c r="N1017" s="1304"/>
      <c r="O1017" s="1304"/>
      <c r="P1017" s="1304"/>
      <c r="Q1017" s="1304"/>
      <c r="R1017" s="1304"/>
      <c r="S1017" s="1304"/>
      <c r="T1017" s="1304"/>
      <c r="U1017" s="1304"/>
      <c r="V1017" s="1304"/>
      <c r="W1017" s="1304"/>
      <c r="X1017" s="1304"/>
      <c r="Y1017" s="1304"/>
      <c r="Z1017" s="1304"/>
      <c r="AA1017" s="1304"/>
      <c r="AB1017" s="1304"/>
      <c r="AC1017" s="1304"/>
      <c r="AD1017" s="1304"/>
      <c r="AE1017" s="1305"/>
      <c r="AF1017" s="58"/>
      <c r="AI1017" s="62"/>
      <c r="AJ1017" s="1341"/>
      <c r="AK1017" s="1342"/>
      <c r="AL1017" s="1342"/>
      <c r="AM1017" s="1342"/>
      <c r="AN1017" s="1342"/>
      <c r="AO1017" s="1342"/>
      <c r="AP1017" s="1342"/>
      <c r="AQ1017" s="1343"/>
      <c r="AR1017" s="1182"/>
      <c r="AS1017" s="1182"/>
      <c r="AT1017" s="1182"/>
      <c r="AU1017" s="1182"/>
      <c r="AV1017" s="1182"/>
      <c r="AW1017" s="1182"/>
      <c r="AX1017" s="1182"/>
    </row>
    <row r="1018" spans="1:55" ht="12.95" customHeight="1">
      <c r="A1018" s="13"/>
      <c r="B1018" s="58"/>
      <c r="C1018" s="1193"/>
      <c r="D1018" s="1303"/>
      <c r="E1018" s="1304"/>
      <c r="F1018" s="1304"/>
      <c r="G1018" s="1304"/>
      <c r="H1018" s="1304"/>
      <c r="I1018" s="1304"/>
      <c r="J1018" s="1304"/>
      <c r="K1018" s="1304"/>
      <c r="L1018" s="1304"/>
      <c r="M1018" s="1304"/>
      <c r="N1018" s="1304"/>
      <c r="O1018" s="1304"/>
      <c r="P1018" s="1304"/>
      <c r="Q1018" s="1304"/>
      <c r="R1018" s="1304"/>
      <c r="S1018" s="1304"/>
      <c r="T1018" s="1304"/>
      <c r="U1018" s="1304"/>
      <c r="V1018" s="1304"/>
      <c r="W1018" s="1304"/>
      <c r="X1018" s="1304"/>
      <c r="Y1018" s="1304"/>
      <c r="Z1018" s="1304"/>
      <c r="AA1018" s="1304"/>
      <c r="AB1018" s="1304"/>
      <c r="AC1018" s="1304"/>
      <c r="AD1018" s="1304"/>
      <c r="AE1018" s="1305"/>
      <c r="AF1018" s="58"/>
      <c r="AG1018" s="13"/>
      <c r="AH1018" s="13"/>
      <c r="AI1018" s="62"/>
      <c r="AJ1018" s="1341"/>
      <c r="AK1018" s="1342"/>
      <c r="AL1018" s="1342"/>
      <c r="AM1018" s="1342"/>
      <c r="AN1018" s="1342"/>
      <c r="AO1018" s="1342"/>
      <c r="AP1018" s="1342"/>
      <c r="AQ1018" s="1343"/>
      <c r="AR1018" s="1182"/>
      <c r="AS1018" s="1182"/>
      <c r="AT1018" s="1182"/>
      <c r="AU1018" s="1182"/>
      <c r="AV1018" s="1182"/>
      <c r="AW1018" s="1182"/>
      <c r="AX1018" s="1182"/>
    </row>
    <row r="1019" spans="1:55" ht="12.95" customHeight="1">
      <c r="A1019" s="13"/>
      <c r="B1019" s="1194"/>
      <c r="C1019" s="1192"/>
      <c r="D1019" s="1491"/>
      <c r="E1019" s="1492"/>
      <c r="F1019" s="1492"/>
      <c r="G1019" s="1492"/>
      <c r="H1019" s="1492"/>
      <c r="I1019" s="1492"/>
      <c r="J1019" s="1492"/>
      <c r="K1019" s="1492"/>
      <c r="L1019" s="1492"/>
      <c r="M1019" s="1492"/>
      <c r="N1019" s="1492"/>
      <c r="O1019" s="1492"/>
      <c r="P1019" s="1492"/>
      <c r="Q1019" s="1492"/>
      <c r="R1019" s="1492"/>
      <c r="S1019" s="1492"/>
      <c r="T1019" s="1492"/>
      <c r="U1019" s="1492"/>
      <c r="V1019" s="1492"/>
      <c r="W1019" s="1492"/>
      <c r="X1019" s="1492"/>
      <c r="Y1019" s="1492"/>
      <c r="Z1019" s="1492"/>
      <c r="AA1019" s="1492"/>
      <c r="AB1019" s="1492"/>
      <c r="AC1019" s="1492"/>
      <c r="AD1019" s="1492"/>
      <c r="AE1019" s="1493"/>
      <c r="AF1019" s="59"/>
      <c r="AG1019" s="6"/>
      <c r="AH1019" s="6"/>
      <c r="AI1019" s="60"/>
      <c r="AJ1019" s="1344"/>
      <c r="AK1019" s="1345"/>
      <c r="AL1019" s="1345"/>
      <c r="AM1019" s="1345"/>
      <c r="AN1019" s="1345"/>
      <c r="AO1019" s="1345"/>
      <c r="AP1019" s="1345"/>
      <c r="AQ1019" s="1346"/>
      <c r="AR1019" s="1182"/>
      <c r="AS1019" s="1182"/>
      <c r="AT1019" s="1182"/>
      <c r="AU1019" s="1182"/>
      <c r="AV1019" s="1182"/>
      <c r="AW1019" s="1182"/>
      <c r="AX1019" s="1182"/>
    </row>
    <row r="1020" spans="1:55" ht="12.95" customHeight="1">
      <c r="A1020" s="13"/>
      <c r="B1020" s="61"/>
      <c r="C1020" s="242" t="s">
        <v>1671</v>
      </c>
      <c r="D1020" s="1300" t="s">
        <v>1672</v>
      </c>
      <c r="E1020" s="1301"/>
      <c r="F1020" s="1301"/>
      <c r="G1020" s="1301"/>
      <c r="H1020" s="1301"/>
      <c r="I1020" s="1301"/>
      <c r="J1020" s="1301"/>
      <c r="K1020" s="1301"/>
      <c r="L1020" s="1301"/>
      <c r="M1020" s="1301"/>
      <c r="N1020" s="1301"/>
      <c r="O1020" s="1301"/>
      <c r="P1020" s="1301"/>
      <c r="Q1020" s="1301"/>
      <c r="R1020" s="1301"/>
      <c r="S1020" s="1301"/>
      <c r="T1020" s="1301"/>
      <c r="U1020" s="1301"/>
      <c r="V1020" s="1301"/>
      <c r="W1020" s="1301"/>
      <c r="X1020" s="1301"/>
      <c r="Y1020" s="1301"/>
      <c r="Z1020" s="1301"/>
      <c r="AA1020" s="1301"/>
      <c r="AB1020" s="1301"/>
      <c r="AC1020" s="1301"/>
      <c r="AD1020" s="1301"/>
      <c r="AE1020" s="1302"/>
      <c r="AF1020" s="61"/>
      <c r="AG1020" s="1502" t="s">
        <v>700</v>
      </c>
      <c r="AH1020" s="1503"/>
      <c r="AI1020" s="64"/>
      <c r="AJ1020" s="1338">
        <f>ROUND(IF(AG1020="yes",AJ1001*0.02,0),0)</f>
        <v>0</v>
      </c>
      <c r="AK1020" s="1339"/>
      <c r="AL1020" s="1339"/>
      <c r="AM1020" s="1339"/>
      <c r="AN1020" s="1339"/>
      <c r="AO1020" s="1339"/>
      <c r="AP1020" s="1339"/>
      <c r="AQ1020" s="1340"/>
      <c r="AR1020" s="1182"/>
      <c r="AS1020" s="1182"/>
      <c r="AT1020" s="1182"/>
      <c r="AU1020" s="1182"/>
      <c r="AV1020" s="1182"/>
      <c r="AW1020" s="1182"/>
      <c r="AX1020" s="1182"/>
    </row>
    <row r="1021" spans="1:55" ht="14.25" customHeight="1">
      <c r="A1021" s="13"/>
      <c r="B1021" s="58"/>
      <c r="C1021" s="1193"/>
      <c r="D1021" s="1491" t="s">
        <v>1673</v>
      </c>
      <c r="E1021" s="1492"/>
      <c r="F1021" s="1492"/>
      <c r="G1021" s="1492"/>
      <c r="H1021" s="1492"/>
      <c r="I1021" s="1492"/>
      <c r="J1021" s="1492"/>
      <c r="K1021" s="1492"/>
      <c r="L1021" s="1492"/>
      <c r="M1021" s="1492"/>
      <c r="N1021" s="1492"/>
      <c r="O1021" s="1492"/>
      <c r="P1021" s="1492"/>
      <c r="Q1021" s="1492"/>
      <c r="R1021" s="1492"/>
      <c r="S1021" s="1492"/>
      <c r="T1021" s="1492"/>
      <c r="U1021" s="1492"/>
      <c r="V1021" s="1492"/>
      <c r="W1021" s="1492"/>
      <c r="X1021" s="1492"/>
      <c r="Y1021" s="1492"/>
      <c r="Z1021" s="1492"/>
      <c r="AA1021" s="1492"/>
      <c r="AB1021" s="1492"/>
      <c r="AC1021" s="1492"/>
      <c r="AD1021" s="1492"/>
      <c r="AE1021" s="1493"/>
      <c r="AF1021" s="59"/>
      <c r="AG1021" s="6"/>
      <c r="AH1021" s="6"/>
      <c r="AI1021" s="60"/>
      <c r="AJ1021" s="1344"/>
      <c r="AK1021" s="1345"/>
      <c r="AL1021" s="1345"/>
      <c r="AM1021" s="1345"/>
      <c r="AN1021" s="1345"/>
      <c r="AO1021" s="1345"/>
      <c r="AP1021" s="1345"/>
      <c r="AQ1021" s="1346"/>
      <c r="AR1021" s="1182"/>
      <c r="AS1021" s="1182"/>
      <c r="AT1021" s="1182"/>
      <c r="AU1021" s="1182"/>
      <c r="AV1021" s="1182"/>
      <c r="AW1021" s="1182"/>
      <c r="AX1021" s="3" t="s">
        <v>1674</v>
      </c>
      <c r="AZ1021" s="3" t="s">
        <v>1675</v>
      </c>
    </row>
    <row r="1022" spans="1:55" ht="12.95" customHeight="1">
      <c r="A1022" s="13"/>
      <c r="B1022" s="61"/>
      <c r="C1022" s="242" t="s">
        <v>1676</v>
      </c>
      <c r="D1022" s="1300" t="s">
        <v>1677</v>
      </c>
      <c r="E1022" s="1301"/>
      <c r="F1022" s="1301"/>
      <c r="G1022" s="1301"/>
      <c r="H1022" s="1301"/>
      <c r="I1022" s="1301"/>
      <c r="J1022" s="1301"/>
      <c r="K1022" s="1301"/>
      <c r="L1022" s="1301"/>
      <c r="M1022" s="1301"/>
      <c r="N1022" s="1301"/>
      <c r="O1022" s="1301"/>
      <c r="P1022" s="1301"/>
      <c r="Q1022" s="1301"/>
      <c r="R1022" s="1301"/>
      <c r="S1022" s="1301"/>
      <c r="T1022" s="1301"/>
      <c r="U1022" s="1301"/>
      <c r="V1022" s="1301"/>
      <c r="W1022" s="1301"/>
      <c r="X1022" s="1301"/>
      <c r="Y1022" s="1301"/>
      <c r="Z1022" s="1301"/>
      <c r="AA1022" s="1301"/>
      <c r="AB1022" s="1301"/>
      <c r="AC1022" s="1301"/>
      <c r="AD1022" s="1301"/>
      <c r="AE1022" s="1302"/>
      <c r="AF1022" s="61"/>
      <c r="AG1022" s="1502" t="s">
        <v>700</v>
      </c>
      <c r="AH1022" s="1503"/>
      <c r="AI1022" s="61"/>
      <c r="AJ1022" s="1338">
        <f>ROUND(IF(AG1022="yes",AJ1001*0.02,0),0)</f>
        <v>0</v>
      </c>
      <c r="AK1022" s="1339"/>
      <c r="AL1022" s="1339"/>
      <c r="AM1022" s="1339"/>
      <c r="AN1022" s="1339"/>
      <c r="AO1022" s="1339"/>
      <c r="AP1022" s="1339"/>
      <c r="AQ1022" s="1340"/>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303" t="s">
        <v>1678</v>
      </c>
      <c r="E1023" s="1304"/>
      <c r="F1023" s="1304"/>
      <c r="G1023" s="1304"/>
      <c r="H1023" s="1304"/>
      <c r="I1023" s="1304"/>
      <c r="J1023" s="1304"/>
      <c r="K1023" s="1304"/>
      <c r="L1023" s="1304"/>
      <c r="M1023" s="1304"/>
      <c r="N1023" s="1304"/>
      <c r="O1023" s="1304"/>
      <c r="P1023" s="1304"/>
      <c r="Q1023" s="1304"/>
      <c r="R1023" s="1304"/>
      <c r="S1023" s="1304"/>
      <c r="T1023" s="1304"/>
      <c r="U1023" s="1304"/>
      <c r="V1023" s="1304"/>
      <c r="W1023" s="1304"/>
      <c r="X1023" s="1304"/>
      <c r="Y1023" s="1304"/>
      <c r="Z1023" s="1304"/>
      <c r="AA1023" s="1304"/>
      <c r="AB1023" s="1304"/>
      <c r="AC1023" s="1304"/>
      <c r="AD1023" s="1304"/>
      <c r="AE1023" s="1305"/>
      <c r="AF1023" s="1322" t="str">
        <f>IF(AND(AG1022="yes",T212&lt;&gt;1),"The project may not be eligible for this boost","")</f>
        <v/>
      </c>
      <c r="AG1023" s="1323"/>
      <c r="AH1023" s="1323"/>
      <c r="AI1023" s="1324"/>
      <c r="AJ1023" s="1341"/>
      <c r="AK1023" s="1342"/>
      <c r="AL1023" s="1342"/>
      <c r="AM1023" s="1342"/>
      <c r="AN1023" s="1342"/>
      <c r="AO1023" s="1342"/>
      <c r="AP1023" s="1342"/>
      <c r="AQ1023" s="1343"/>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491"/>
      <c r="E1024" s="1492"/>
      <c r="F1024" s="1492"/>
      <c r="G1024" s="1492"/>
      <c r="H1024" s="1492"/>
      <c r="I1024" s="1492"/>
      <c r="J1024" s="1492"/>
      <c r="K1024" s="1492"/>
      <c r="L1024" s="1492"/>
      <c r="M1024" s="1492"/>
      <c r="N1024" s="1492"/>
      <c r="O1024" s="1492"/>
      <c r="P1024" s="1492"/>
      <c r="Q1024" s="1492"/>
      <c r="R1024" s="1492"/>
      <c r="S1024" s="1492"/>
      <c r="T1024" s="1492"/>
      <c r="U1024" s="1492"/>
      <c r="V1024" s="1492"/>
      <c r="W1024" s="1492"/>
      <c r="X1024" s="1492"/>
      <c r="Y1024" s="1492"/>
      <c r="Z1024" s="1492"/>
      <c r="AA1024" s="1492"/>
      <c r="AB1024" s="1492"/>
      <c r="AC1024" s="1492"/>
      <c r="AD1024" s="1492"/>
      <c r="AE1024" s="1493"/>
      <c r="AF1024" s="1325"/>
      <c r="AG1024" s="1326"/>
      <c r="AH1024" s="1326"/>
      <c r="AI1024" s="1327"/>
      <c r="AJ1024" s="1344"/>
      <c r="AK1024" s="1345"/>
      <c r="AL1024" s="1345"/>
      <c r="AM1024" s="1345"/>
      <c r="AN1024" s="1345"/>
      <c r="AO1024" s="1345"/>
      <c r="AP1024" s="1345"/>
      <c r="AQ1024" s="1346"/>
      <c r="AR1024" s="1182"/>
      <c r="AS1024" s="1182"/>
      <c r="AT1024" s="1182"/>
      <c r="AU1024" s="1182"/>
      <c r="AV1024" s="1182"/>
      <c r="AW1024" s="1182"/>
      <c r="AX1024" s="3">
        <v>3</v>
      </c>
      <c r="AY1024" s="1195">
        <f t="shared" si="55"/>
        <v>0</v>
      </c>
      <c r="AZ1024" s="1078">
        <v>0.05</v>
      </c>
    </row>
    <row r="1025" spans="1:52" ht="12.95" customHeight="1">
      <c r="A1025" s="13"/>
      <c r="B1025" s="61"/>
      <c r="C1025" s="242" t="s">
        <v>1679</v>
      </c>
      <c r="D1025" s="1510" t="s">
        <v>1680</v>
      </c>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2"/>
      <c r="AF1025" s="61"/>
      <c r="AG1025" s="1502" t="s">
        <v>700</v>
      </c>
      <c r="AH1025" s="1503"/>
      <c r="AI1025" s="64"/>
      <c r="AJ1025" s="1338">
        <f>IF(AG1025="yes",AJ1001*AY1033,0)</f>
        <v>0</v>
      </c>
      <c r="AK1025" s="1339"/>
      <c r="AL1025" s="1339"/>
      <c r="AM1025" s="1339"/>
      <c r="AN1025" s="1339"/>
      <c r="AO1025" s="1339"/>
      <c r="AP1025" s="1339"/>
      <c r="AQ1025" s="1340"/>
      <c r="AR1025" s="1182"/>
      <c r="AS1025" s="1182"/>
      <c r="AT1025" s="1182"/>
      <c r="AU1025" s="1182"/>
      <c r="AV1025" s="1182"/>
      <c r="AW1025" s="1182"/>
      <c r="AX1025" s="3">
        <v>4</v>
      </c>
      <c r="AY1025" s="1195">
        <f t="shared" si="55"/>
        <v>0</v>
      </c>
      <c r="AZ1025" s="1078">
        <v>0.02</v>
      </c>
    </row>
    <row r="1026" spans="1:52" ht="12.95" customHeight="1">
      <c r="A1026" s="13"/>
      <c r="B1026" s="58"/>
      <c r="C1026" s="1193"/>
      <c r="D1026" s="1303" t="s">
        <v>1681</v>
      </c>
      <c r="E1026" s="1304"/>
      <c r="F1026" s="1304"/>
      <c r="G1026" s="1304"/>
      <c r="H1026" s="1304"/>
      <c r="I1026" s="1304"/>
      <c r="J1026" s="1304"/>
      <c r="K1026" s="1304"/>
      <c r="L1026" s="1304"/>
      <c r="M1026" s="1304"/>
      <c r="N1026" s="1304"/>
      <c r="O1026" s="1304"/>
      <c r="P1026" s="1304"/>
      <c r="Q1026" s="1304"/>
      <c r="R1026" s="1304"/>
      <c r="S1026" s="1304"/>
      <c r="T1026" s="1304"/>
      <c r="U1026" s="1304"/>
      <c r="V1026" s="1304"/>
      <c r="W1026" s="1304"/>
      <c r="X1026" s="1304"/>
      <c r="Y1026" s="1304"/>
      <c r="Z1026" s="1304"/>
      <c r="AA1026" s="1304"/>
      <c r="AB1026" s="1304"/>
      <c r="AC1026" s="1304"/>
      <c r="AD1026" s="1304"/>
      <c r="AE1026" s="1305"/>
      <c r="AF1026" s="1316" t="str">
        <f>IF(AND(AG1025="Yes",AY1033=0),AY1036,"")</f>
        <v/>
      </c>
      <c r="AG1026" s="1317"/>
      <c r="AH1026" s="1317"/>
      <c r="AI1026" s="1318"/>
      <c r="AJ1026" s="1341"/>
      <c r="AK1026" s="1342"/>
      <c r="AL1026" s="1342"/>
      <c r="AM1026" s="1342"/>
      <c r="AN1026" s="1342"/>
      <c r="AO1026" s="1342"/>
      <c r="AP1026" s="1342"/>
      <c r="AQ1026" s="1343"/>
      <c r="AR1026" s="1182"/>
      <c r="AS1026" s="1182"/>
      <c r="AT1026" s="1182"/>
      <c r="AU1026" s="1182"/>
      <c r="AV1026" s="1182"/>
      <c r="AW1026" s="1182"/>
      <c r="AX1026" s="3">
        <v>5</v>
      </c>
      <c r="AY1026" s="1195">
        <f t="shared" si="55"/>
        <v>0</v>
      </c>
      <c r="AZ1026" s="1078">
        <v>0.04</v>
      </c>
    </row>
    <row r="1027" spans="1:52" ht="12.95" customHeight="1">
      <c r="A1027" s="13"/>
      <c r="B1027" s="58"/>
      <c r="C1027" s="1193"/>
      <c r="D1027" s="1303"/>
      <c r="E1027" s="1304"/>
      <c r="F1027" s="1304"/>
      <c r="G1027" s="1304"/>
      <c r="H1027" s="1304"/>
      <c r="I1027" s="1304"/>
      <c r="J1027" s="1304"/>
      <c r="K1027" s="1304"/>
      <c r="L1027" s="1304"/>
      <c r="M1027" s="1304"/>
      <c r="N1027" s="1304"/>
      <c r="O1027" s="1304"/>
      <c r="P1027" s="1304"/>
      <c r="Q1027" s="1304"/>
      <c r="R1027" s="1304"/>
      <c r="S1027" s="1304"/>
      <c r="T1027" s="1304"/>
      <c r="U1027" s="1304"/>
      <c r="V1027" s="1304"/>
      <c r="W1027" s="1304"/>
      <c r="X1027" s="1304"/>
      <c r="Y1027" s="1304"/>
      <c r="Z1027" s="1304"/>
      <c r="AA1027" s="1304"/>
      <c r="AB1027" s="1304"/>
      <c r="AC1027" s="1304"/>
      <c r="AD1027" s="1304"/>
      <c r="AE1027" s="1305"/>
      <c r="AF1027" s="1316"/>
      <c r="AG1027" s="1317"/>
      <c r="AH1027" s="1317"/>
      <c r="AI1027" s="1318"/>
      <c r="AJ1027" s="1341"/>
      <c r="AK1027" s="1342"/>
      <c r="AL1027" s="1342"/>
      <c r="AM1027" s="1342"/>
      <c r="AN1027" s="1342"/>
      <c r="AO1027" s="1342"/>
      <c r="AP1027" s="1342"/>
      <c r="AQ1027" s="1343"/>
      <c r="AR1027" s="1182"/>
      <c r="AS1027" s="1182"/>
      <c r="AT1027" s="1182"/>
      <c r="AU1027" s="1182"/>
      <c r="AV1027" s="1182"/>
      <c r="AW1027" s="1182"/>
      <c r="AX1027" s="3">
        <v>6</v>
      </c>
      <c r="AY1027" s="1195">
        <f t="shared" si="55"/>
        <v>0</v>
      </c>
      <c r="AZ1027" s="1078">
        <v>0.04</v>
      </c>
    </row>
    <row r="1028" spans="1:52" ht="12.95" customHeight="1">
      <c r="A1028" s="13"/>
      <c r="B1028" s="1196"/>
      <c r="C1028" s="1190"/>
      <c r="D1028" s="1491"/>
      <c r="E1028" s="1492"/>
      <c r="F1028" s="1492"/>
      <c r="G1028" s="1492"/>
      <c r="H1028" s="1492"/>
      <c r="I1028" s="1492"/>
      <c r="J1028" s="1492"/>
      <c r="K1028" s="1492"/>
      <c r="L1028" s="1492"/>
      <c r="M1028" s="1492"/>
      <c r="N1028" s="1492"/>
      <c r="O1028" s="1492"/>
      <c r="P1028" s="1492"/>
      <c r="Q1028" s="1492"/>
      <c r="R1028" s="1492"/>
      <c r="S1028" s="1492"/>
      <c r="T1028" s="1492"/>
      <c r="U1028" s="1492"/>
      <c r="V1028" s="1492"/>
      <c r="W1028" s="1492"/>
      <c r="X1028" s="1492"/>
      <c r="Y1028" s="1492"/>
      <c r="Z1028" s="1492"/>
      <c r="AA1028" s="1492"/>
      <c r="AB1028" s="1492"/>
      <c r="AC1028" s="1492"/>
      <c r="AD1028" s="1492"/>
      <c r="AE1028" s="1493"/>
      <c r="AF1028" s="1319"/>
      <c r="AG1028" s="1320"/>
      <c r="AH1028" s="1320"/>
      <c r="AI1028" s="1321"/>
      <c r="AJ1028" s="1344"/>
      <c r="AK1028" s="1345"/>
      <c r="AL1028" s="1345"/>
      <c r="AM1028" s="1345"/>
      <c r="AN1028" s="1345"/>
      <c r="AO1028" s="1345"/>
      <c r="AP1028" s="1345"/>
      <c r="AQ1028" s="1346"/>
      <c r="AR1028" s="1182"/>
      <c r="AS1028" s="1182"/>
      <c r="AT1028" s="1182"/>
      <c r="AU1028" s="1182"/>
      <c r="AV1028" s="1182"/>
      <c r="AW1028" s="1182"/>
      <c r="AX1028" s="3">
        <v>7</v>
      </c>
      <c r="AY1028" s="1195">
        <f t="shared" si="55"/>
        <v>0</v>
      </c>
      <c r="AZ1028" s="1078">
        <v>0.01</v>
      </c>
    </row>
    <row r="1029" spans="1:52" ht="12.95" customHeight="1">
      <c r="A1029" s="13"/>
      <c r="B1029" s="61"/>
      <c r="C1029" s="242" t="s">
        <v>1682</v>
      </c>
      <c r="D1029" s="1550" t="s">
        <v>1683</v>
      </c>
      <c r="E1029" s="1551"/>
      <c r="F1029" s="1551"/>
      <c r="G1029" s="1551"/>
      <c r="H1029" s="1551"/>
      <c r="I1029" s="1551"/>
      <c r="J1029" s="1551"/>
      <c r="K1029" s="1551"/>
      <c r="L1029" s="1551"/>
      <c r="M1029" s="1551"/>
      <c r="N1029" s="1551"/>
      <c r="O1029" s="1551"/>
      <c r="P1029" s="1551"/>
      <c r="Q1029" s="1551"/>
      <c r="R1029" s="1551"/>
      <c r="S1029" s="1551"/>
      <c r="T1029" s="1551"/>
      <c r="U1029" s="1551"/>
      <c r="V1029" s="1551"/>
      <c r="W1029" s="1551"/>
      <c r="X1029" s="1551"/>
      <c r="Y1029" s="1551"/>
      <c r="Z1029" s="1551"/>
      <c r="AA1029" s="1551"/>
      <c r="AB1029" s="1551"/>
      <c r="AC1029" s="1551"/>
      <c r="AD1029" s="1551"/>
      <c r="AE1029" s="1552"/>
      <c r="AF1029" s="61"/>
      <c r="AG1029" s="1502" t="s">
        <v>700</v>
      </c>
      <c r="AH1029" s="1503"/>
      <c r="AI1029" s="64"/>
      <c r="AJ1029" s="1338">
        <f>ROUND(IF(AND(AG1029="Yes",J1033&lt;&gt;"N/A",AF1032&lt;&gt;""),MIN(AF1032,(0.15*AJ1001)),0),0)</f>
        <v>0</v>
      </c>
      <c r="AK1029" s="1339"/>
      <c r="AL1029" s="1339"/>
      <c r="AM1029" s="1339"/>
      <c r="AN1029" s="1339"/>
      <c r="AO1029" s="1339"/>
      <c r="AP1029" s="1339"/>
      <c r="AQ1029" s="1340"/>
      <c r="AR1029" s="1182"/>
      <c r="AS1029" s="1182"/>
      <c r="AT1029" s="1182"/>
      <c r="AU1029" s="1182"/>
      <c r="AV1029" s="1182"/>
      <c r="AW1029" s="1182"/>
      <c r="AX1029" s="3">
        <v>8</v>
      </c>
      <c r="AY1029" s="1195">
        <f t="shared" si="55"/>
        <v>0</v>
      </c>
      <c r="AZ1029" s="1078">
        <v>0.01</v>
      </c>
    </row>
    <row r="1030" spans="1:52" ht="12.95" customHeight="1">
      <c r="A1030" s="13"/>
      <c r="B1030" s="1196"/>
      <c r="C1030" s="1197"/>
      <c r="D1030" s="1553"/>
      <c r="E1030" s="1554"/>
      <c r="F1030" s="1554"/>
      <c r="G1030" s="1554"/>
      <c r="H1030" s="1554"/>
      <c r="I1030" s="1554"/>
      <c r="J1030" s="1554"/>
      <c r="K1030" s="1554"/>
      <c r="L1030" s="1554"/>
      <c r="M1030" s="1554"/>
      <c r="N1030" s="1554"/>
      <c r="O1030" s="1554"/>
      <c r="P1030" s="1554"/>
      <c r="Q1030" s="1554"/>
      <c r="R1030" s="1554"/>
      <c r="S1030" s="1554"/>
      <c r="T1030" s="1554"/>
      <c r="U1030" s="1554"/>
      <c r="V1030" s="1554"/>
      <c r="W1030" s="1554"/>
      <c r="X1030" s="1554"/>
      <c r="Y1030" s="1554"/>
      <c r="Z1030" s="1554"/>
      <c r="AA1030" s="1554"/>
      <c r="AB1030" s="1554"/>
      <c r="AC1030" s="1554"/>
      <c r="AD1030" s="1554"/>
      <c r="AE1030" s="1555"/>
      <c r="AF1030" s="1513" t="str">
        <f>IF(AG1029="yes","Please Select Type and Enter Amount:","")</f>
        <v/>
      </c>
      <c r="AG1030" s="1514"/>
      <c r="AH1030" s="1514"/>
      <c r="AI1030" s="1515"/>
      <c r="AJ1030" s="1341"/>
      <c r="AK1030" s="1342"/>
      <c r="AL1030" s="1342"/>
      <c r="AM1030" s="1342"/>
      <c r="AN1030" s="1342"/>
      <c r="AO1030" s="1342"/>
      <c r="AP1030" s="1342"/>
      <c r="AQ1030" s="1343"/>
      <c r="AR1030" s="1182"/>
      <c r="AS1030" s="1182"/>
      <c r="AT1030" s="1182"/>
      <c r="AU1030" s="1182"/>
      <c r="AV1030" s="1182"/>
      <c r="AW1030" s="1182"/>
      <c r="AX1030" s="3">
        <v>9</v>
      </c>
      <c r="AY1030" s="1195">
        <f t="shared" si="55"/>
        <v>0</v>
      </c>
      <c r="AZ1030" s="1078">
        <v>0.01</v>
      </c>
    </row>
    <row r="1031" spans="1:52" ht="12.95" customHeight="1">
      <c r="A1031" s="13"/>
      <c r="B1031" s="1196"/>
      <c r="C1031" s="1197"/>
      <c r="D1031" s="1303" t="s">
        <v>1684</v>
      </c>
      <c r="E1031" s="1304"/>
      <c r="F1031" s="1304"/>
      <c r="G1031" s="1304"/>
      <c r="H1031" s="1304"/>
      <c r="I1031" s="1304"/>
      <c r="J1031" s="1304"/>
      <c r="K1031" s="1304"/>
      <c r="L1031" s="1304"/>
      <c r="M1031" s="1304"/>
      <c r="N1031" s="1304"/>
      <c r="O1031" s="1304"/>
      <c r="P1031" s="1304"/>
      <c r="Q1031" s="1304"/>
      <c r="R1031" s="1304"/>
      <c r="S1031" s="1304"/>
      <c r="T1031" s="1304"/>
      <c r="U1031" s="1304"/>
      <c r="V1031" s="1304"/>
      <c r="W1031" s="1304"/>
      <c r="X1031" s="1304"/>
      <c r="Y1031" s="1304"/>
      <c r="Z1031" s="1304"/>
      <c r="AA1031" s="1304"/>
      <c r="AB1031" s="1304"/>
      <c r="AC1031" s="1304"/>
      <c r="AD1031" s="1304"/>
      <c r="AE1031" s="1305"/>
      <c r="AF1031" s="1513"/>
      <c r="AG1031" s="1514"/>
      <c r="AH1031" s="1514"/>
      <c r="AI1031" s="1515"/>
      <c r="AJ1031" s="1341"/>
      <c r="AK1031" s="1342"/>
      <c r="AL1031" s="1342"/>
      <c r="AM1031" s="1342"/>
      <c r="AN1031" s="1342"/>
      <c r="AO1031" s="1342"/>
      <c r="AP1031" s="1342"/>
      <c r="AQ1031" s="1343"/>
      <c r="AR1031" s="1182"/>
      <c r="AS1031" s="1182"/>
      <c r="AT1031" s="1182"/>
      <c r="AU1031" s="1182"/>
      <c r="AV1031" s="1182"/>
      <c r="AW1031" s="1182"/>
      <c r="AX1031" s="3">
        <v>10</v>
      </c>
      <c r="AY1031" s="1195">
        <f t="shared" si="55"/>
        <v>0</v>
      </c>
      <c r="AZ1031" s="1078">
        <v>0.02</v>
      </c>
    </row>
    <row r="1032" spans="1:52" ht="12.95" customHeight="1">
      <c r="A1032" s="13"/>
      <c r="B1032" s="1196"/>
      <c r="C1032" s="1197"/>
      <c r="D1032" s="1303"/>
      <c r="E1032" s="1304"/>
      <c r="F1032" s="1304"/>
      <c r="G1032" s="1304"/>
      <c r="H1032" s="1304"/>
      <c r="I1032" s="1304"/>
      <c r="J1032" s="1304"/>
      <c r="K1032" s="1304"/>
      <c r="L1032" s="1304"/>
      <c r="M1032" s="1304"/>
      <c r="N1032" s="1304"/>
      <c r="O1032" s="1304"/>
      <c r="P1032" s="1304"/>
      <c r="Q1032" s="1304"/>
      <c r="R1032" s="1304"/>
      <c r="S1032" s="1304"/>
      <c r="T1032" s="1304"/>
      <c r="U1032" s="1304"/>
      <c r="V1032" s="1304"/>
      <c r="W1032" s="1304"/>
      <c r="X1032" s="1304"/>
      <c r="Y1032" s="1304"/>
      <c r="Z1032" s="1304"/>
      <c r="AA1032" s="1304"/>
      <c r="AB1032" s="1304"/>
      <c r="AC1032" s="1304"/>
      <c r="AD1032" s="1304"/>
      <c r="AE1032" s="1305"/>
      <c r="AF1032" s="1359"/>
      <c r="AG1032" s="1359"/>
      <c r="AH1032" s="1359"/>
      <c r="AI1032" s="1359"/>
      <c r="AJ1032" s="1341"/>
      <c r="AK1032" s="1342"/>
      <c r="AL1032" s="1342"/>
      <c r="AM1032" s="1342"/>
      <c r="AN1032" s="1342"/>
      <c r="AO1032" s="1342"/>
      <c r="AP1032" s="1342"/>
      <c r="AQ1032" s="1343"/>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1685</v>
      </c>
      <c r="E1033" s="66"/>
      <c r="F1033" s="66"/>
      <c r="G1033" s="788"/>
      <c r="H1033" s="788"/>
      <c r="I1033" s="41"/>
      <c r="J1033" s="1516" t="s">
        <v>822</v>
      </c>
      <c r="K1033" s="1517"/>
      <c r="L1033" s="1517"/>
      <c r="M1033" s="1517"/>
      <c r="N1033" s="1517"/>
      <c r="O1033" s="1517"/>
      <c r="P1033" s="1517"/>
      <c r="Q1033" s="1517"/>
      <c r="R1033" s="1517"/>
      <c r="S1033" s="1517"/>
      <c r="T1033" s="1517"/>
      <c r="U1033" s="1517"/>
      <c r="V1033" s="1517"/>
      <c r="W1033" s="1517"/>
      <c r="X1033" s="1517"/>
      <c r="Y1033" s="1517"/>
      <c r="Z1033" s="1517"/>
      <c r="AA1033" s="1517"/>
      <c r="AB1033" s="1517"/>
      <c r="AC1033" s="1517"/>
      <c r="AD1033" s="1517"/>
      <c r="AE1033" s="1518"/>
      <c r="AF1033" s="1359"/>
      <c r="AG1033" s="1359"/>
      <c r="AH1033" s="1359"/>
      <c r="AI1033" s="1359"/>
      <c r="AJ1033" s="1344"/>
      <c r="AK1033" s="1345"/>
      <c r="AL1033" s="1345"/>
      <c r="AM1033" s="1345"/>
      <c r="AN1033" s="1345"/>
      <c r="AO1033" s="1345"/>
      <c r="AP1033" s="1345"/>
      <c r="AQ1033" s="1346"/>
      <c r="AR1033" s="1182"/>
      <c r="AS1033" s="1182"/>
      <c r="AT1033" s="1182"/>
      <c r="AU1033" s="1182"/>
      <c r="AV1033" s="1182"/>
      <c r="AW1033" s="1182"/>
      <c r="AX1033" s="918" t="s">
        <v>1686</v>
      </c>
      <c r="AY1033" s="1198">
        <f>IF(SUM(AY1022:AY1032)&lt;=0.2,SUM(AY1022:AY1032),0.2)</f>
        <v>0</v>
      </c>
    </row>
    <row r="1034" spans="1:52" ht="12.95" customHeight="1">
      <c r="A1034" s="13"/>
      <c r="B1034" s="61"/>
      <c r="C1034" s="242" t="s">
        <v>1687</v>
      </c>
      <c r="D1034" s="1300" t="s">
        <v>1688</v>
      </c>
      <c r="E1034" s="1301"/>
      <c r="F1034" s="1301"/>
      <c r="G1034" s="1301"/>
      <c r="H1034" s="1301"/>
      <c r="I1034" s="1301"/>
      <c r="J1034" s="1301"/>
      <c r="K1034" s="1301"/>
      <c r="L1034" s="1301"/>
      <c r="M1034" s="1301"/>
      <c r="N1034" s="1301"/>
      <c r="O1034" s="1301"/>
      <c r="P1034" s="1301"/>
      <c r="Q1034" s="1301"/>
      <c r="R1034" s="1301"/>
      <c r="S1034" s="1301"/>
      <c r="T1034" s="1301"/>
      <c r="U1034" s="1301"/>
      <c r="V1034" s="1301"/>
      <c r="W1034" s="1301"/>
      <c r="X1034" s="1301"/>
      <c r="Y1034" s="1301"/>
      <c r="Z1034" s="1301"/>
      <c r="AA1034" s="1301"/>
      <c r="AB1034" s="1301"/>
      <c r="AC1034" s="1301"/>
      <c r="AD1034" s="1301"/>
      <c r="AE1034" s="1302"/>
      <c r="AF1034" s="61"/>
      <c r="AG1034" s="1502" t="s">
        <v>700</v>
      </c>
      <c r="AH1034" s="1503"/>
      <c r="AI1034" s="64"/>
      <c r="AJ1034" s="1338">
        <f>ROUND(IF(AG1034="Yes",AF1036,0),0)</f>
        <v>0</v>
      </c>
      <c r="AK1034" s="1339"/>
      <c r="AL1034" s="1339"/>
      <c r="AM1034" s="1339"/>
      <c r="AN1034" s="1339"/>
      <c r="AO1034" s="1339"/>
      <c r="AP1034" s="1339"/>
      <c r="AQ1034" s="1340"/>
      <c r="AR1034" s="1182"/>
      <c r="AS1034" s="1182"/>
      <c r="AT1034" s="1182"/>
      <c r="AU1034" s="1182"/>
      <c r="AV1034" s="1182"/>
      <c r="AW1034" s="1182"/>
      <c r="AX1034" s="1182"/>
      <c r="AY1034" s="1182"/>
    </row>
    <row r="1035" spans="1:52" ht="12.95" customHeight="1">
      <c r="A1035" s="13"/>
      <c r="B1035" s="58"/>
      <c r="C1035" s="1193"/>
      <c r="D1035" s="1303" t="s">
        <v>1689</v>
      </c>
      <c r="E1035" s="1304"/>
      <c r="F1035" s="1304"/>
      <c r="G1035" s="1304"/>
      <c r="H1035" s="1304"/>
      <c r="I1035" s="1304"/>
      <c r="J1035" s="1304"/>
      <c r="K1035" s="1304"/>
      <c r="L1035" s="1304"/>
      <c r="M1035" s="1304"/>
      <c r="N1035" s="1304"/>
      <c r="O1035" s="1304"/>
      <c r="P1035" s="1304"/>
      <c r="Q1035" s="1304"/>
      <c r="R1035" s="1304"/>
      <c r="S1035" s="1304"/>
      <c r="T1035" s="1304"/>
      <c r="U1035" s="1304"/>
      <c r="V1035" s="1304"/>
      <c r="W1035" s="1304"/>
      <c r="X1035" s="1304"/>
      <c r="Y1035" s="1304"/>
      <c r="Z1035" s="1304"/>
      <c r="AA1035" s="1304"/>
      <c r="AB1035" s="1304"/>
      <c r="AC1035" s="1304"/>
      <c r="AD1035" s="1304"/>
      <c r="AE1035" s="1305"/>
      <c r="AF1035" s="1496" t="str">
        <f>IF(AG1034="yes","Enter Amount:","")</f>
        <v/>
      </c>
      <c r="AG1035" s="1497"/>
      <c r="AH1035" s="1497"/>
      <c r="AI1035" s="1498"/>
      <c r="AJ1035" s="1341"/>
      <c r="AK1035" s="1342"/>
      <c r="AL1035" s="1342"/>
      <c r="AM1035" s="1342"/>
      <c r="AN1035" s="1342"/>
      <c r="AO1035" s="1342"/>
      <c r="AP1035" s="1342"/>
      <c r="AQ1035" s="1343"/>
      <c r="AR1035" s="1182"/>
      <c r="AS1035" s="1182"/>
      <c r="AT1035" s="1182"/>
      <c r="AU1035" s="1182"/>
      <c r="AV1035" s="1182"/>
      <c r="AW1035" s="1182"/>
      <c r="AX1035" s="1182"/>
      <c r="AY1035" s="1182"/>
    </row>
    <row r="1036" spans="1:52" ht="12.95" customHeight="1">
      <c r="A1036" s="13"/>
      <c r="B1036" s="58"/>
      <c r="C1036" s="1193"/>
      <c r="D1036" s="1303"/>
      <c r="E1036" s="1304"/>
      <c r="F1036" s="1304"/>
      <c r="G1036" s="1304"/>
      <c r="H1036" s="1304"/>
      <c r="I1036" s="1304"/>
      <c r="J1036" s="1304"/>
      <c r="K1036" s="1304"/>
      <c r="L1036" s="1304"/>
      <c r="M1036" s="1304"/>
      <c r="N1036" s="1304"/>
      <c r="O1036" s="1304"/>
      <c r="P1036" s="1304"/>
      <c r="Q1036" s="1304"/>
      <c r="R1036" s="1304"/>
      <c r="S1036" s="1304"/>
      <c r="T1036" s="1304"/>
      <c r="U1036" s="1304"/>
      <c r="V1036" s="1304"/>
      <c r="W1036" s="1304"/>
      <c r="X1036" s="1304"/>
      <c r="Y1036" s="1304"/>
      <c r="Z1036" s="1304"/>
      <c r="AA1036" s="1304"/>
      <c r="AB1036" s="1304"/>
      <c r="AC1036" s="1304"/>
      <c r="AD1036" s="1304"/>
      <c r="AE1036" s="1305"/>
      <c r="AF1036" s="1359"/>
      <c r="AG1036" s="1359"/>
      <c r="AH1036" s="1359"/>
      <c r="AI1036" s="1359"/>
      <c r="AJ1036" s="1341"/>
      <c r="AK1036" s="1342"/>
      <c r="AL1036" s="1342"/>
      <c r="AM1036" s="1342"/>
      <c r="AN1036" s="1342"/>
      <c r="AO1036" s="1342"/>
      <c r="AP1036" s="1342"/>
      <c r="AQ1036" s="1343"/>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491"/>
      <c r="E1037" s="1492"/>
      <c r="F1037" s="1492"/>
      <c r="G1037" s="1492"/>
      <c r="H1037" s="1492"/>
      <c r="I1037" s="1492"/>
      <c r="J1037" s="1492"/>
      <c r="K1037" s="1492"/>
      <c r="L1037" s="1492"/>
      <c r="M1037" s="1492"/>
      <c r="N1037" s="1492"/>
      <c r="O1037" s="1492"/>
      <c r="P1037" s="1492"/>
      <c r="Q1037" s="1492"/>
      <c r="R1037" s="1492"/>
      <c r="S1037" s="1492"/>
      <c r="T1037" s="1492"/>
      <c r="U1037" s="1492"/>
      <c r="V1037" s="1492"/>
      <c r="W1037" s="1492"/>
      <c r="X1037" s="1492"/>
      <c r="Y1037" s="1492"/>
      <c r="Z1037" s="1492"/>
      <c r="AA1037" s="1492"/>
      <c r="AB1037" s="1492"/>
      <c r="AC1037" s="1492"/>
      <c r="AD1037" s="1492"/>
      <c r="AE1037" s="1493"/>
      <c r="AF1037" s="1359"/>
      <c r="AG1037" s="1359"/>
      <c r="AH1037" s="1359"/>
      <c r="AI1037" s="1359"/>
      <c r="AJ1037" s="1344"/>
      <c r="AK1037" s="1345"/>
      <c r="AL1037" s="1345"/>
      <c r="AM1037" s="1345"/>
      <c r="AN1037" s="1345"/>
      <c r="AO1037" s="1345"/>
      <c r="AP1037" s="1345"/>
      <c r="AQ1037" s="1346"/>
      <c r="AR1037" s="1182"/>
      <c r="AS1037" s="1182"/>
      <c r="AT1037" s="1182"/>
      <c r="AU1037" s="1182"/>
      <c r="AV1037" s="1182"/>
      <c r="AW1037" s="1182"/>
      <c r="AX1037" s="1182"/>
      <c r="AY1037" s="1182"/>
    </row>
    <row r="1038" spans="1:52" ht="12.95" customHeight="1">
      <c r="A1038" s="13"/>
      <c r="B1038" s="61"/>
      <c r="C1038" s="242" t="s">
        <v>1690</v>
      </c>
      <c r="D1038" s="1510" t="s">
        <v>1691</v>
      </c>
      <c r="E1038" s="1511"/>
      <c r="F1038" s="1511"/>
      <c r="G1038" s="1511"/>
      <c r="H1038" s="1511"/>
      <c r="I1038" s="1511"/>
      <c r="J1038" s="1511"/>
      <c r="K1038" s="1511"/>
      <c r="L1038" s="1511"/>
      <c r="M1038" s="1511"/>
      <c r="N1038" s="1511"/>
      <c r="O1038" s="1511"/>
      <c r="P1038" s="1511"/>
      <c r="Q1038" s="1511"/>
      <c r="R1038" s="1511"/>
      <c r="S1038" s="1511"/>
      <c r="T1038" s="1511"/>
      <c r="U1038" s="1511"/>
      <c r="V1038" s="1511"/>
      <c r="W1038" s="1511"/>
      <c r="X1038" s="1511"/>
      <c r="Y1038" s="1511"/>
      <c r="Z1038" s="1511"/>
      <c r="AA1038" s="1511"/>
      <c r="AB1038" s="1511"/>
      <c r="AC1038" s="1511"/>
      <c r="AD1038" s="1511"/>
      <c r="AE1038" s="1512"/>
      <c r="AF1038" s="61"/>
      <c r="AG1038" s="1502" t="s">
        <v>857</v>
      </c>
      <c r="AH1038" s="1503"/>
      <c r="AI1038" s="64"/>
      <c r="AJ1038" s="1338">
        <f>ROUND(IF(AG1038="yes",(AJ1001*0.1),0),0)</f>
        <v>3607261</v>
      </c>
      <c r="AK1038" s="1339"/>
      <c r="AL1038" s="1339"/>
      <c r="AM1038" s="1339"/>
      <c r="AN1038" s="1339"/>
      <c r="AO1038" s="1339"/>
      <c r="AP1038" s="1339"/>
      <c r="AQ1038" s="1340"/>
      <c r="AR1038" s="1182"/>
      <c r="AS1038" s="1182"/>
      <c r="AT1038" s="1182"/>
      <c r="AU1038" s="1182"/>
      <c r="AV1038" s="1182"/>
      <c r="AW1038" s="1182"/>
      <c r="AX1038" s="1182"/>
      <c r="AY1038" s="1182"/>
    </row>
    <row r="1039" spans="1:52" ht="12.95" customHeight="1">
      <c r="A1039" s="13"/>
      <c r="B1039" s="58"/>
      <c r="C1039" s="1193"/>
      <c r="D1039" s="1303" t="s">
        <v>1692</v>
      </c>
      <c r="E1039" s="1304"/>
      <c r="F1039" s="1304"/>
      <c r="G1039" s="1304"/>
      <c r="H1039" s="1304"/>
      <c r="I1039" s="1304"/>
      <c r="J1039" s="1304"/>
      <c r="K1039" s="1304"/>
      <c r="L1039" s="1304"/>
      <c r="M1039" s="1304"/>
      <c r="N1039" s="1304"/>
      <c r="O1039" s="1304"/>
      <c r="P1039" s="1304"/>
      <c r="Q1039" s="1304"/>
      <c r="R1039" s="1304"/>
      <c r="S1039" s="1304"/>
      <c r="T1039" s="1304"/>
      <c r="U1039" s="1304"/>
      <c r="V1039" s="1304"/>
      <c r="W1039" s="1304"/>
      <c r="X1039" s="1304"/>
      <c r="Y1039" s="1304"/>
      <c r="Z1039" s="1304"/>
      <c r="AA1039" s="1304"/>
      <c r="AB1039" s="1304"/>
      <c r="AC1039" s="1304"/>
      <c r="AD1039" s="1304"/>
      <c r="AE1039" s="1305"/>
      <c r="AF1039" s="58"/>
      <c r="AG1039" s="13"/>
      <c r="AH1039" s="13"/>
      <c r="AI1039" s="62"/>
      <c r="AJ1039" s="1341"/>
      <c r="AK1039" s="1342"/>
      <c r="AL1039" s="1342"/>
      <c r="AM1039" s="1342"/>
      <c r="AN1039" s="1342"/>
      <c r="AO1039" s="1342"/>
      <c r="AP1039" s="1342"/>
      <c r="AQ1039" s="1343"/>
      <c r="AR1039" s="1182"/>
      <c r="AS1039" s="1182"/>
      <c r="AT1039" s="1182"/>
      <c r="AU1039" s="1182"/>
      <c r="AV1039" s="1182"/>
      <c r="AW1039" s="1182"/>
      <c r="AX1039" s="1182"/>
      <c r="AY1039" s="1182"/>
    </row>
    <row r="1040" spans="1:52" ht="12.95" customHeight="1">
      <c r="A1040" s="13"/>
      <c r="B1040" s="59"/>
      <c r="C1040" s="1193"/>
      <c r="D1040" s="1491"/>
      <c r="E1040" s="1492"/>
      <c r="F1040" s="1492"/>
      <c r="G1040" s="1492"/>
      <c r="H1040" s="1492"/>
      <c r="I1040" s="1492"/>
      <c r="J1040" s="1492"/>
      <c r="K1040" s="1492"/>
      <c r="L1040" s="1492"/>
      <c r="M1040" s="1492"/>
      <c r="N1040" s="1492"/>
      <c r="O1040" s="1492"/>
      <c r="P1040" s="1492"/>
      <c r="Q1040" s="1492"/>
      <c r="R1040" s="1492"/>
      <c r="S1040" s="1492"/>
      <c r="T1040" s="1492"/>
      <c r="U1040" s="1492"/>
      <c r="V1040" s="1492"/>
      <c r="W1040" s="1492"/>
      <c r="X1040" s="1492"/>
      <c r="Y1040" s="1492"/>
      <c r="Z1040" s="1492"/>
      <c r="AA1040" s="1492"/>
      <c r="AB1040" s="1492"/>
      <c r="AC1040" s="1492"/>
      <c r="AD1040" s="1492"/>
      <c r="AE1040" s="1493"/>
      <c r="AF1040" s="58"/>
      <c r="AG1040" s="13"/>
      <c r="AH1040" s="13"/>
      <c r="AI1040" s="62"/>
      <c r="AJ1040" s="1344"/>
      <c r="AK1040" s="1345"/>
      <c r="AL1040" s="1345"/>
      <c r="AM1040" s="1345"/>
      <c r="AN1040" s="1345"/>
      <c r="AO1040" s="1345"/>
      <c r="AP1040" s="1345"/>
      <c r="AQ1040" s="1346"/>
      <c r="AR1040" s="1182"/>
      <c r="AS1040" s="1182"/>
      <c r="AT1040" s="1182"/>
      <c r="AU1040" s="1182"/>
      <c r="AV1040" s="1182"/>
      <c r="AW1040" s="1182"/>
      <c r="AX1040" s="1182"/>
      <c r="AY1040" s="1182"/>
    </row>
    <row r="1041" spans="1:57" ht="12.95" customHeight="1">
      <c r="A1041" s="13"/>
      <c r="B1041" s="58"/>
      <c r="C1041" s="242" t="s">
        <v>22</v>
      </c>
      <c r="D1041" s="1300" t="s">
        <v>1693</v>
      </c>
      <c r="E1041" s="1301"/>
      <c r="F1041" s="1301"/>
      <c r="G1041" s="1301"/>
      <c r="H1041" s="1301"/>
      <c r="I1041" s="1301"/>
      <c r="J1041" s="1301"/>
      <c r="K1041" s="1301"/>
      <c r="L1041" s="1301"/>
      <c r="M1041" s="1301"/>
      <c r="N1041" s="1301"/>
      <c r="O1041" s="1301"/>
      <c r="P1041" s="1301"/>
      <c r="Q1041" s="1301"/>
      <c r="R1041" s="1301"/>
      <c r="S1041" s="1301"/>
      <c r="T1041" s="1301"/>
      <c r="U1041" s="1301"/>
      <c r="V1041" s="1301"/>
      <c r="W1041" s="1301"/>
      <c r="X1041" s="1301"/>
      <c r="Y1041" s="1301"/>
      <c r="Z1041" s="1301"/>
      <c r="AA1041" s="1301"/>
      <c r="AB1041" s="1301"/>
      <c r="AC1041" s="1301"/>
      <c r="AD1041" s="1301"/>
      <c r="AE1041" s="1302"/>
      <c r="AF1041" s="61"/>
      <c r="AG1041" s="1502" t="s">
        <v>700</v>
      </c>
      <c r="AH1041" s="1503"/>
      <c r="AI1041" s="64"/>
      <c r="AJ1041" s="1338">
        <f>ROUND(IF(AG1041="yes",(AJ1001*0.15),0),0)</f>
        <v>0</v>
      </c>
      <c r="AK1041" s="1339"/>
      <c r="AL1041" s="1339"/>
      <c r="AM1041" s="1339"/>
      <c r="AN1041" s="1339"/>
      <c r="AO1041" s="1339"/>
      <c r="AP1041" s="1339"/>
      <c r="AQ1041" s="1340"/>
      <c r="AR1041" s="1182"/>
      <c r="AS1041" s="1182"/>
      <c r="AT1041" s="1182"/>
      <c r="AU1041" s="1182"/>
      <c r="AV1041" s="1182"/>
      <c r="AW1041" s="1182"/>
      <c r="AX1041" s="1182"/>
      <c r="AY1041" s="1182"/>
    </row>
    <row r="1042" spans="1:57" ht="12.95" customHeight="1">
      <c r="A1042" s="13"/>
      <c r="B1042" s="58"/>
      <c r="C1042" s="1193"/>
      <c r="D1042" s="1545" t="s">
        <v>1694</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546"/>
      <c r="AF1042" s="807"/>
      <c r="AG1042" s="808"/>
      <c r="AH1042" s="808"/>
      <c r="AI1042" s="809"/>
      <c r="AJ1042" s="1341"/>
      <c r="AK1042" s="1342"/>
      <c r="AL1042" s="1342"/>
      <c r="AM1042" s="1342"/>
      <c r="AN1042" s="1342"/>
      <c r="AO1042" s="1342"/>
      <c r="AP1042" s="1342"/>
      <c r="AQ1042" s="1343"/>
      <c r="AR1042" s="1182"/>
      <c r="AS1042" s="1182"/>
      <c r="AT1042" s="1182"/>
      <c r="AU1042" s="1182"/>
      <c r="AV1042" s="1182"/>
      <c r="AW1042" s="1182"/>
      <c r="AX1042" s="1182"/>
      <c r="AY1042" s="1182"/>
    </row>
    <row r="1043" spans="1:57" ht="12.95" customHeight="1">
      <c r="A1043" s="13"/>
      <c r="B1043" s="58"/>
      <c r="C1043" s="1193"/>
      <c r="D1043" s="1545"/>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546"/>
      <c r="AF1043" s="807"/>
      <c r="AG1043" s="808"/>
      <c r="AH1043" s="808"/>
      <c r="AI1043" s="809"/>
      <c r="AJ1043" s="1341"/>
      <c r="AK1043" s="1342"/>
      <c r="AL1043" s="1342"/>
      <c r="AM1043" s="1342"/>
      <c r="AN1043" s="1342"/>
      <c r="AO1043" s="1342"/>
      <c r="AP1043" s="1342"/>
      <c r="AQ1043" s="1343"/>
      <c r="AR1043" s="1182"/>
      <c r="AS1043" s="1182"/>
      <c r="AT1043" s="1182"/>
      <c r="AU1043" s="1182"/>
      <c r="AV1043" s="1182"/>
      <c r="AW1043" s="1182"/>
      <c r="AX1043" s="1182"/>
      <c r="AY1043" s="1182"/>
    </row>
    <row r="1044" spans="1:57" ht="12.95" customHeight="1">
      <c r="A1044" s="13"/>
      <c r="B1044" s="58"/>
      <c r="C1044" s="1193"/>
      <c r="D1044" s="1547"/>
      <c r="E1044" s="1548"/>
      <c r="F1044" s="1548"/>
      <c r="G1044" s="1548"/>
      <c r="H1044" s="1548"/>
      <c r="I1044" s="1548"/>
      <c r="J1044" s="1548"/>
      <c r="K1044" s="1548"/>
      <c r="L1044" s="1548"/>
      <c r="M1044" s="1548"/>
      <c r="N1044" s="1548"/>
      <c r="O1044" s="1548"/>
      <c r="P1044" s="1548"/>
      <c r="Q1044" s="1548"/>
      <c r="R1044" s="1548"/>
      <c r="S1044" s="1548"/>
      <c r="T1044" s="1548"/>
      <c r="U1044" s="1548"/>
      <c r="V1044" s="1548"/>
      <c r="W1044" s="1548"/>
      <c r="X1044" s="1548"/>
      <c r="Y1044" s="1548"/>
      <c r="Z1044" s="1548"/>
      <c r="AA1044" s="1548"/>
      <c r="AB1044" s="1548"/>
      <c r="AC1044" s="1548"/>
      <c r="AD1044" s="1548"/>
      <c r="AE1044" s="1549"/>
      <c r="AF1044" s="810"/>
      <c r="AG1044" s="811"/>
      <c r="AH1044" s="811"/>
      <c r="AI1044" s="812"/>
      <c r="AJ1044" s="1344"/>
      <c r="AK1044" s="1345"/>
      <c r="AL1044" s="1345"/>
      <c r="AM1044" s="1345"/>
      <c r="AN1044" s="1345"/>
      <c r="AO1044" s="1345"/>
      <c r="AP1044" s="1345"/>
      <c r="AQ1044" s="1346"/>
      <c r="AR1044" s="1182"/>
      <c r="AS1044" s="1182"/>
      <c r="AT1044" s="1182"/>
      <c r="AU1044" s="1182"/>
      <c r="AV1044" s="1182"/>
      <c r="AW1044" s="1182"/>
      <c r="AX1044" s="1182"/>
      <c r="AY1044" s="1182"/>
    </row>
    <row r="1045" spans="1:57" ht="12.95" customHeight="1">
      <c r="A1045" s="13"/>
      <c r="B1045" s="58"/>
      <c r="C1045" s="242" t="s">
        <v>22</v>
      </c>
      <c r="D1045" s="1510" t="s">
        <v>1695</v>
      </c>
      <c r="E1045" s="1511"/>
      <c r="F1045" s="1511"/>
      <c r="G1045" s="1511"/>
      <c r="H1045" s="1511"/>
      <c r="I1045" s="1511"/>
      <c r="J1045" s="1511"/>
      <c r="K1045" s="1511"/>
      <c r="L1045" s="1511"/>
      <c r="M1045" s="1511"/>
      <c r="N1045" s="1511"/>
      <c r="O1045" s="1511"/>
      <c r="P1045" s="1511"/>
      <c r="Q1045" s="1511"/>
      <c r="R1045" s="1511"/>
      <c r="S1045" s="1511"/>
      <c r="T1045" s="1511"/>
      <c r="U1045" s="1511"/>
      <c r="V1045" s="1511"/>
      <c r="W1045" s="1511"/>
      <c r="X1045" s="1511"/>
      <c r="Y1045" s="1511"/>
      <c r="Z1045" s="1511"/>
      <c r="AA1045" s="1511"/>
      <c r="AB1045" s="1511"/>
      <c r="AC1045" s="1511"/>
      <c r="AD1045" s="1511"/>
      <c r="AE1045" s="1512"/>
      <c r="AF1045" s="58"/>
      <c r="AG1045" s="1531" t="s">
        <v>857</v>
      </c>
      <c r="AH1045" s="1532"/>
      <c r="AI1045" s="62"/>
      <c r="AJ1045" s="1338">
        <f>ROUND(IF(AND(AG1045="yes",AJ1041=0),(AJ1001*0.1),0),0)</f>
        <v>3607261</v>
      </c>
      <c r="AK1045" s="1339"/>
      <c r="AL1045" s="1339"/>
      <c r="AM1045" s="1339"/>
      <c r="AN1045" s="1339"/>
      <c r="AO1045" s="1339"/>
      <c r="AP1045" s="1339"/>
      <c r="AQ1045" s="1340"/>
      <c r="AR1045" s="1182"/>
      <c r="AS1045" s="1182"/>
      <c r="AT1045" s="1182"/>
      <c r="AU1045" s="1182"/>
      <c r="AV1045" s="1182"/>
      <c r="AW1045" s="1182"/>
      <c r="AX1045" s="1182"/>
      <c r="AY1045" s="1182"/>
    </row>
    <row r="1046" spans="1:57" ht="12.95" customHeight="1">
      <c r="A1046" s="13"/>
      <c r="B1046" s="58"/>
      <c r="C1046" s="1193"/>
      <c r="D1046" s="1545" t="s">
        <v>1696</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546"/>
      <c r="AF1046" s="58"/>
      <c r="AG1046" s="13"/>
      <c r="AH1046" s="13"/>
      <c r="AI1046" s="62"/>
      <c r="AJ1046" s="1341"/>
      <c r="AK1046" s="1342"/>
      <c r="AL1046" s="1342"/>
      <c r="AM1046" s="1342"/>
      <c r="AN1046" s="1342"/>
      <c r="AO1046" s="1342"/>
      <c r="AP1046" s="1342"/>
      <c r="AQ1046" s="1343"/>
      <c r="AR1046" s="1182"/>
      <c r="AS1046" s="1182"/>
      <c r="AT1046" s="1182"/>
      <c r="AU1046" s="1182"/>
      <c r="AV1046" s="1182"/>
      <c r="AW1046" s="1182"/>
      <c r="AX1046" s="1182"/>
      <c r="AY1046" s="1182"/>
    </row>
    <row r="1047" spans="1:57" ht="12.95" customHeight="1">
      <c r="A1047" s="13"/>
      <c r="B1047" s="58"/>
      <c r="C1047" s="1193"/>
      <c r="D1047" s="1545"/>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546"/>
      <c r="AF1047" s="58"/>
      <c r="AG1047" s="13"/>
      <c r="AH1047" s="13"/>
      <c r="AI1047" s="62"/>
      <c r="AJ1047" s="1341"/>
      <c r="AK1047" s="1342"/>
      <c r="AL1047" s="1342"/>
      <c r="AM1047" s="1342"/>
      <c r="AN1047" s="1342"/>
      <c r="AO1047" s="1342"/>
      <c r="AP1047" s="1342"/>
      <c r="AQ1047" s="1343"/>
      <c r="AR1047" s="1182"/>
      <c r="AS1047" s="1182"/>
      <c r="AT1047" s="1182"/>
      <c r="AU1047" s="1182"/>
      <c r="AV1047" s="1182"/>
      <c r="AW1047" s="1182"/>
      <c r="AX1047" s="1182"/>
      <c r="AY1047" s="1182"/>
      <c r="BA1047" s="1065">
        <f>IFERROR(('Sources and Uses Budget'!$C$17+'Sources and Uses Budget'!$C$18+'Sources and Uses Budget'!$C$22)/$AG$446,0)</f>
        <v>0</v>
      </c>
      <c r="BB1047" s="1065" t="s">
        <v>1697</v>
      </c>
      <c r="BC1047" s="1065"/>
      <c r="BD1047" s="1065"/>
      <c r="BE1047" s="1065"/>
    </row>
    <row r="1048" spans="1:57" ht="12.95" customHeight="1">
      <c r="A1048" s="13"/>
      <c r="B1048" s="58"/>
      <c r="C1048" s="1193"/>
      <c r="D1048" s="1545"/>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546"/>
      <c r="AF1048" s="58"/>
      <c r="AG1048" s="13"/>
      <c r="AH1048" s="13"/>
      <c r="AI1048" s="62"/>
      <c r="AJ1048" s="1341"/>
      <c r="AK1048" s="1342"/>
      <c r="AL1048" s="1342"/>
      <c r="AM1048" s="1342"/>
      <c r="AN1048" s="1342"/>
      <c r="AO1048" s="1342"/>
      <c r="AP1048" s="1342"/>
      <c r="AQ1048" s="1343"/>
      <c r="AR1048" s="1182"/>
      <c r="AS1048" s="1182"/>
      <c r="AT1048" s="1182"/>
      <c r="AU1048" s="1182"/>
      <c r="AV1048" s="1182"/>
      <c r="AW1048" s="1182"/>
      <c r="AX1048" s="1182"/>
      <c r="AY1048" s="1182"/>
      <c r="BA1048">
        <f>IFERROR((($CI$761+$CM$761)/$AG$449),0)</f>
        <v>0.61445783132530118</v>
      </c>
      <c r="BB1048" s="3" t="s">
        <v>1698</v>
      </c>
    </row>
    <row r="1049" spans="1:57" ht="12.95" customHeight="1">
      <c r="A1049" s="13"/>
      <c r="B1049" s="58"/>
      <c r="C1049" s="1193"/>
      <c r="D1049" s="1547"/>
      <c r="E1049" s="1548"/>
      <c r="F1049" s="1548"/>
      <c r="G1049" s="1548"/>
      <c r="H1049" s="1548"/>
      <c r="I1049" s="1548"/>
      <c r="J1049" s="1548"/>
      <c r="K1049" s="1548"/>
      <c r="L1049" s="1548"/>
      <c r="M1049" s="1548"/>
      <c r="N1049" s="1548"/>
      <c r="O1049" s="1548"/>
      <c r="P1049" s="1548"/>
      <c r="Q1049" s="1548"/>
      <c r="R1049" s="1548"/>
      <c r="S1049" s="1548"/>
      <c r="T1049" s="1548"/>
      <c r="U1049" s="1548"/>
      <c r="V1049" s="1548"/>
      <c r="W1049" s="1548"/>
      <c r="X1049" s="1548"/>
      <c r="Y1049" s="1548"/>
      <c r="Z1049" s="1548"/>
      <c r="AA1049" s="1548"/>
      <c r="AB1049" s="1548"/>
      <c r="AC1049" s="1548"/>
      <c r="AD1049" s="1548"/>
      <c r="AE1049" s="1549"/>
      <c r="AF1049" s="58"/>
      <c r="AG1049" s="13"/>
      <c r="AH1049" s="13"/>
      <c r="AI1049" s="62"/>
      <c r="AJ1049" s="1341"/>
      <c r="AK1049" s="1342"/>
      <c r="AL1049" s="1342"/>
      <c r="AM1049" s="1342"/>
      <c r="AN1049" s="1342"/>
      <c r="AO1049" s="1342"/>
      <c r="AP1049" s="1342"/>
      <c r="AQ1049" s="1343"/>
      <c r="AR1049" s="1182"/>
      <c r="AS1049" s="1182"/>
      <c r="AT1049" s="1182"/>
      <c r="AU1049" s="1182"/>
      <c r="AV1049" s="1182"/>
      <c r="AW1049" s="1182"/>
      <c r="AX1049" s="1182"/>
      <c r="AY1049" s="1182"/>
      <c r="BA1049" t="b">
        <f>'Points System'!AJ163="Yes"</f>
        <v>0</v>
      </c>
      <c r="BB1049" s="3" t="s">
        <v>1699</v>
      </c>
    </row>
    <row r="1050" spans="1:57" ht="12.95" customHeight="1">
      <c r="A1050" s="13"/>
      <c r="B1050" s="61"/>
      <c r="C1050" s="96" t="s">
        <v>1700</v>
      </c>
      <c r="D1050" s="1300" t="s">
        <v>1701</v>
      </c>
      <c r="E1050" s="1301"/>
      <c r="F1050" s="1301"/>
      <c r="G1050" s="1301"/>
      <c r="H1050" s="1301"/>
      <c r="I1050" s="1301"/>
      <c r="J1050" s="1301"/>
      <c r="K1050" s="1301"/>
      <c r="L1050" s="1301"/>
      <c r="M1050" s="1301"/>
      <c r="N1050" s="1301"/>
      <c r="O1050" s="1301"/>
      <c r="P1050" s="1301"/>
      <c r="Q1050" s="1301"/>
      <c r="R1050" s="1301"/>
      <c r="S1050" s="1301"/>
      <c r="T1050" s="1301"/>
      <c r="U1050" s="1301"/>
      <c r="V1050" s="1301"/>
      <c r="W1050" s="1301"/>
      <c r="X1050" s="1301"/>
      <c r="Y1050" s="1301"/>
      <c r="Z1050" s="1301"/>
      <c r="AA1050" s="1301"/>
      <c r="AB1050" s="1301"/>
      <c r="AC1050" s="1301"/>
      <c r="AD1050" s="1301"/>
      <c r="AE1050" s="1302"/>
      <c r="AF1050" s="61"/>
      <c r="AG1050" s="1502" t="s">
        <v>700</v>
      </c>
      <c r="AH1050" s="1503"/>
      <c r="AI1050" s="64"/>
      <c r="AJ1050" s="1338">
        <f>ROUND(IF(AG1050="yes",(AJ1001*0.1),0),0)</f>
        <v>0</v>
      </c>
      <c r="AK1050" s="1339"/>
      <c r="AL1050" s="1339"/>
      <c r="AM1050" s="1339"/>
      <c r="AN1050" s="1339"/>
      <c r="AO1050" s="1339"/>
      <c r="AP1050" s="1339"/>
      <c r="AQ1050" s="1340"/>
      <c r="AR1050" s="1182"/>
      <c r="AS1050" s="1182"/>
      <c r="AT1050" s="1182"/>
      <c r="AU1050" s="1182"/>
      <c r="AV1050" s="1182"/>
      <c r="AW1050" s="1182"/>
      <c r="AX1050" s="1182"/>
      <c r="AY1050" s="1182"/>
      <c r="BA1050">
        <f>Q212</f>
        <v>0</v>
      </c>
      <c r="BB1050" s="3" t="s">
        <v>1702</v>
      </c>
    </row>
    <row r="1051" spans="1:57" ht="12.95" customHeight="1">
      <c r="A1051" s="13"/>
      <c r="B1051" s="58"/>
      <c r="C1051" s="1193"/>
      <c r="D1051" s="1303" t="s">
        <v>1703</v>
      </c>
      <c r="E1051" s="1304"/>
      <c r="F1051" s="1304"/>
      <c r="G1051" s="1304"/>
      <c r="H1051" s="1304"/>
      <c r="I1051" s="1304"/>
      <c r="J1051" s="1304"/>
      <c r="K1051" s="1304"/>
      <c r="L1051" s="1304"/>
      <c r="M1051" s="1304"/>
      <c r="N1051" s="1304"/>
      <c r="O1051" s="1304"/>
      <c r="P1051" s="1304"/>
      <c r="Q1051" s="1304"/>
      <c r="R1051" s="1304"/>
      <c r="S1051" s="1304"/>
      <c r="T1051" s="1304"/>
      <c r="U1051" s="1304"/>
      <c r="V1051" s="1304"/>
      <c r="W1051" s="1304"/>
      <c r="X1051" s="1304"/>
      <c r="Y1051" s="1304"/>
      <c r="Z1051" s="1304"/>
      <c r="AA1051" s="1304"/>
      <c r="AB1051" s="1304"/>
      <c r="AC1051" s="1304"/>
      <c r="AD1051" s="1304"/>
      <c r="AE1051" s="1305"/>
      <c r="AF1051" s="58"/>
      <c r="AG1051" s="13"/>
      <c r="AH1051" s="13"/>
      <c r="AI1051" s="62"/>
      <c r="AJ1051" s="1341"/>
      <c r="AK1051" s="1342"/>
      <c r="AL1051" s="1342"/>
      <c r="AM1051" s="1342"/>
      <c r="AN1051" s="1342"/>
      <c r="AO1051" s="1342"/>
      <c r="AP1051" s="1342"/>
      <c r="AQ1051" s="1343"/>
      <c r="AR1051" s="1182"/>
      <c r="AS1051" s="1182"/>
      <c r="AT1051" s="1182"/>
      <c r="AU1051" s="1182"/>
      <c r="AV1051" s="1182"/>
      <c r="AW1051" s="1182"/>
      <c r="AX1051" s="1182"/>
      <c r="AY1051" s="1182"/>
      <c r="BA1051" s="1066">
        <f>T212</f>
        <v>0</v>
      </c>
      <c r="BB1051" s="3" t="s">
        <v>1704</v>
      </c>
    </row>
    <row r="1052" spans="1:57" ht="12.95" customHeight="1">
      <c r="A1052" s="13"/>
      <c r="B1052" s="58"/>
      <c r="C1052" s="1193"/>
      <c r="D1052" s="1303"/>
      <c r="E1052" s="1304"/>
      <c r="F1052" s="1304"/>
      <c r="G1052" s="1304"/>
      <c r="H1052" s="1304"/>
      <c r="I1052" s="1304"/>
      <c r="J1052" s="1304"/>
      <c r="K1052" s="1304"/>
      <c r="L1052" s="1304"/>
      <c r="M1052" s="1304"/>
      <c r="N1052" s="1304"/>
      <c r="O1052" s="1304"/>
      <c r="P1052" s="1304"/>
      <c r="Q1052" s="1304"/>
      <c r="R1052" s="1304"/>
      <c r="S1052" s="1304"/>
      <c r="T1052" s="1304"/>
      <c r="U1052" s="1304"/>
      <c r="V1052" s="1304"/>
      <c r="W1052" s="1304"/>
      <c r="X1052" s="1304"/>
      <c r="Y1052" s="1304"/>
      <c r="Z1052" s="1304"/>
      <c r="AA1052" s="1304"/>
      <c r="AB1052" s="1304"/>
      <c r="AC1052" s="1304"/>
      <c r="AD1052" s="1304"/>
      <c r="AE1052" s="1305"/>
      <c r="AF1052" s="58"/>
      <c r="AG1052" s="13"/>
      <c r="AH1052" s="13"/>
      <c r="AI1052" s="62"/>
      <c r="AJ1052" s="1341"/>
      <c r="AK1052" s="1342"/>
      <c r="AL1052" s="1342"/>
      <c r="AM1052" s="1342"/>
      <c r="AN1052" s="1342"/>
      <c r="AO1052" s="1342"/>
      <c r="AP1052" s="1342"/>
      <c r="AQ1052" s="1343"/>
      <c r="AR1052" s="1182"/>
      <c r="AS1052" s="1182"/>
      <c r="AT1052" s="1182"/>
      <c r="AU1052" s="1182"/>
      <c r="AV1052" s="1182"/>
      <c r="AW1052" s="1182"/>
      <c r="AX1052" s="1182"/>
      <c r="AY1052" s="1182"/>
    </row>
    <row r="1053" spans="1:57" ht="12.95" customHeight="1">
      <c r="A1053" s="13"/>
      <c r="B1053" s="58"/>
      <c r="C1053" s="1193"/>
      <c r="D1053" s="1491"/>
      <c r="E1053" s="1492"/>
      <c r="F1053" s="1492"/>
      <c r="G1053" s="1492"/>
      <c r="H1053" s="1492"/>
      <c r="I1053" s="1492"/>
      <c r="J1053" s="1492"/>
      <c r="K1053" s="1492"/>
      <c r="L1053" s="1492"/>
      <c r="M1053" s="1492"/>
      <c r="N1053" s="1492"/>
      <c r="O1053" s="1492"/>
      <c r="P1053" s="1492"/>
      <c r="Q1053" s="1492"/>
      <c r="R1053" s="1492"/>
      <c r="S1053" s="1492"/>
      <c r="T1053" s="1492"/>
      <c r="U1053" s="1492"/>
      <c r="V1053" s="1492"/>
      <c r="W1053" s="1492"/>
      <c r="X1053" s="1492"/>
      <c r="Y1053" s="1492"/>
      <c r="Z1053" s="1492"/>
      <c r="AA1053" s="1492"/>
      <c r="AB1053" s="1492"/>
      <c r="AC1053" s="1492"/>
      <c r="AD1053" s="1492"/>
      <c r="AE1053" s="1493"/>
      <c r="AF1053" s="58"/>
      <c r="AG1053" s="13"/>
      <c r="AH1053" s="13"/>
      <c r="AI1053" s="62"/>
      <c r="AJ1053" s="1344"/>
      <c r="AK1053" s="1345"/>
      <c r="AL1053" s="1345"/>
      <c r="AM1053" s="1345"/>
      <c r="AN1053" s="1345"/>
      <c r="AO1053" s="1345"/>
      <c r="AP1053" s="1345"/>
      <c r="AQ1053" s="1346"/>
      <c r="AR1053" s="1182"/>
      <c r="AS1053" s="1182"/>
      <c r="AT1053" s="1182"/>
      <c r="AU1053" s="1182"/>
      <c r="AV1053" s="1182"/>
      <c r="AW1053" s="1182"/>
      <c r="AX1053" s="1182"/>
      <c r="AY1053" s="1182"/>
    </row>
    <row r="1054" spans="1:57" ht="12.95" customHeight="1">
      <c r="A1054" s="13"/>
      <c r="B1054" s="61"/>
      <c r="C1054" s="96" t="s">
        <v>1705</v>
      </c>
      <c r="D1054" s="1510" t="s">
        <v>1706</v>
      </c>
      <c r="E1054" s="1511"/>
      <c r="F1054" s="1511"/>
      <c r="G1054" s="1511"/>
      <c r="H1054" s="1511"/>
      <c r="I1054" s="1511"/>
      <c r="J1054" s="1511"/>
      <c r="K1054" s="1511"/>
      <c r="L1054" s="1511"/>
      <c r="M1054" s="1511"/>
      <c r="N1054" s="1511"/>
      <c r="O1054" s="1511"/>
      <c r="P1054" s="1511"/>
      <c r="Q1054" s="1511"/>
      <c r="R1054" s="1511"/>
      <c r="S1054" s="1511"/>
      <c r="T1054" s="1511"/>
      <c r="U1054" s="1511"/>
      <c r="V1054" s="1511"/>
      <c r="W1054" s="1511"/>
      <c r="X1054" s="1511"/>
      <c r="Y1054" s="1511"/>
      <c r="Z1054" s="1511"/>
      <c r="AA1054" s="1511"/>
      <c r="AB1054" s="1511"/>
      <c r="AC1054" s="1511"/>
      <c r="AD1054" s="1511"/>
      <c r="AE1054" s="1512"/>
      <c r="AF1054" s="61"/>
      <c r="AG1054" s="1306" t="str">
        <f>IF(X1057&gt;0,"Yes","No")</f>
        <v>Yes</v>
      </c>
      <c r="AH1054" s="1307"/>
      <c r="AI1054" s="64"/>
      <c r="AJ1054" s="1338">
        <f>IF((X1057=0),0,AY1014*AJ1001)</f>
        <v>10821783</v>
      </c>
      <c r="AK1054" s="1339"/>
      <c r="AL1054" s="1339"/>
      <c r="AM1054" s="1339"/>
      <c r="AN1054" s="1339"/>
      <c r="AO1054" s="1339"/>
      <c r="AP1054" s="1339"/>
      <c r="AQ1054" s="1340"/>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1707</v>
      </c>
      <c r="BB1054" s="3"/>
      <c r="BC1054" s="3"/>
      <c r="BD1054" s="3"/>
    </row>
    <row r="1055" spans="1:57" ht="12.95" customHeight="1">
      <c r="A1055" s="13"/>
      <c r="B1055" s="58"/>
      <c r="C1055" s="345"/>
      <c r="D1055" s="1303" t="s">
        <v>1708</v>
      </c>
      <c r="E1055" s="1304"/>
      <c r="F1055" s="1304"/>
      <c r="G1055" s="1304"/>
      <c r="H1055" s="1304"/>
      <c r="I1055" s="1304"/>
      <c r="J1055" s="1304"/>
      <c r="K1055" s="1304"/>
      <c r="L1055" s="1304"/>
      <c r="M1055" s="1304"/>
      <c r="N1055" s="1304"/>
      <c r="O1055" s="1304"/>
      <c r="P1055" s="1304"/>
      <c r="Q1055" s="1304"/>
      <c r="R1055" s="1304"/>
      <c r="S1055" s="1304"/>
      <c r="T1055" s="1304"/>
      <c r="U1055" s="1304"/>
      <c r="V1055" s="1304"/>
      <c r="W1055" s="1304"/>
      <c r="X1055" s="1304"/>
      <c r="Y1055" s="1304"/>
      <c r="Z1055" s="1304"/>
      <c r="AA1055" s="1304"/>
      <c r="AB1055" s="1304"/>
      <c r="AC1055" s="1304"/>
      <c r="AD1055" s="1304"/>
      <c r="AE1055" s="1305"/>
      <c r="AF1055" s="58"/>
      <c r="AG1055" s="1199"/>
      <c r="AH1055" s="1199"/>
      <c r="AI1055" s="62"/>
      <c r="AJ1055" s="1341"/>
      <c r="AK1055" s="1342"/>
      <c r="AL1055" s="1342"/>
      <c r="AM1055" s="1342"/>
      <c r="AN1055" s="1342"/>
      <c r="AO1055" s="1342"/>
      <c r="AP1055" s="1342"/>
      <c r="AQ1055" s="1343"/>
      <c r="AR1055" s="1182"/>
      <c r="AS1055" s="1182"/>
      <c r="AT1055" s="1182"/>
      <c r="AU1055" s="12"/>
      <c r="AV1055" s="1182"/>
      <c r="AW1055" s="1182"/>
      <c r="AX1055" s="1182"/>
      <c r="AY1055" s="1182"/>
      <c r="AZ1055" s="852">
        <f>'Sources and Uses Budget'!S97*BA1055</f>
        <v>7902627.5999999996</v>
      </c>
      <c r="BA1055" s="1064">
        <f>IF(BA1049,20%,15%)</f>
        <v>0.15</v>
      </c>
      <c r="BB1055" s="3" t="s">
        <v>1709</v>
      </c>
      <c r="BC1055" s="3" t="s">
        <v>1710</v>
      </c>
      <c r="BD1055" s="3"/>
    </row>
    <row r="1056" spans="1:57" ht="12.95" customHeight="1">
      <c r="A1056" s="13"/>
      <c r="B1056" s="58"/>
      <c r="C1056" s="345"/>
      <c r="D1056" s="1303"/>
      <c r="E1056" s="1304"/>
      <c r="F1056" s="1304"/>
      <c r="G1056" s="1304"/>
      <c r="H1056" s="1304"/>
      <c r="I1056" s="1304"/>
      <c r="J1056" s="1304"/>
      <c r="K1056" s="1304"/>
      <c r="L1056" s="1304"/>
      <c r="M1056" s="1304"/>
      <c r="N1056" s="1304"/>
      <c r="O1056" s="1304"/>
      <c r="P1056" s="1304"/>
      <c r="Q1056" s="1304"/>
      <c r="R1056" s="1304"/>
      <c r="S1056" s="1304"/>
      <c r="T1056" s="1304"/>
      <c r="U1056" s="1304"/>
      <c r="V1056" s="1304"/>
      <c r="W1056" s="1304"/>
      <c r="X1056" s="1304"/>
      <c r="Y1056" s="1304"/>
      <c r="Z1056" s="1304"/>
      <c r="AA1056" s="1304"/>
      <c r="AB1056" s="1304"/>
      <c r="AC1056" s="1304"/>
      <c r="AD1056" s="1304"/>
      <c r="AE1056" s="1305"/>
      <c r="AF1056" s="58"/>
      <c r="AG1056" s="1199"/>
      <c r="AH1056" s="1199"/>
      <c r="AI1056" s="62"/>
      <c r="AJ1056" s="1341"/>
      <c r="AK1056" s="1342"/>
      <c r="AL1056" s="1342"/>
      <c r="AM1056" s="1342"/>
      <c r="AN1056" s="1342"/>
      <c r="AO1056" s="1342"/>
      <c r="AP1056" s="1342"/>
      <c r="AQ1056" s="1343"/>
      <c r="AR1056" s="1182"/>
      <c r="AS1056" s="1182"/>
      <c r="AT1056" s="1182"/>
      <c r="AU1056" s="12"/>
      <c r="AV1056" s="1182"/>
      <c r="AW1056" s="1182"/>
      <c r="AX1056" s="1182"/>
      <c r="AY1056" s="1182"/>
      <c r="AZ1056" s="852">
        <f>IF(M365="N/A",0,'Sources and Uses Budget'!T97*BA1056)</f>
        <v>0</v>
      </c>
      <c r="BA1056" s="1064">
        <v>0.15</v>
      </c>
      <c r="BB1056" s="3" t="s">
        <v>1709</v>
      </c>
      <c r="BC1056" s="3" t="s">
        <v>1711</v>
      </c>
      <c r="BD1056" s="3"/>
    </row>
    <row r="1057" spans="1:56" ht="12.95" customHeight="1">
      <c r="A1057" s="13"/>
      <c r="B1057" s="59"/>
      <c r="C1057" s="60"/>
      <c r="D1057" s="97" t="s">
        <v>1712</v>
      </c>
      <c r="E1057" s="6"/>
      <c r="F1057" s="6"/>
      <c r="G1057" s="6"/>
      <c r="H1057" s="6"/>
      <c r="I1057" s="1308">
        <f>AY1012</f>
        <v>83</v>
      </c>
      <c r="J1057" s="1309"/>
      <c r="K1057" s="6"/>
      <c r="L1057" s="6"/>
      <c r="M1057" s="6"/>
      <c r="N1057" s="6"/>
      <c r="O1057" s="6"/>
      <c r="P1057" s="6"/>
      <c r="Q1057" s="6"/>
      <c r="R1057" s="6"/>
      <c r="S1057" s="6"/>
      <c r="T1057" s="6"/>
      <c r="U1057" s="6"/>
      <c r="V1057" s="98" t="s">
        <v>1713</v>
      </c>
      <c r="W1057" s="40"/>
      <c r="X1057" s="1306">
        <f>CI761</f>
        <v>25</v>
      </c>
      <c r="Y1057" s="1307"/>
      <c r="Z1057" s="40"/>
      <c r="AA1057" s="40"/>
      <c r="AB1057" s="40"/>
      <c r="AC1057" s="40"/>
      <c r="AD1057" s="40"/>
      <c r="AE1057" s="41"/>
      <c r="AF1057" s="816"/>
      <c r="AG1057" s="817"/>
      <c r="AH1057" s="817"/>
      <c r="AI1057" s="818"/>
      <c r="AJ1057" s="1344"/>
      <c r="AK1057" s="1345"/>
      <c r="AL1057" s="1345"/>
      <c r="AM1057" s="1345"/>
      <c r="AN1057" s="1345"/>
      <c r="AO1057" s="1345"/>
      <c r="AP1057" s="1345"/>
      <c r="AQ1057" s="1346"/>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1709</v>
      </c>
      <c r="BC1057" s="3" t="s">
        <v>1714</v>
      </c>
      <c r="BD1057" s="3"/>
    </row>
    <row r="1058" spans="1:56" ht="12.95" customHeight="1">
      <c r="A1058" s="13"/>
      <c r="B1058" s="61"/>
      <c r="C1058" s="96" t="s">
        <v>1715</v>
      </c>
      <c r="D1058" s="1300" t="s">
        <v>1716</v>
      </c>
      <c r="E1058" s="1301"/>
      <c r="F1058" s="1301"/>
      <c r="G1058" s="1301"/>
      <c r="H1058" s="1301"/>
      <c r="I1058" s="1301"/>
      <c r="J1058" s="1301"/>
      <c r="K1058" s="1301"/>
      <c r="L1058" s="1301"/>
      <c r="M1058" s="1301"/>
      <c r="N1058" s="1301"/>
      <c r="O1058" s="1301"/>
      <c r="P1058" s="1301"/>
      <c r="Q1058" s="1301"/>
      <c r="R1058" s="1301"/>
      <c r="S1058" s="1301"/>
      <c r="T1058" s="1301"/>
      <c r="U1058" s="1301"/>
      <c r="V1058" s="1301"/>
      <c r="W1058" s="1301"/>
      <c r="X1058" s="1301"/>
      <c r="Y1058" s="1301"/>
      <c r="Z1058" s="1301"/>
      <c r="AA1058" s="1301"/>
      <c r="AB1058" s="1301"/>
      <c r="AC1058" s="1301"/>
      <c r="AD1058" s="1301"/>
      <c r="AE1058" s="1302"/>
      <c r="AF1058" s="58"/>
      <c r="AG1058" s="1306" t="str">
        <f>IF(X1061&gt;0,"Yes","No")</f>
        <v>Yes</v>
      </c>
      <c r="AH1058" s="1307"/>
      <c r="AI1058" s="62"/>
      <c r="AJ1058" s="1338">
        <f>IF((X1061=0),0,(2*AY1015)*AJ1001)</f>
        <v>22365018.199999999</v>
      </c>
      <c r="AK1058" s="1339"/>
      <c r="AL1058" s="1339"/>
      <c r="AM1058" s="1339"/>
      <c r="AN1058" s="1339"/>
      <c r="AO1058" s="1339"/>
      <c r="AP1058" s="1339"/>
      <c r="AQ1058" s="1340"/>
      <c r="AR1058" s="1182"/>
      <c r="AS1058" s="1182"/>
      <c r="AT1058" s="1182"/>
      <c r="AU1058" s="13"/>
      <c r="AV1058" s="1182"/>
      <c r="AW1058" s="1182"/>
      <c r="AX1058" s="1182"/>
      <c r="AY1058" s="1182"/>
      <c r="AZ1058" s="852">
        <f>AZ1054*BA1058</f>
        <v>0</v>
      </c>
      <c r="BA1058" s="1064">
        <v>0.15</v>
      </c>
      <c r="BB1058" s="3" t="s">
        <v>1709</v>
      </c>
      <c r="BC1058" s="3" t="s">
        <v>1717</v>
      </c>
      <c r="BD1058" s="3"/>
    </row>
    <row r="1059" spans="1:56" ht="12.95" customHeight="1">
      <c r="A1059" s="13"/>
      <c r="B1059" s="58"/>
      <c r="C1059" s="345"/>
      <c r="D1059" s="1303" t="s">
        <v>1718</v>
      </c>
      <c r="E1059" s="1304"/>
      <c r="F1059" s="1304"/>
      <c r="G1059" s="1304"/>
      <c r="H1059" s="1304"/>
      <c r="I1059" s="1304"/>
      <c r="J1059" s="1304"/>
      <c r="K1059" s="1304"/>
      <c r="L1059" s="1304"/>
      <c r="M1059" s="1304"/>
      <c r="N1059" s="1304"/>
      <c r="O1059" s="1304"/>
      <c r="P1059" s="1304"/>
      <c r="Q1059" s="1304"/>
      <c r="R1059" s="1304"/>
      <c r="S1059" s="1304"/>
      <c r="T1059" s="1304"/>
      <c r="U1059" s="1304"/>
      <c r="V1059" s="1304"/>
      <c r="W1059" s="1304"/>
      <c r="X1059" s="1304"/>
      <c r="Y1059" s="1304"/>
      <c r="Z1059" s="1304"/>
      <c r="AA1059" s="1304"/>
      <c r="AB1059" s="1304"/>
      <c r="AC1059" s="1304"/>
      <c r="AD1059" s="1304"/>
      <c r="AE1059" s="1305"/>
      <c r="AF1059" s="58"/>
      <c r="AG1059" s="1199"/>
      <c r="AH1059" s="1199"/>
      <c r="AI1059" s="62"/>
      <c r="AJ1059" s="1341"/>
      <c r="AK1059" s="1342"/>
      <c r="AL1059" s="1342"/>
      <c r="AM1059" s="1342"/>
      <c r="AN1059" s="1342"/>
      <c r="AO1059" s="1342"/>
      <c r="AP1059" s="1342"/>
      <c r="AQ1059" s="1343"/>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303"/>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5"/>
      <c r="AF1060" s="813"/>
      <c r="AG1060" s="814"/>
      <c r="AH1060" s="814"/>
      <c r="AI1060" s="815"/>
      <c r="AJ1060" s="1341"/>
      <c r="AK1060" s="1342"/>
      <c r="AL1060" s="1342"/>
      <c r="AM1060" s="1342"/>
      <c r="AN1060" s="1342"/>
      <c r="AO1060" s="1342"/>
      <c r="AP1060" s="1342"/>
      <c r="AQ1060" s="1343"/>
      <c r="AR1060" s="1182"/>
      <c r="AS1060" s="1182"/>
      <c r="AT1060" s="1182"/>
      <c r="AU1060" s="1182"/>
      <c r="AV1060" s="1182"/>
      <c r="AW1060" s="1182"/>
      <c r="AX1060" s="1182"/>
      <c r="AY1060" s="1182"/>
      <c r="AZ1060" s="852">
        <f>ROUNDDOWN(MIN(SUM(AZ1055,AZ1056,AZ1057,AZ1058),BD1060),0)</f>
        <v>2500000</v>
      </c>
      <c r="BA1060" s="3" t="s">
        <v>1719</v>
      </c>
      <c r="BB1060" s="3"/>
      <c r="BC1060" s="3"/>
      <c r="BD1060" s="3" cm="1">
        <f t="array" ref="BD1060">_xlfn.IFS(BA1049,3000000,AND(BA1050&gt;=25%,BA1051&gt;=15),2800000,TRUE,2500000)</f>
        <v>2500000</v>
      </c>
    </row>
    <row r="1061" spans="1:56" ht="12.95" customHeight="1">
      <c r="A1061" s="13"/>
      <c r="B1061" s="59"/>
      <c r="C1061" s="60"/>
      <c r="D1061" s="97" t="s">
        <v>1712</v>
      </c>
      <c r="E1061" s="6"/>
      <c r="F1061" s="6"/>
      <c r="G1061" s="6"/>
      <c r="H1061" s="6"/>
      <c r="I1061" s="1308">
        <f>AY1012</f>
        <v>83</v>
      </c>
      <c r="J1061" s="1309"/>
      <c r="K1061" s="13"/>
      <c r="L1061" s="6"/>
      <c r="M1061" s="6"/>
      <c r="N1061" s="6"/>
      <c r="O1061" s="6"/>
      <c r="P1061" s="6"/>
      <c r="Q1061" s="6"/>
      <c r="R1061" s="6"/>
      <c r="S1061" s="6"/>
      <c r="T1061" s="6"/>
      <c r="U1061" s="6"/>
      <c r="V1061" s="98" t="s">
        <v>1720</v>
      </c>
      <c r="X1061" s="1306">
        <f>CM761</f>
        <v>26</v>
      </c>
      <c r="Y1061" s="1307"/>
      <c r="AF1061" s="816"/>
      <c r="AG1061" s="817"/>
      <c r="AH1061" s="817"/>
      <c r="AI1061" s="818"/>
      <c r="AJ1061" s="1344"/>
      <c r="AK1061" s="1345"/>
      <c r="AL1061" s="1345"/>
      <c r="AM1061" s="1345"/>
      <c r="AN1061" s="1345"/>
      <c r="AO1061" s="1345"/>
      <c r="AP1061" s="1345"/>
      <c r="AQ1061" s="1346"/>
      <c r="AR1061" s="1182"/>
      <c r="AS1061" s="1182"/>
      <c r="AT1061" s="1182"/>
      <c r="AU1061" s="1182"/>
      <c r="AV1061" s="1182"/>
      <c r="AW1061" s="1182"/>
      <c r="AX1061" s="1182"/>
      <c r="AY1061" s="1182"/>
      <c r="AZ1061" s="852">
        <f>ROUNDDOWN(MAX(0,BA1061*(SUM(AG1102,AL1102,AZ1054)-BD1061))+BF1061,0)</f>
        <v>0</v>
      </c>
      <c r="BA1061" s="1064">
        <f>IF(L1051,7%,5%)</f>
        <v>0.05</v>
      </c>
      <c r="BB1061" s="3" t="s">
        <v>1721</v>
      </c>
      <c r="BC1061" s="3"/>
      <c r="BD1061" s="3">
        <v>6666667</v>
      </c>
    </row>
    <row r="1062" spans="1:56" ht="12.95" customHeight="1">
      <c r="A1062" s="13"/>
      <c r="B1062" s="77"/>
      <c r="C1062" s="1200"/>
      <c r="D1062" s="1298" t="s">
        <v>1722</v>
      </c>
      <c r="E1062" s="1298"/>
      <c r="F1062" s="1298"/>
      <c r="G1062" s="1298"/>
      <c r="H1062" s="1298"/>
      <c r="I1062" s="1298"/>
      <c r="J1062" s="1298"/>
      <c r="K1062" s="1298"/>
      <c r="L1062" s="1298"/>
      <c r="M1062" s="1298"/>
      <c r="N1062" s="1298"/>
      <c r="O1062" s="1298"/>
      <c r="P1062" s="1298"/>
      <c r="Q1062" s="1298"/>
      <c r="R1062" s="1298"/>
      <c r="S1062" s="1298"/>
      <c r="T1062" s="1298"/>
      <c r="U1062" s="1298"/>
      <c r="V1062" s="1298"/>
      <c r="W1062" s="1298"/>
      <c r="X1062" s="1298"/>
      <c r="Y1062" s="1298"/>
      <c r="Z1062" s="1298"/>
      <c r="AA1062" s="1298"/>
      <c r="AB1062" s="1298"/>
      <c r="AC1062" s="1298"/>
      <c r="AD1062" s="1298"/>
      <c r="AE1062" s="1298"/>
      <c r="AF1062" s="1298"/>
      <c r="AG1062" s="1298"/>
      <c r="AH1062" s="1298"/>
      <c r="AI1062" s="1299"/>
      <c r="AJ1062" s="1528">
        <f>SUM(AJ1001:AQ1061)</f>
        <v>87295716.200000003</v>
      </c>
      <c r="AK1062" s="1529"/>
      <c r="AL1062" s="1529"/>
      <c r="AM1062" s="1529"/>
      <c r="AN1062" s="1529"/>
      <c r="AO1062" s="1529"/>
      <c r="AP1062" s="1529"/>
      <c r="AQ1062" s="1530"/>
      <c r="AR1062" s="1182"/>
      <c r="AS1062" s="1182"/>
      <c r="AT1062" s="1182"/>
      <c r="AU1062" s="1182"/>
      <c r="AV1062" s="1182"/>
      <c r="AW1062" s="1182"/>
      <c r="AX1062" s="1182"/>
      <c r="AY1062" s="1182"/>
      <c r="AZ1062" s="1063">
        <v>6000000</v>
      </c>
      <c r="BA1062" s="3" t="s">
        <v>1723</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1724</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1725</v>
      </c>
      <c r="BC1064" s="3"/>
      <c r="BD1064" s="3"/>
    </row>
    <row r="1065" spans="1:56" ht="12.95" customHeight="1">
      <c r="A1065" s="13"/>
      <c r="B1065" s="1182"/>
      <c r="C1065" s="1182"/>
      <c r="D1065" s="1182"/>
      <c r="E1065" s="1182"/>
      <c r="F1065" s="1182"/>
      <c r="G1065" s="1058" t="s">
        <v>1726</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65">
        <f>'Sources and Uses Budget'!S107+'Sources and Uses Budget'!T107</f>
        <v>60586811</v>
      </c>
      <c r="AB1065" s="1765"/>
      <c r="AC1065" s="1765"/>
      <c r="AD1065" s="1765"/>
      <c r="AE1065" s="1765"/>
      <c r="AF1065" s="1765"/>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7902627.5999999996</v>
      </c>
      <c r="BB1065" s="3" t="s">
        <v>1727</v>
      </c>
      <c r="BC1065" s="3"/>
      <c r="BD1065" s="3"/>
    </row>
    <row r="1066" spans="1:56" ht="12.95" customHeight="1">
      <c r="A1066" s="13"/>
      <c r="B1066" s="1182"/>
      <c r="C1066" s="1182"/>
      <c r="D1066" s="1182"/>
      <c r="E1066" s="1182"/>
      <c r="F1066" s="1182"/>
      <c r="G1066" s="1058"/>
      <c r="H1066" s="1058" t="s">
        <v>1728</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66">
        <f>IFERROR((AA1065-BA1068)/(AJ1062-AJ1054-AJ1058),"")</f>
        <v>1.0198723075485805</v>
      </c>
      <c r="AB1066" s="1767"/>
      <c r="AC1066" s="1767"/>
      <c r="AD1066" s="1767"/>
      <c r="AE1066" s="1767"/>
      <c r="AF1066" s="1768"/>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6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69"/>
      <c r="I1067" s="1769"/>
      <c r="J1067" s="1769"/>
      <c r="K1067" s="1769"/>
      <c r="L1067" s="1769"/>
      <c r="M1067" s="1769"/>
      <c r="N1067" s="1769"/>
      <c r="O1067" s="1769"/>
      <c r="P1067" s="1769"/>
      <c r="Q1067" s="1769"/>
      <c r="R1067" s="1769"/>
      <c r="S1067" s="1769"/>
      <c r="T1067" s="1769"/>
      <c r="U1067" s="1769"/>
      <c r="V1067" s="1769"/>
      <c r="W1067" s="1769"/>
      <c r="X1067" s="1769"/>
      <c r="Y1067" s="1769"/>
      <c r="Z1067" s="1769"/>
      <c r="AA1067" s="1769"/>
      <c r="AB1067" s="1769"/>
      <c r="AC1067" s="1769"/>
      <c r="AD1067" s="1769"/>
      <c r="AE1067" s="1769"/>
      <c r="AF1067" s="1769"/>
      <c r="AG1067" s="1769"/>
      <c r="AH1067" s="1769"/>
      <c r="AI1067" s="1769"/>
      <c r="AJ1067" s="1769"/>
      <c r="AK1067" s="1769"/>
      <c r="AL1067" s="1769"/>
      <c r="AM1067" s="1769"/>
      <c r="AN1067" s="1769"/>
      <c r="AO1067" s="1182"/>
      <c r="AP1067" s="1182"/>
      <c r="AQ1067" s="1182"/>
      <c r="AR1067" s="1182"/>
      <c r="AS1067" s="1182"/>
      <c r="AT1067" s="1182"/>
      <c r="AU1067" s="1182"/>
      <c r="AV1067" s="13"/>
      <c r="AW1067" s="13"/>
      <c r="AX1067" s="13"/>
      <c r="AY1067" s="13"/>
      <c r="BA1067" s="1067">
        <f>'Sources and Uses Budget'!$S$104+'Sources and Uses Budget'!$T$104</f>
        <v>7902627</v>
      </c>
      <c r="BB1067" s="3" t="s">
        <v>1729</v>
      </c>
    </row>
    <row r="1068" spans="1:56" ht="12.95" customHeight="1">
      <c r="A1068" s="13"/>
      <c r="B1068" s="13"/>
      <c r="C1068" s="1201"/>
      <c r="D1068" s="1204"/>
      <c r="E1068" s="1204"/>
      <c r="F1068" s="1204"/>
      <c r="G1068" s="1769"/>
      <c r="H1068" s="1769"/>
      <c r="I1068" s="1769"/>
      <c r="J1068" s="1769"/>
      <c r="K1068" s="1769"/>
      <c r="L1068" s="1769"/>
      <c r="M1068" s="1769"/>
      <c r="N1068" s="1769"/>
      <c r="O1068" s="1769"/>
      <c r="P1068" s="1769"/>
      <c r="Q1068" s="1769"/>
      <c r="R1068" s="1769"/>
      <c r="S1068" s="1769"/>
      <c r="T1068" s="1769"/>
      <c r="U1068" s="1769"/>
      <c r="V1068" s="1769"/>
      <c r="W1068" s="1769"/>
      <c r="X1068" s="1769"/>
      <c r="Y1068" s="1769"/>
      <c r="Z1068" s="1769"/>
      <c r="AA1068" s="1769"/>
      <c r="AB1068" s="1769"/>
      <c r="AC1068" s="1769"/>
      <c r="AD1068" s="1769"/>
      <c r="AE1068" s="1769"/>
      <c r="AF1068" s="1769"/>
      <c r="AG1068" s="1769"/>
      <c r="AH1068" s="1769"/>
      <c r="AI1068" s="1769"/>
      <c r="AJ1068" s="1769"/>
      <c r="AK1068" s="1769"/>
      <c r="AL1068" s="1769"/>
      <c r="AM1068" s="1769"/>
      <c r="AN1068" s="1769"/>
      <c r="AO1068" s="1182"/>
      <c r="AP1068" s="1182"/>
      <c r="AQ1068" s="1182"/>
      <c r="AR1068" s="1182"/>
      <c r="AS1068" s="1182"/>
      <c r="AT1068" s="1182"/>
      <c r="AU1068" s="1182"/>
      <c r="AV1068" s="13"/>
      <c r="AW1068" s="13"/>
      <c r="AX1068" s="13"/>
      <c r="AY1068" s="13"/>
      <c r="BA1068" s="1068">
        <f>MAX($BA$1067-$BA$1064,0)</f>
        <v>5402627</v>
      </c>
      <c r="BB1068" s="3" t="s">
        <v>1730</v>
      </c>
    </row>
    <row r="1069" spans="1:56" ht="12.95" customHeight="1">
      <c r="A1069" s="1205"/>
      <c r="B1069" s="1054"/>
      <c r="C1069" s="1054"/>
      <c r="D1069" s="1054"/>
      <c r="E1069" s="1054"/>
      <c r="F1069" s="1054"/>
      <c r="G1069" s="1769"/>
      <c r="H1069" s="1769"/>
      <c r="I1069" s="1769"/>
      <c r="J1069" s="1769"/>
      <c r="K1069" s="1769"/>
      <c r="L1069" s="1769"/>
      <c r="M1069" s="1769"/>
      <c r="N1069" s="1769"/>
      <c r="O1069" s="1769"/>
      <c r="P1069" s="1769"/>
      <c r="Q1069" s="1769"/>
      <c r="R1069" s="1769"/>
      <c r="S1069" s="1769"/>
      <c r="T1069" s="1769"/>
      <c r="U1069" s="1769"/>
      <c r="V1069" s="1769"/>
      <c r="W1069" s="1769"/>
      <c r="X1069" s="1769"/>
      <c r="Y1069" s="1769"/>
      <c r="Z1069" s="1769"/>
      <c r="AA1069" s="1769"/>
      <c r="AB1069" s="1769"/>
      <c r="AC1069" s="1769"/>
      <c r="AD1069" s="1769"/>
      <c r="AE1069" s="1769"/>
      <c r="AF1069" s="1769"/>
      <c r="AG1069" s="1769"/>
      <c r="AH1069" s="1769"/>
      <c r="AI1069" s="1769"/>
      <c r="AJ1069" s="1769"/>
      <c r="AK1069" s="1769"/>
      <c r="AL1069" s="1769"/>
      <c r="AM1069" s="1769"/>
      <c r="AN1069" s="1769"/>
      <c r="AO1069" s="1054"/>
      <c r="AP1069" s="1054"/>
      <c r="AQ1069" s="1182"/>
      <c r="AR1069" s="1182"/>
      <c r="AS1069" s="1182"/>
      <c r="AT1069" s="1182"/>
      <c r="AU1069" s="1182"/>
      <c r="AV1069" s="1182"/>
      <c r="AW1069" s="1182"/>
      <c r="AX1069" s="1182"/>
      <c r="AY1069" s="1182"/>
    </row>
    <row r="1070" spans="1:56" ht="12.95" customHeight="1">
      <c r="A1070" s="1315" t="s">
        <v>1731</v>
      </c>
      <c r="B1070" s="1315"/>
      <c r="C1070" s="1315"/>
      <c r="D1070" s="1315"/>
      <c r="E1070" s="1315"/>
      <c r="F1070" s="1315"/>
      <c r="G1070" s="1315"/>
      <c r="H1070" s="1315"/>
      <c r="I1070" s="1315"/>
      <c r="J1070" s="1315"/>
      <c r="K1070" s="1315"/>
      <c r="L1070" s="1315"/>
      <c r="M1070" s="1315"/>
      <c r="N1070" s="1315"/>
      <c r="O1070" s="1315"/>
      <c r="P1070" s="1315"/>
      <c r="Q1070" s="1315"/>
      <c r="R1070" s="1315"/>
      <c r="S1070" s="1315"/>
      <c r="T1070" s="1315"/>
      <c r="U1070" s="1315"/>
      <c r="V1070" s="1315"/>
      <c r="W1070" s="1315"/>
      <c r="X1070" s="1315"/>
      <c r="Y1070" s="1315"/>
      <c r="Z1070" s="1315"/>
      <c r="AA1070" s="1315"/>
      <c r="AB1070" s="1315"/>
      <c r="AC1070" s="1315"/>
      <c r="AD1070" s="1315"/>
      <c r="AE1070" s="1315"/>
      <c r="AF1070" s="1315"/>
      <c r="AG1070" s="1315"/>
      <c r="AH1070" s="1315"/>
      <c r="AI1070" s="1315"/>
      <c r="AJ1070" s="1315"/>
      <c r="AK1070" s="1315"/>
      <c r="AL1070" s="1315"/>
      <c r="AM1070" s="1315"/>
      <c r="AN1070" s="1315"/>
      <c r="AO1070" s="1315"/>
      <c r="AP1070" s="1315"/>
      <c r="AQ1070" s="1315"/>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1732</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1733</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14" t="s">
        <v>822</v>
      </c>
      <c r="B1074" s="1310"/>
      <c r="C1074" s="1311">
        <v>1</v>
      </c>
      <c r="D1074" s="1311"/>
      <c r="E1074" s="13" t="s">
        <v>1734</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311"/>
      <c r="D1075" s="1311"/>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10" t="s">
        <v>822</v>
      </c>
      <c r="B1076" s="1310"/>
      <c r="C1076" s="1311">
        <v>2</v>
      </c>
      <c r="D1076" s="1311"/>
      <c r="E1076" s="1313" t="s">
        <v>1735</v>
      </c>
      <c r="F1076" s="1313"/>
      <c r="G1076" s="1313"/>
      <c r="H1076" s="1313"/>
      <c r="I1076" s="1313"/>
      <c r="J1076" s="1313"/>
      <c r="K1076" s="1313"/>
      <c r="L1076" s="1313"/>
      <c r="M1076" s="1313"/>
      <c r="N1076" s="1313"/>
      <c r="O1076" s="1313"/>
      <c r="P1076" s="1313"/>
      <c r="Q1076" s="1313"/>
      <c r="R1076" s="1313"/>
      <c r="S1076" s="1313"/>
      <c r="T1076" s="1313"/>
      <c r="U1076" s="1313"/>
      <c r="V1076" s="1313"/>
      <c r="W1076" s="1313"/>
      <c r="X1076" s="1313"/>
      <c r="Y1076" s="1313"/>
      <c r="Z1076" s="1313"/>
      <c r="AA1076" s="1313"/>
      <c r="AB1076" s="1313"/>
      <c r="AC1076" s="1313"/>
      <c r="AD1076" s="1313"/>
      <c r="AE1076" s="1313"/>
      <c r="AF1076" s="1313"/>
      <c r="AG1076" s="1313"/>
      <c r="AH1076" s="1313"/>
      <c r="AI1076" s="1313"/>
      <c r="AJ1076" s="1313"/>
      <c r="AK1076" s="1313"/>
      <c r="AL1076" s="1313"/>
      <c r="AM1076" s="1313"/>
      <c r="AN1076" s="1313"/>
      <c r="AO1076" s="1313"/>
      <c r="AP1076" s="1313"/>
      <c r="AQ1076" s="1313"/>
      <c r="AR1076" s="1313"/>
      <c r="AS1076" s="13"/>
      <c r="AT1076" s="13"/>
      <c r="AV1076" s="1182"/>
      <c r="AW1076" s="1182"/>
      <c r="AX1076" s="1182"/>
      <c r="AY1076" s="1182"/>
    </row>
    <row r="1077" spans="1:51" ht="12.95" customHeight="1">
      <c r="A1077" s="133"/>
      <c r="B1077" s="13"/>
      <c r="C1077" s="1311"/>
      <c r="D1077" s="1311"/>
      <c r="E1077" s="1313"/>
      <c r="F1077" s="1313"/>
      <c r="G1077" s="1313"/>
      <c r="H1077" s="1313"/>
      <c r="I1077" s="1313"/>
      <c r="J1077" s="1313"/>
      <c r="K1077" s="1313"/>
      <c r="L1077" s="1313"/>
      <c r="M1077" s="1313"/>
      <c r="N1077" s="1313"/>
      <c r="O1077" s="1313"/>
      <c r="P1077" s="1313"/>
      <c r="Q1077" s="1313"/>
      <c r="R1077" s="1313"/>
      <c r="S1077" s="1313"/>
      <c r="T1077" s="1313"/>
      <c r="U1077" s="1313"/>
      <c r="V1077" s="1313"/>
      <c r="W1077" s="1313"/>
      <c r="X1077" s="1313"/>
      <c r="Y1077" s="1313"/>
      <c r="Z1077" s="1313"/>
      <c r="AA1077" s="1313"/>
      <c r="AB1077" s="1313"/>
      <c r="AC1077" s="1313"/>
      <c r="AD1077" s="1313"/>
      <c r="AE1077" s="1313"/>
      <c r="AF1077" s="1313"/>
      <c r="AG1077" s="1313"/>
      <c r="AH1077" s="1313"/>
      <c r="AI1077" s="1313"/>
      <c r="AJ1077" s="1313"/>
      <c r="AK1077" s="1313"/>
      <c r="AL1077" s="1313"/>
      <c r="AM1077" s="1313"/>
      <c r="AN1077" s="1313"/>
      <c r="AO1077" s="1313"/>
      <c r="AP1077" s="1313"/>
      <c r="AQ1077" s="1313"/>
      <c r="AR1077" s="1313"/>
      <c r="AS1077" s="13"/>
      <c r="AT1077" s="13"/>
      <c r="AV1077" s="1182"/>
      <c r="AW1077" s="1182"/>
      <c r="AX1077" s="1182"/>
      <c r="AY1077" s="1182"/>
    </row>
    <row r="1078" spans="1:51" ht="12.95" customHeight="1">
      <c r="A1078" s="133"/>
      <c r="B1078" s="13"/>
      <c r="C1078" s="1311"/>
      <c r="D1078" s="1311"/>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10" t="s">
        <v>822</v>
      </c>
      <c r="B1079" s="1310"/>
      <c r="C1079" s="1312">
        <v>3</v>
      </c>
      <c r="D1079" s="1312"/>
      <c r="E1079" s="1260" t="s">
        <v>1736</v>
      </c>
      <c r="F1079" s="1260"/>
      <c r="G1079" s="1260"/>
      <c r="H1079" s="1260"/>
      <c r="I1079" s="1260"/>
      <c r="J1079" s="1260"/>
      <c r="K1079" s="1260"/>
      <c r="L1079" s="1260"/>
      <c r="M1079" s="1260"/>
      <c r="N1079" s="1260"/>
      <c r="O1079" s="1260"/>
      <c r="P1079" s="1260"/>
      <c r="Q1079" s="1260"/>
      <c r="R1079" s="1260"/>
      <c r="S1079" s="1260"/>
      <c r="T1079" s="1260"/>
      <c r="U1079" s="1260"/>
      <c r="V1079" s="1260"/>
      <c r="W1079" s="1260"/>
      <c r="X1079" s="1260"/>
      <c r="Y1079" s="1260"/>
      <c r="Z1079" s="1260"/>
      <c r="AA1079" s="1260"/>
      <c r="AB1079" s="1260"/>
      <c r="AC1079" s="1260"/>
      <c r="AD1079" s="1260"/>
      <c r="AE1079" s="1260"/>
      <c r="AF1079" s="1260"/>
      <c r="AG1079" s="1260"/>
      <c r="AH1079" s="1260"/>
      <c r="AI1079" s="1260"/>
      <c r="AJ1079" s="1260"/>
      <c r="AK1079" s="1260"/>
      <c r="AL1079" s="1260"/>
      <c r="AM1079" s="1260"/>
      <c r="AN1079" s="1260"/>
      <c r="AO1079" s="1260"/>
      <c r="AP1079" s="1260"/>
      <c r="AQ1079" s="1260"/>
      <c r="AR1079" s="1260"/>
      <c r="AS1079" s="13"/>
      <c r="AT1079" s="1182"/>
      <c r="AV1079" s="1182"/>
      <c r="AW1079" s="1182"/>
      <c r="AX1079" s="1182"/>
      <c r="AY1079" s="1182"/>
    </row>
    <row r="1080" spans="1:51" ht="12.95" customHeight="1">
      <c r="A1080" s="1"/>
      <c r="B1080" s="1"/>
      <c r="C1080" s="1312"/>
      <c r="D1080" s="1312"/>
      <c r="E1080" s="1260"/>
      <c r="F1080" s="1260"/>
      <c r="G1080" s="1260"/>
      <c r="H1080" s="1260"/>
      <c r="I1080" s="1260"/>
      <c r="J1080" s="1260"/>
      <c r="K1080" s="1260"/>
      <c r="L1080" s="1260"/>
      <c r="M1080" s="1260"/>
      <c r="N1080" s="1260"/>
      <c r="O1080" s="1260"/>
      <c r="P1080" s="1260"/>
      <c r="Q1080" s="1260"/>
      <c r="R1080" s="1260"/>
      <c r="S1080" s="1260"/>
      <c r="T1080" s="1260"/>
      <c r="U1080" s="1260"/>
      <c r="V1080" s="1260"/>
      <c r="W1080" s="1260"/>
      <c r="X1080" s="1260"/>
      <c r="Y1080" s="1260"/>
      <c r="Z1080" s="1260"/>
      <c r="AA1080" s="1260"/>
      <c r="AB1080" s="1260"/>
      <c r="AC1080" s="1260"/>
      <c r="AD1080" s="1260"/>
      <c r="AE1080" s="1260"/>
      <c r="AF1080" s="1260"/>
      <c r="AG1080" s="1260"/>
      <c r="AH1080" s="1260"/>
      <c r="AI1080" s="1260"/>
      <c r="AJ1080" s="1260"/>
      <c r="AK1080" s="1260"/>
      <c r="AL1080" s="1260"/>
      <c r="AM1080" s="1260"/>
      <c r="AN1080" s="1260"/>
      <c r="AO1080" s="1260"/>
      <c r="AP1080" s="1260"/>
      <c r="AQ1080" s="1260"/>
      <c r="AR1080" s="1260"/>
      <c r="AS1080" s="13"/>
      <c r="AT1080" s="1182"/>
      <c r="AV1080" s="1182"/>
      <c r="AW1080" s="1182"/>
      <c r="AX1080" s="1182"/>
      <c r="AY1080" s="1182"/>
    </row>
    <row r="1081" spans="1:51" ht="12.95" customHeight="1">
      <c r="A1081" s="1"/>
      <c r="B1081" s="1"/>
      <c r="C1081" s="1312"/>
      <c r="D1081" s="1312"/>
      <c r="E1081" s="1260"/>
      <c r="F1081" s="1260"/>
      <c r="G1081" s="1260"/>
      <c r="H1081" s="1260"/>
      <c r="I1081" s="1260"/>
      <c r="J1081" s="1260"/>
      <c r="K1081" s="1260"/>
      <c r="L1081" s="1260"/>
      <c r="M1081" s="1260"/>
      <c r="N1081" s="1260"/>
      <c r="O1081" s="1260"/>
      <c r="P1081" s="1260"/>
      <c r="Q1081" s="1260"/>
      <c r="R1081" s="1260"/>
      <c r="S1081" s="1260"/>
      <c r="T1081" s="1260"/>
      <c r="U1081" s="1260"/>
      <c r="V1081" s="1260"/>
      <c r="W1081" s="1260"/>
      <c r="X1081" s="1260"/>
      <c r="Y1081" s="1260"/>
      <c r="Z1081" s="1260"/>
      <c r="AA1081" s="1260"/>
      <c r="AB1081" s="1260"/>
      <c r="AC1081" s="1260"/>
      <c r="AD1081" s="1260"/>
      <c r="AE1081" s="1260"/>
      <c r="AF1081" s="1260"/>
      <c r="AG1081" s="1260"/>
      <c r="AH1081" s="1260"/>
      <c r="AI1081" s="1260"/>
      <c r="AJ1081" s="1260"/>
      <c r="AK1081" s="1260"/>
      <c r="AL1081" s="1260"/>
      <c r="AM1081" s="1260"/>
      <c r="AN1081" s="1260"/>
      <c r="AO1081" s="1260"/>
      <c r="AP1081" s="1260"/>
      <c r="AQ1081" s="1260"/>
      <c r="AR1081" s="1260"/>
      <c r="AS1081" s="13"/>
      <c r="AT1081" s="1182"/>
      <c r="AV1081" s="1182"/>
      <c r="AW1081" s="1182"/>
      <c r="AX1081" s="1182"/>
      <c r="AY1081" s="1182"/>
    </row>
    <row r="1082" spans="1:51" ht="12.95" customHeight="1">
      <c r="A1082" s="1"/>
      <c r="B1082" s="1"/>
      <c r="C1082" s="1312"/>
      <c r="D1082" s="1312"/>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c r="AG1082" s="1260"/>
      <c r="AH1082" s="1260"/>
      <c r="AI1082" s="1260"/>
      <c r="AJ1082" s="1260"/>
      <c r="AK1082" s="1260"/>
      <c r="AL1082" s="1260"/>
      <c r="AM1082" s="1260"/>
      <c r="AN1082" s="1260"/>
      <c r="AO1082" s="1260"/>
      <c r="AP1082" s="1260"/>
      <c r="AQ1082" s="1260"/>
      <c r="AR1082" s="1260"/>
      <c r="AS1082" s="13"/>
      <c r="AT1082" s="1182"/>
      <c r="AV1082" s="1182"/>
      <c r="AW1082" s="1182"/>
      <c r="AX1082" s="1182"/>
      <c r="AY1082" s="1182"/>
    </row>
    <row r="1083" spans="1:51" ht="12.95" customHeight="1">
      <c r="A1083" s="2"/>
      <c r="B1083" s="21"/>
      <c r="C1083" s="1312"/>
      <c r="D1083" s="1312"/>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10" t="s">
        <v>822</v>
      </c>
      <c r="B1084" s="1310"/>
      <c r="C1084" s="1312">
        <v>4</v>
      </c>
      <c r="D1084" s="1312"/>
      <c r="E1084" s="1260" t="s">
        <v>1737</v>
      </c>
      <c r="F1084" s="1260"/>
      <c r="G1084" s="1260"/>
      <c r="H1084" s="1260"/>
      <c r="I1084" s="1260"/>
      <c r="J1084" s="1260"/>
      <c r="K1084" s="1260"/>
      <c r="L1084" s="1260"/>
      <c r="M1084" s="1260"/>
      <c r="N1084" s="1260"/>
      <c r="O1084" s="1260"/>
      <c r="P1084" s="1260"/>
      <c r="Q1084" s="1260"/>
      <c r="R1084" s="1260"/>
      <c r="S1084" s="1260"/>
      <c r="T1084" s="1260"/>
      <c r="U1084" s="1260"/>
      <c r="V1084" s="1260"/>
      <c r="W1084" s="1260"/>
      <c r="X1084" s="1260"/>
      <c r="Y1084" s="1260"/>
      <c r="Z1084" s="1260"/>
      <c r="AA1084" s="1260"/>
      <c r="AB1084" s="1260"/>
      <c r="AC1084" s="1260"/>
      <c r="AD1084" s="1260"/>
      <c r="AE1084" s="1260"/>
      <c r="AF1084" s="1260"/>
      <c r="AG1084" s="1260"/>
      <c r="AH1084" s="1260"/>
      <c r="AI1084" s="1260"/>
      <c r="AJ1084" s="1260"/>
      <c r="AK1084" s="1260"/>
      <c r="AL1084" s="1260"/>
      <c r="AM1084" s="1260"/>
      <c r="AN1084" s="1260"/>
      <c r="AO1084" s="1260"/>
      <c r="AP1084" s="1260"/>
      <c r="AQ1084" s="1260"/>
      <c r="AR1084" s="1260"/>
      <c r="AS1084" s="13"/>
      <c r="AT1084" s="1182"/>
    </row>
    <row r="1085" spans="1:51" ht="12.95" customHeight="1">
      <c r="A1085" s="1"/>
      <c r="B1085" s="1"/>
      <c r="C1085" s="1312"/>
      <c r="D1085" s="1312"/>
      <c r="E1085" s="1260"/>
      <c r="F1085" s="1260"/>
      <c r="G1085" s="1260"/>
      <c r="H1085" s="1260"/>
      <c r="I1085" s="1260"/>
      <c r="J1085" s="1260"/>
      <c r="K1085" s="1260"/>
      <c r="L1085" s="1260"/>
      <c r="M1085" s="1260"/>
      <c r="N1085" s="1260"/>
      <c r="O1085" s="1260"/>
      <c r="P1085" s="1260"/>
      <c r="Q1085" s="1260"/>
      <c r="R1085" s="1260"/>
      <c r="S1085" s="1260"/>
      <c r="T1085" s="1260"/>
      <c r="U1085" s="1260"/>
      <c r="V1085" s="1260"/>
      <c r="W1085" s="1260"/>
      <c r="X1085" s="1260"/>
      <c r="Y1085" s="1260"/>
      <c r="Z1085" s="1260"/>
      <c r="AA1085" s="1260"/>
      <c r="AB1085" s="1260"/>
      <c r="AC1085" s="1260"/>
      <c r="AD1085" s="1260"/>
      <c r="AE1085" s="1260"/>
      <c r="AF1085" s="1260"/>
      <c r="AG1085" s="1260"/>
      <c r="AH1085" s="1260"/>
      <c r="AI1085" s="1260"/>
      <c r="AJ1085" s="1260"/>
      <c r="AK1085" s="1260"/>
      <c r="AL1085" s="1260"/>
      <c r="AM1085" s="1260"/>
      <c r="AN1085" s="1260"/>
      <c r="AO1085" s="1260"/>
      <c r="AP1085" s="1260"/>
      <c r="AQ1085" s="1260"/>
      <c r="AR1085" s="1260"/>
      <c r="AS1085" s="13"/>
      <c r="AT1085" s="1182"/>
    </row>
    <row r="1086" spans="1:51" ht="12.95" customHeight="1">
      <c r="A1086" s="1"/>
      <c r="B1086" s="1"/>
      <c r="C1086" s="1312"/>
      <c r="D1086" s="1312"/>
      <c r="E1086" s="1260"/>
      <c r="F1086" s="1260"/>
      <c r="G1086" s="1260"/>
      <c r="H1086" s="1260"/>
      <c r="I1086" s="1260"/>
      <c r="J1086" s="1260"/>
      <c r="K1086" s="1260"/>
      <c r="L1086" s="1260"/>
      <c r="M1086" s="1260"/>
      <c r="N1086" s="1260"/>
      <c r="O1086" s="1260"/>
      <c r="P1086" s="1260"/>
      <c r="Q1086" s="1260"/>
      <c r="R1086" s="1260"/>
      <c r="S1086" s="1260"/>
      <c r="T1086" s="1260"/>
      <c r="U1086" s="1260"/>
      <c r="V1086" s="1260"/>
      <c r="W1086" s="1260"/>
      <c r="X1086" s="1260"/>
      <c r="Y1086" s="1260"/>
      <c r="Z1086" s="1260"/>
      <c r="AA1086" s="1260"/>
      <c r="AB1086" s="1260"/>
      <c r="AC1086" s="1260"/>
      <c r="AD1086" s="1260"/>
      <c r="AE1086" s="1260"/>
      <c r="AF1086" s="1260"/>
      <c r="AG1086" s="1260"/>
      <c r="AH1086" s="1260"/>
      <c r="AI1086" s="1260"/>
      <c r="AJ1086" s="1260"/>
      <c r="AK1086" s="1260"/>
      <c r="AL1086" s="1260"/>
      <c r="AM1086" s="1260"/>
      <c r="AN1086" s="1260"/>
      <c r="AO1086" s="1260"/>
      <c r="AP1086" s="1260"/>
      <c r="AQ1086" s="1260"/>
      <c r="AR1086" s="1260"/>
      <c r="AS1086" s="13"/>
      <c r="AT1086" s="1182"/>
    </row>
    <row r="1087" spans="1:51" ht="12.95" customHeight="1">
      <c r="A1087" s="1"/>
      <c r="B1087" s="1"/>
      <c r="C1087" s="1312"/>
      <c r="D1087" s="1312"/>
      <c r="E1087" s="1260"/>
      <c r="F1087" s="1260"/>
      <c r="G1087" s="1260"/>
      <c r="H1087" s="1260"/>
      <c r="I1087" s="1260"/>
      <c r="J1087" s="1260"/>
      <c r="K1087" s="1260"/>
      <c r="L1087" s="1260"/>
      <c r="M1087" s="1260"/>
      <c r="N1087" s="1260"/>
      <c r="O1087" s="1260"/>
      <c r="P1087" s="1260"/>
      <c r="Q1087" s="1260"/>
      <c r="R1087" s="1260"/>
      <c r="S1087" s="1260"/>
      <c r="T1087" s="1260"/>
      <c r="U1087" s="1260"/>
      <c r="V1087" s="1260"/>
      <c r="W1087" s="1260"/>
      <c r="X1087" s="1260"/>
      <c r="Y1087" s="1260"/>
      <c r="Z1087" s="1260"/>
      <c r="AA1087" s="1260"/>
      <c r="AB1087" s="1260"/>
      <c r="AC1087" s="1260"/>
      <c r="AD1087" s="1260"/>
      <c r="AE1087" s="1260"/>
      <c r="AF1087" s="1260"/>
      <c r="AG1087" s="1260"/>
      <c r="AH1087" s="1260"/>
      <c r="AI1087" s="1260"/>
      <c r="AJ1087" s="1260"/>
      <c r="AK1087" s="1260"/>
      <c r="AL1087" s="1260"/>
      <c r="AM1087" s="1260"/>
      <c r="AN1087" s="1260"/>
      <c r="AO1087" s="1260"/>
      <c r="AP1087" s="1260"/>
      <c r="AQ1087" s="1260"/>
      <c r="AR1087" s="1260"/>
      <c r="AS1087" s="13"/>
      <c r="AT1087" s="1182"/>
    </row>
    <row r="1088" spans="1:51" ht="12.95" customHeight="1">
      <c r="A1088" s="1"/>
      <c r="B1088" s="1"/>
      <c r="C1088" s="1312"/>
      <c r="D1088" s="1312"/>
      <c r="E1088" s="1260"/>
      <c r="F1088" s="1260"/>
      <c r="G1088" s="1260"/>
      <c r="H1088" s="1260"/>
      <c r="I1088" s="1260"/>
      <c r="J1088" s="1260"/>
      <c r="K1088" s="1260"/>
      <c r="L1088" s="1260"/>
      <c r="M1088" s="1260"/>
      <c r="N1088" s="1260"/>
      <c r="O1088" s="1260"/>
      <c r="P1088" s="1260"/>
      <c r="Q1088" s="1260"/>
      <c r="R1088" s="1260"/>
      <c r="S1088" s="1260"/>
      <c r="T1088" s="1260"/>
      <c r="U1088" s="1260"/>
      <c r="V1088" s="1260"/>
      <c r="W1088" s="1260"/>
      <c r="X1088" s="1260"/>
      <c r="Y1088" s="1260"/>
      <c r="Z1088" s="1260"/>
      <c r="AA1088" s="1260"/>
      <c r="AB1088" s="1260"/>
      <c r="AC1088" s="1260"/>
      <c r="AD1088" s="1260"/>
      <c r="AE1088" s="1260"/>
      <c r="AF1088" s="1260"/>
      <c r="AG1088" s="1260"/>
      <c r="AH1088" s="1260"/>
      <c r="AI1088" s="1260"/>
      <c r="AJ1088" s="1260"/>
      <c r="AK1088" s="1260"/>
      <c r="AL1088" s="1260"/>
      <c r="AM1088" s="1260"/>
      <c r="AN1088" s="1260"/>
      <c r="AO1088" s="1260"/>
      <c r="AP1088" s="1260"/>
      <c r="AQ1088" s="1260"/>
      <c r="AR1088" s="1260"/>
      <c r="AS1088" s="13"/>
      <c r="AT1088" s="1182"/>
    </row>
    <row r="1089" spans="1:45" ht="12.95" customHeight="1">
      <c r="A1089" s="1"/>
      <c r="B1089" s="1"/>
      <c r="C1089" s="1312"/>
      <c r="D1089" s="1312"/>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10" t="s">
        <v>822</v>
      </c>
      <c r="B1090" s="1310"/>
      <c r="C1090" s="1312">
        <v>5</v>
      </c>
      <c r="D1090" s="1312"/>
      <c r="E1090" s="1260" t="s">
        <v>1738</v>
      </c>
      <c r="F1090" s="1260"/>
      <c r="G1090" s="1260"/>
      <c r="H1090" s="1260"/>
      <c r="I1090" s="1260"/>
      <c r="J1090" s="1260"/>
      <c r="K1090" s="1260"/>
      <c r="L1090" s="1260"/>
      <c r="M1090" s="1260"/>
      <c r="N1090" s="1260"/>
      <c r="O1090" s="1260"/>
      <c r="P1090" s="1260"/>
      <c r="Q1090" s="1260"/>
      <c r="R1090" s="1260"/>
      <c r="S1090" s="1260"/>
      <c r="T1090" s="1260"/>
      <c r="U1090" s="1260"/>
      <c r="V1090" s="1260"/>
      <c r="W1090" s="1260"/>
      <c r="X1090" s="1260"/>
      <c r="Y1090" s="1260"/>
      <c r="Z1090" s="1260"/>
      <c r="AA1090" s="1260"/>
      <c r="AB1090" s="1260"/>
      <c r="AC1090" s="1260"/>
      <c r="AD1090" s="1260"/>
      <c r="AE1090" s="1260"/>
      <c r="AF1090" s="1260"/>
      <c r="AG1090" s="1260"/>
      <c r="AH1090" s="1260"/>
      <c r="AI1090" s="1260"/>
      <c r="AJ1090" s="1260"/>
      <c r="AK1090" s="1260"/>
      <c r="AL1090" s="1260"/>
      <c r="AM1090" s="1260"/>
      <c r="AN1090" s="1260"/>
      <c r="AO1090" s="1260"/>
      <c r="AP1090" s="1260"/>
      <c r="AQ1090" s="1260"/>
      <c r="AR1090" s="1260"/>
      <c r="AS1090" s="13"/>
    </row>
    <row r="1091" spans="1:45" ht="12.95" customHeight="1">
      <c r="A1091" s="3"/>
      <c r="B1091" s="3"/>
      <c r="C1091" s="1312"/>
      <c r="D1091" s="1312"/>
      <c r="E1091" s="1260"/>
      <c r="F1091" s="1260"/>
      <c r="G1091" s="1260"/>
      <c r="H1091" s="1260"/>
      <c r="I1091" s="1260"/>
      <c r="J1091" s="1260"/>
      <c r="K1091" s="1260"/>
      <c r="L1091" s="1260"/>
      <c r="M1091" s="1260"/>
      <c r="N1091" s="1260"/>
      <c r="O1091" s="1260"/>
      <c r="P1091" s="1260"/>
      <c r="Q1091" s="1260"/>
      <c r="R1091" s="1260"/>
      <c r="S1091" s="1260"/>
      <c r="T1091" s="1260"/>
      <c r="U1091" s="1260"/>
      <c r="V1091" s="1260"/>
      <c r="W1091" s="1260"/>
      <c r="X1091" s="1260"/>
      <c r="Y1091" s="1260"/>
      <c r="Z1091" s="1260"/>
      <c r="AA1091" s="1260"/>
      <c r="AB1091" s="1260"/>
      <c r="AC1091" s="1260"/>
      <c r="AD1091" s="1260"/>
      <c r="AE1091" s="1260"/>
      <c r="AF1091" s="1260"/>
      <c r="AG1091" s="1260"/>
      <c r="AH1091" s="1260"/>
      <c r="AI1091" s="1260"/>
      <c r="AJ1091" s="1260"/>
      <c r="AK1091" s="1260"/>
      <c r="AL1091" s="1260"/>
      <c r="AM1091" s="1260"/>
      <c r="AN1091" s="1260"/>
      <c r="AO1091" s="1260"/>
      <c r="AP1091" s="1260"/>
      <c r="AQ1091" s="1260"/>
      <c r="AR1091" s="1260"/>
      <c r="AS1091" s="13"/>
    </row>
    <row r="1092" spans="1:45" ht="12.95" customHeight="1">
      <c r="A1092" s="3"/>
      <c r="B1092" s="3"/>
      <c r="C1092" s="1312"/>
      <c r="D1092" s="1312"/>
      <c r="E1092" s="1260"/>
      <c r="F1092" s="1260"/>
      <c r="G1092" s="1260"/>
      <c r="H1092" s="1260"/>
      <c r="I1092" s="1260"/>
      <c r="J1092" s="1260"/>
      <c r="K1092" s="1260"/>
      <c r="L1092" s="1260"/>
      <c r="M1092" s="1260"/>
      <c r="N1092" s="1260"/>
      <c r="O1092" s="1260"/>
      <c r="P1092" s="1260"/>
      <c r="Q1092" s="1260"/>
      <c r="R1092" s="1260"/>
      <c r="S1092" s="1260"/>
      <c r="T1092" s="1260"/>
      <c r="U1092" s="1260"/>
      <c r="V1092" s="1260"/>
      <c r="W1092" s="1260"/>
      <c r="X1092" s="1260"/>
      <c r="Y1092" s="1260"/>
      <c r="Z1092" s="1260"/>
      <c r="AA1092" s="1260"/>
      <c r="AB1092" s="1260"/>
      <c r="AC1092" s="1260"/>
      <c r="AD1092" s="1260"/>
      <c r="AE1092" s="1260"/>
      <c r="AF1092" s="1260"/>
      <c r="AG1092" s="1260"/>
      <c r="AH1092" s="1260"/>
      <c r="AI1092" s="1260"/>
      <c r="AJ1092" s="1260"/>
      <c r="AK1092" s="1260"/>
      <c r="AL1092" s="1260"/>
      <c r="AM1092" s="1260"/>
      <c r="AN1092" s="1260"/>
      <c r="AO1092" s="1260"/>
      <c r="AP1092" s="1260"/>
      <c r="AQ1092" s="1260"/>
      <c r="AR1092" s="1260"/>
      <c r="AS1092" s="13"/>
    </row>
    <row r="1093" spans="1:45" ht="12.95" customHeight="1">
      <c r="A1093" s="84"/>
      <c r="B1093" s="21"/>
      <c r="C1093" s="1312"/>
      <c r="D1093" s="1312"/>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10" t="s">
        <v>822</v>
      </c>
      <c r="B1094" s="1310"/>
      <c r="C1094" s="1312">
        <v>6</v>
      </c>
      <c r="D1094" s="1312"/>
      <c r="E1094" s="1260" t="s">
        <v>1739</v>
      </c>
      <c r="F1094" s="1260"/>
      <c r="G1094" s="1260"/>
      <c r="H1094" s="1260"/>
      <c r="I1094" s="1260"/>
      <c r="J1094" s="1260"/>
      <c r="K1094" s="1260"/>
      <c r="L1094" s="1260"/>
      <c r="M1094" s="1260"/>
      <c r="N1094" s="1260"/>
      <c r="O1094" s="1260"/>
      <c r="P1094" s="1260"/>
      <c r="Q1094" s="1260"/>
      <c r="R1094" s="1260"/>
      <c r="S1094" s="1260"/>
      <c r="T1094" s="1260"/>
      <c r="U1094" s="1260"/>
      <c r="V1094" s="1260"/>
      <c r="W1094" s="1260"/>
      <c r="X1094" s="1260"/>
      <c r="Y1094" s="1260"/>
      <c r="Z1094" s="1260"/>
      <c r="AA1094" s="1260"/>
      <c r="AB1094" s="1260"/>
      <c r="AC1094" s="1260"/>
      <c r="AD1094" s="1260"/>
      <c r="AE1094" s="1260"/>
      <c r="AF1094" s="1260"/>
      <c r="AG1094" s="1260"/>
      <c r="AH1094" s="1260"/>
      <c r="AI1094" s="1260"/>
      <c r="AJ1094" s="1260"/>
      <c r="AK1094" s="1260"/>
      <c r="AL1094" s="1260"/>
      <c r="AM1094" s="1260"/>
      <c r="AN1094" s="1260"/>
      <c r="AO1094" s="1260"/>
      <c r="AP1094" s="1260"/>
      <c r="AQ1094" s="1260"/>
      <c r="AR1094" s="1260"/>
      <c r="AS1094" s="13"/>
    </row>
    <row r="1095" spans="1:45" ht="12.95" customHeight="1">
      <c r="A1095" s="1"/>
      <c r="B1095" s="1"/>
      <c r="C1095" s="1"/>
      <c r="D1095" s="1"/>
      <c r="E1095" s="1260"/>
      <c r="F1095" s="1260"/>
      <c r="G1095" s="1260"/>
      <c r="H1095" s="1260"/>
      <c r="I1095" s="1260"/>
      <c r="J1095" s="1260"/>
      <c r="K1095" s="1260"/>
      <c r="L1095" s="1260"/>
      <c r="M1095" s="1260"/>
      <c r="N1095" s="1260"/>
      <c r="O1095" s="1260"/>
      <c r="P1095" s="1260"/>
      <c r="Q1095" s="1260"/>
      <c r="R1095" s="1260"/>
      <c r="S1095" s="1260"/>
      <c r="T1095" s="1260"/>
      <c r="U1095" s="1260"/>
      <c r="V1095" s="1260"/>
      <c r="W1095" s="1260"/>
      <c r="X1095" s="1260"/>
      <c r="Y1095" s="1260"/>
      <c r="Z1095" s="1260"/>
      <c r="AA1095" s="1260"/>
      <c r="AB1095" s="1260"/>
      <c r="AC1095" s="1260"/>
      <c r="AD1095" s="1260"/>
      <c r="AE1095" s="1260"/>
      <c r="AF1095" s="1260"/>
      <c r="AG1095" s="1260"/>
      <c r="AH1095" s="1260"/>
      <c r="AI1095" s="1260"/>
      <c r="AJ1095" s="1260"/>
      <c r="AK1095" s="1260"/>
      <c r="AL1095" s="1260"/>
      <c r="AM1095" s="1260"/>
      <c r="AN1095" s="1260"/>
      <c r="AO1095" s="1260"/>
      <c r="AP1095" s="1260"/>
      <c r="AQ1095" s="1260"/>
      <c r="AR1095" s="1260"/>
      <c r="AS1095" s="13"/>
    </row>
    <row r="1096" spans="1:45" ht="12.95" customHeight="1">
      <c r="A1096" s="1"/>
      <c r="B1096" s="1"/>
      <c r="C1096" s="1312"/>
      <c r="D1096" s="1312"/>
      <c r="E1096" s="1260"/>
      <c r="F1096" s="1260"/>
      <c r="G1096" s="1260"/>
      <c r="H1096" s="1260"/>
      <c r="I1096" s="1260"/>
      <c r="J1096" s="1260"/>
      <c r="K1096" s="1260"/>
      <c r="L1096" s="1260"/>
      <c r="M1096" s="1260"/>
      <c r="N1096" s="1260"/>
      <c r="O1096" s="1260"/>
      <c r="P1096" s="1260"/>
      <c r="Q1096" s="1260"/>
      <c r="R1096" s="1260"/>
      <c r="S1096" s="1260"/>
      <c r="T1096" s="1260"/>
      <c r="U1096" s="1260"/>
      <c r="V1096" s="1260"/>
      <c r="W1096" s="1260"/>
      <c r="X1096" s="1260"/>
      <c r="Y1096" s="1260"/>
      <c r="Z1096" s="1260"/>
      <c r="AA1096" s="1260"/>
      <c r="AB1096" s="1260"/>
      <c r="AC1096" s="1260"/>
      <c r="AD1096" s="1260"/>
      <c r="AE1096" s="1260"/>
      <c r="AF1096" s="1260"/>
      <c r="AG1096" s="1260"/>
      <c r="AH1096" s="1260"/>
      <c r="AI1096" s="1260"/>
      <c r="AJ1096" s="1260"/>
      <c r="AK1096" s="1260"/>
      <c r="AL1096" s="1260"/>
      <c r="AM1096" s="1260"/>
      <c r="AN1096" s="1260"/>
      <c r="AO1096" s="1260"/>
      <c r="AP1096" s="1260"/>
      <c r="AQ1096" s="1260"/>
      <c r="AR1096" s="1260"/>
      <c r="AS1096" s="13"/>
    </row>
    <row r="1097" spans="1:45" ht="12.95" customHeight="1">
      <c r="A1097" s="84"/>
      <c r="B1097" s="21"/>
      <c r="C1097" s="1312"/>
      <c r="D1097" s="1312"/>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10" t="s">
        <v>822</v>
      </c>
      <c r="B1098" s="1310"/>
      <c r="C1098" s="1312">
        <v>7</v>
      </c>
      <c r="D1098" s="1312"/>
      <c r="E1098" s="1260" t="s">
        <v>1740</v>
      </c>
      <c r="F1098" s="1260"/>
      <c r="G1098" s="1260"/>
      <c r="H1098" s="1260"/>
      <c r="I1098" s="1260"/>
      <c r="J1098" s="1260"/>
      <c r="K1098" s="1260"/>
      <c r="L1098" s="1260"/>
      <c r="M1098" s="1260"/>
      <c r="N1098" s="1260"/>
      <c r="O1098" s="1260"/>
      <c r="P1098" s="1260"/>
      <c r="Q1098" s="1260"/>
      <c r="R1098" s="1260"/>
      <c r="S1098" s="1260"/>
      <c r="T1098" s="1260"/>
      <c r="U1098" s="1260"/>
      <c r="V1098" s="1260"/>
      <c r="W1098" s="1260"/>
      <c r="X1098" s="1260"/>
      <c r="Y1098" s="1260"/>
      <c r="Z1098" s="1260"/>
      <c r="AA1098" s="1260"/>
      <c r="AB1098" s="1260"/>
      <c r="AC1098" s="1260"/>
      <c r="AD1098" s="1260"/>
      <c r="AE1098" s="1260"/>
      <c r="AF1098" s="1260"/>
      <c r="AG1098" s="1260"/>
      <c r="AH1098" s="1260"/>
      <c r="AI1098" s="1260"/>
      <c r="AJ1098" s="1260"/>
      <c r="AK1098" s="1260"/>
      <c r="AL1098" s="1260"/>
      <c r="AM1098" s="1260"/>
      <c r="AN1098" s="1260"/>
      <c r="AO1098" s="1260"/>
      <c r="AP1098" s="1260"/>
      <c r="AQ1098" s="1260"/>
      <c r="AR1098" s="1260"/>
      <c r="AS1098" s="13"/>
    </row>
    <row r="1099" spans="1:45" ht="12.95" customHeight="1">
      <c r="A1099" s="1"/>
      <c r="B1099" s="1"/>
      <c r="C1099" s="1312"/>
      <c r="D1099" s="1312"/>
      <c r="E1099" s="1260"/>
      <c r="F1099" s="1260"/>
      <c r="G1099" s="1260"/>
      <c r="H1099" s="1260"/>
      <c r="I1099" s="1260"/>
      <c r="J1099" s="1260"/>
      <c r="K1099" s="1260"/>
      <c r="L1099" s="1260"/>
      <c r="M1099" s="1260"/>
      <c r="N1099" s="1260"/>
      <c r="O1099" s="1260"/>
      <c r="P1099" s="1260"/>
      <c r="Q1099" s="1260"/>
      <c r="R1099" s="1260"/>
      <c r="S1099" s="1260"/>
      <c r="T1099" s="1260"/>
      <c r="U1099" s="1260"/>
      <c r="V1099" s="1260"/>
      <c r="W1099" s="1260"/>
      <c r="X1099" s="1260"/>
      <c r="Y1099" s="1260"/>
      <c r="Z1099" s="1260"/>
      <c r="AA1099" s="1260"/>
      <c r="AB1099" s="1260"/>
      <c r="AC1099" s="1260"/>
      <c r="AD1099" s="1260"/>
      <c r="AE1099" s="1260"/>
      <c r="AF1099" s="1260"/>
      <c r="AG1099" s="1260"/>
      <c r="AH1099" s="1260"/>
      <c r="AI1099" s="1260"/>
      <c r="AJ1099" s="1260"/>
      <c r="AK1099" s="1260"/>
      <c r="AL1099" s="1260"/>
      <c r="AM1099" s="1260"/>
      <c r="AN1099" s="1260"/>
      <c r="AO1099" s="1260"/>
      <c r="AP1099" s="1260"/>
      <c r="AQ1099" s="1260"/>
      <c r="AR1099" s="1260"/>
      <c r="AS1099" s="13"/>
    </row>
    <row r="1100" spans="1:45" ht="12.95" customHeight="1">
      <c r="A1100" s="1"/>
      <c r="B1100" s="1"/>
      <c r="C1100" s="1312"/>
      <c r="D1100" s="1312"/>
      <c r="E1100" s="1260"/>
      <c r="F1100" s="1260"/>
      <c r="G1100" s="1260"/>
      <c r="H1100" s="1260"/>
      <c r="I1100" s="1260"/>
      <c r="J1100" s="1260"/>
      <c r="K1100" s="1260"/>
      <c r="L1100" s="1260"/>
      <c r="M1100" s="1260"/>
      <c r="N1100" s="1260"/>
      <c r="O1100" s="1260"/>
      <c r="P1100" s="1260"/>
      <c r="Q1100" s="1260"/>
      <c r="R1100" s="1260"/>
      <c r="S1100" s="1260"/>
      <c r="T1100" s="1260"/>
      <c r="U1100" s="1260"/>
      <c r="V1100" s="1260"/>
      <c r="W1100" s="1260"/>
      <c r="X1100" s="1260"/>
      <c r="Y1100" s="1260"/>
      <c r="Z1100" s="1260"/>
      <c r="AA1100" s="1260"/>
      <c r="AB1100" s="1260"/>
      <c r="AC1100" s="1260"/>
      <c r="AD1100" s="1260"/>
      <c r="AE1100" s="1260"/>
      <c r="AF1100" s="1260"/>
      <c r="AG1100" s="1260"/>
      <c r="AH1100" s="1260"/>
      <c r="AI1100" s="1260"/>
      <c r="AJ1100" s="1260"/>
      <c r="AK1100" s="1260"/>
      <c r="AL1100" s="1260"/>
      <c r="AM1100" s="1260"/>
      <c r="AN1100" s="1260"/>
      <c r="AO1100" s="1260"/>
      <c r="AP1100" s="1260"/>
      <c r="AQ1100" s="1260"/>
      <c r="AR1100" s="1260"/>
      <c r="AS1100" s="13"/>
    </row>
    <row r="1101" spans="1:45" ht="12.95" customHeight="1">
      <c r="A1101" s="1"/>
      <c r="B1101" s="1"/>
      <c r="C1101" s="1312"/>
      <c r="D1101" s="1312"/>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12"/>
      <c r="D1102" s="1312"/>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10" t="s">
        <v>822</v>
      </c>
      <c r="B1103" s="1310"/>
      <c r="C1103" s="1312">
        <v>8</v>
      </c>
      <c r="D1103" s="1312"/>
      <c r="E1103" s="1260" t="s">
        <v>1741</v>
      </c>
      <c r="F1103" s="1260"/>
      <c r="G1103" s="1260"/>
      <c r="H1103" s="1260"/>
      <c r="I1103" s="1260"/>
      <c r="J1103" s="1260"/>
      <c r="K1103" s="1260"/>
      <c r="L1103" s="1260"/>
      <c r="M1103" s="1260"/>
      <c r="N1103" s="1260"/>
      <c r="O1103" s="1260"/>
      <c r="P1103" s="1260"/>
      <c r="Q1103" s="1260"/>
      <c r="R1103" s="1260"/>
      <c r="S1103" s="1260"/>
      <c r="T1103" s="1260"/>
      <c r="U1103" s="1260"/>
      <c r="V1103" s="1260"/>
      <c r="W1103" s="1260"/>
      <c r="X1103" s="1260"/>
      <c r="Y1103" s="1260"/>
      <c r="Z1103" s="1260"/>
      <c r="AA1103" s="1260"/>
      <c r="AB1103" s="1260"/>
      <c r="AC1103" s="1260"/>
      <c r="AD1103" s="1260"/>
      <c r="AE1103" s="1260"/>
      <c r="AF1103" s="1260"/>
      <c r="AG1103" s="1260"/>
      <c r="AH1103" s="1260"/>
      <c r="AI1103" s="1260"/>
      <c r="AJ1103" s="1260"/>
      <c r="AK1103" s="1260"/>
      <c r="AL1103" s="1260"/>
      <c r="AM1103" s="1260"/>
      <c r="AN1103" s="1260"/>
      <c r="AO1103" s="1260"/>
      <c r="AP1103" s="1260"/>
      <c r="AQ1103" s="1260"/>
      <c r="AR1103" s="1260"/>
    </row>
    <row r="1104" spans="1:45" ht="12.95" customHeight="1">
      <c r="A1104" s="84"/>
      <c r="B1104" s="21"/>
      <c r="C1104" s="1312"/>
      <c r="D1104" s="1312"/>
      <c r="E1104" s="1260"/>
      <c r="F1104" s="1260"/>
      <c r="G1104" s="1260"/>
      <c r="H1104" s="1260"/>
      <c r="I1104" s="1260"/>
      <c r="J1104" s="1260"/>
      <c r="K1104" s="1260"/>
      <c r="L1104" s="1260"/>
      <c r="M1104" s="1260"/>
      <c r="N1104" s="1260"/>
      <c r="O1104" s="1260"/>
      <c r="P1104" s="1260"/>
      <c r="Q1104" s="1260"/>
      <c r="R1104" s="1260"/>
      <c r="S1104" s="1260"/>
      <c r="T1104" s="1260"/>
      <c r="U1104" s="1260"/>
      <c r="V1104" s="1260"/>
      <c r="W1104" s="1260"/>
      <c r="X1104" s="1260"/>
      <c r="Y1104" s="1260"/>
      <c r="Z1104" s="1260"/>
      <c r="AA1104" s="1260"/>
      <c r="AB1104" s="1260"/>
      <c r="AC1104" s="1260"/>
      <c r="AD1104" s="1260"/>
      <c r="AE1104" s="1260"/>
      <c r="AF1104" s="1260"/>
      <c r="AG1104" s="1260"/>
      <c r="AH1104" s="1260"/>
      <c r="AI1104" s="1260"/>
      <c r="AJ1104" s="1260"/>
      <c r="AK1104" s="1260"/>
      <c r="AL1104" s="1260"/>
      <c r="AM1104" s="1260"/>
      <c r="AN1104" s="1260"/>
      <c r="AO1104" s="1260"/>
      <c r="AP1104" s="1260"/>
      <c r="AQ1104" s="1260"/>
      <c r="AR1104" s="1260"/>
    </row>
    <row r="1105" spans="1:44" ht="12.95" customHeight="1">
      <c r="A1105" s="84"/>
      <c r="B1105" s="21"/>
      <c r="C1105" s="1312"/>
      <c r="D1105" s="1312"/>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10" t="s">
        <v>822</v>
      </c>
      <c r="B1106" s="1310"/>
      <c r="C1106" s="1311">
        <v>9</v>
      </c>
      <c r="D1106" s="1311"/>
      <c r="E1106" s="1260" t="s">
        <v>1742</v>
      </c>
      <c r="F1106" s="1260"/>
      <c r="G1106" s="1260"/>
      <c r="H1106" s="1260"/>
      <c r="I1106" s="1260"/>
      <c r="J1106" s="1260"/>
      <c r="K1106" s="1260"/>
      <c r="L1106" s="1260"/>
      <c r="M1106" s="1260"/>
      <c r="N1106" s="1260"/>
      <c r="O1106" s="1260"/>
      <c r="P1106" s="1260"/>
      <c r="Q1106" s="1260"/>
      <c r="R1106" s="1260"/>
      <c r="S1106" s="1260"/>
      <c r="T1106" s="1260"/>
      <c r="U1106" s="1260"/>
      <c r="V1106" s="1260"/>
      <c r="W1106" s="1260"/>
      <c r="X1106" s="1260"/>
      <c r="Y1106" s="1260"/>
      <c r="Z1106" s="1260"/>
      <c r="AA1106" s="1260"/>
      <c r="AB1106" s="1260"/>
      <c r="AC1106" s="1260"/>
      <c r="AD1106" s="1260"/>
      <c r="AE1106" s="1260"/>
      <c r="AF1106" s="1260"/>
      <c r="AG1106" s="1260"/>
      <c r="AH1106" s="1260"/>
      <c r="AI1106" s="1260"/>
      <c r="AJ1106" s="1260"/>
      <c r="AK1106" s="1260"/>
      <c r="AL1106" s="1260"/>
      <c r="AM1106" s="1260"/>
      <c r="AN1106" s="1260"/>
      <c r="AO1106" s="1260"/>
      <c r="AP1106" s="1260"/>
      <c r="AQ1106" s="1260"/>
      <c r="AR1106" s="1260"/>
    </row>
    <row r="1107" spans="1:44" ht="12.95" customHeight="1">
      <c r="A1107" s="1"/>
      <c r="B1107" s="1"/>
      <c r="C1107" s="1311"/>
      <c r="D1107" s="1311"/>
      <c r="E1107" s="1260"/>
      <c r="F1107" s="1260"/>
      <c r="G1107" s="1260"/>
      <c r="H1107" s="1260"/>
      <c r="I1107" s="1260"/>
      <c r="J1107" s="1260"/>
      <c r="K1107" s="1260"/>
      <c r="L1107" s="1260"/>
      <c r="M1107" s="1260"/>
      <c r="N1107" s="1260"/>
      <c r="O1107" s="1260"/>
      <c r="P1107" s="1260"/>
      <c r="Q1107" s="1260"/>
      <c r="R1107" s="1260"/>
      <c r="S1107" s="1260"/>
      <c r="T1107" s="1260"/>
      <c r="U1107" s="1260"/>
      <c r="V1107" s="1260"/>
      <c r="W1107" s="1260"/>
      <c r="X1107" s="1260"/>
      <c r="Y1107" s="1260"/>
      <c r="Z1107" s="1260"/>
      <c r="AA1107" s="1260"/>
      <c r="AB1107" s="1260"/>
      <c r="AC1107" s="1260"/>
      <c r="AD1107" s="1260"/>
      <c r="AE1107" s="1260"/>
      <c r="AF1107" s="1260"/>
      <c r="AG1107" s="1260"/>
      <c r="AH1107" s="1260"/>
      <c r="AI1107" s="1260"/>
      <c r="AJ1107" s="1260"/>
      <c r="AK1107" s="1260"/>
      <c r="AL1107" s="1260"/>
      <c r="AM1107" s="1260"/>
      <c r="AN1107" s="1260"/>
      <c r="AO1107" s="1260"/>
      <c r="AP1107" s="1260"/>
      <c r="AQ1107" s="1260"/>
      <c r="AR1107" s="1260"/>
    </row>
    <row r="1108" spans="1:44" ht="12.95" customHeight="1">
      <c r="A1108" s="84"/>
      <c r="B1108" s="21"/>
      <c r="C1108" s="1311"/>
      <c r="D1108" s="1311"/>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10" t="s">
        <v>822</v>
      </c>
      <c r="B1109" s="1310"/>
      <c r="C1109" s="1311">
        <v>10</v>
      </c>
      <c r="D1109" s="1311"/>
      <c r="E1109" s="1262" t="s">
        <v>1743</v>
      </c>
      <c r="F1109" s="1262"/>
      <c r="G1109" s="1262"/>
      <c r="H1109" s="1262"/>
      <c r="I1109" s="1262"/>
      <c r="J1109" s="1262"/>
      <c r="K1109" s="1262"/>
      <c r="L1109" s="1262"/>
      <c r="M1109" s="1262"/>
      <c r="N1109" s="1262"/>
      <c r="O1109" s="1262"/>
      <c r="P1109" s="1262"/>
      <c r="Q1109" s="1262"/>
      <c r="R1109" s="1262"/>
      <c r="S1109" s="1262"/>
      <c r="T1109" s="1262"/>
      <c r="U1109" s="1262"/>
      <c r="V1109" s="1262"/>
      <c r="W1109" s="1262"/>
      <c r="X1109" s="1262"/>
      <c r="Y1109" s="1262"/>
      <c r="Z1109" s="1262"/>
      <c r="AA1109" s="1262"/>
      <c r="AB1109" s="1262"/>
      <c r="AC1109" s="1262"/>
      <c r="AD1109" s="1262"/>
      <c r="AE1109" s="1262"/>
      <c r="AF1109" s="1262"/>
      <c r="AG1109" s="1262"/>
      <c r="AH1109" s="1262"/>
      <c r="AI1109" s="1262"/>
      <c r="AJ1109" s="1262"/>
      <c r="AK1109" s="1262"/>
      <c r="AL1109" s="1262"/>
      <c r="AM1109" s="1262"/>
      <c r="AN1109" s="1262"/>
      <c r="AO1109" s="1262"/>
      <c r="AP1109" s="1262"/>
      <c r="AQ1109" s="1262"/>
      <c r="AR1109" s="1262"/>
    </row>
    <row r="1110" spans="1:44" ht="12.95" customHeight="1">
      <c r="A1110" s="1"/>
      <c r="B1110" s="1"/>
      <c r="C1110" s="1206"/>
      <c r="D1110" s="1043"/>
      <c r="E1110" s="1262"/>
      <c r="F1110" s="1262"/>
      <c r="G1110" s="1262"/>
      <c r="H1110" s="1262"/>
      <c r="I1110" s="1262"/>
      <c r="J1110" s="1262"/>
      <c r="K1110" s="1262"/>
      <c r="L1110" s="1262"/>
      <c r="M1110" s="1262"/>
      <c r="N1110" s="1262"/>
      <c r="O1110" s="1262"/>
      <c r="P1110" s="1262"/>
      <c r="Q1110" s="1262"/>
      <c r="R1110" s="1262"/>
      <c r="S1110" s="1262"/>
      <c r="T1110" s="1262"/>
      <c r="U1110" s="1262"/>
      <c r="V1110" s="1262"/>
      <c r="W1110" s="1262"/>
      <c r="X1110" s="1262"/>
      <c r="Y1110" s="1262"/>
      <c r="Z1110" s="1262"/>
      <c r="AA1110" s="1262"/>
      <c r="AB1110" s="1262"/>
      <c r="AC1110" s="1262"/>
      <c r="AD1110" s="1262"/>
      <c r="AE1110" s="1262"/>
      <c r="AF1110" s="1262"/>
      <c r="AG1110" s="1262"/>
      <c r="AH1110" s="1262"/>
      <c r="AI1110" s="1262"/>
      <c r="AJ1110" s="1262"/>
      <c r="AK1110" s="1262"/>
      <c r="AL1110" s="1262"/>
      <c r="AM1110" s="1262"/>
      <c r="AN1110" s="1262"/>
      <c r="AO1110" s="1262"/>
      <c r="AP1110" s="1262"/>
      <c r="AQ1110" s="1262"/>
      <c r="AR1110" s="1262"/>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10" t="s">
        <v>822</v>
      </c>
      <c r="B1112" s="1310"/>
      <c r="C1112" s="1311">
        <v>11</v>
      </c>
      <c r="D1112" s="1311"/>
      <c r="E1112" s="1262" t="s">
        <v>1744</v>
      </c>
      <c r="F1112" s="1262"/>
      <c r="G1112" s="1262"/>
      <c r="H1112" s="1262"/>
      <c r="I1112" s="1262"/>
      <c r="J1112" s="1262"/>
      <c r="K1112" s="1262"/>
      <c r="L1112" s="1262"/>
      <c r="M1112" s="1262"/>
      <c r="N1112" s="1262"/>
      <c r="O1112" s="1262"/>
      <c r="P1112" s="1262"/>
      <c r="Q1112" s="1262"/>
      <c r="R1112" s="1262"/>
      <c r="S1112" s="1262"/>
      <c r="T1112" s="1262"/>
      <c r="U1112" s="1262"/>
      <c r="V1112" s="1262"/>
      <c r="W1112" s="1262"/>
      <c r="X1112" s="1262"/>
      <c r="Y1112" s="1262"/>
      <c r="Z1112" s="1262"/>
      <c r="AA1112" s="1262"/>
      <c r="AB1112" s="1262"/>
      <c r="AC1112" s="1262"/>
      <c r="AD1112" s="1262"/>
      <c r="AE1112" s="1262"/>
      <c r="AF1112" s="1262"/>
      <c r="AG1112" s="1262"/>
      <c r="AH1112" s="1262"/>
      <c r="AI1112" s="1262"/>
      <c r="AJ1112" s="1262"/>
      <c r="AK1112" s="1262"/>
      <c r="AL1112" s="1262"/>
      <c r="AM1112" s="1262"/>
      <c r="AN1112" s="1262"/>
      <c r="AO1112" s="1262"/>
      <c r="AP1112" s="1262"/>
      <c r="AQ1112" s="1262"/>
      <c r="AR1112" s="1262"/>
    </row>
    <row r="1113" spans="1:44" ht="12.95" customHeight="1">
      <c r="A1113" s="1"/>
      <c r="B1113" s="1"/>
      <c r="C1113" s="1206"/>
      <c r="D1113" s="1043"/>
      <c r="E1113" s="1262"/>
      <c r="F1113" s="1262"/>
      <c r="G1113" s="1262"/>
      <c r="H1113" s="1262"/>
      <c r="I1113" s="1262"/>
      <c r="J1113" s="1262"/>
      <c r="K1113" s="1262"/>
      <c r="L1113" s="1262"/>
      <c r="M1113" s="1262"/>
      <c r="N1113" s="1262"/>
      <c r="O1113" s="1262"/>
      <c r="P1113" s="1262"/>
      <c r="Q1113" s="1262"/>
      <c r="R1113" s="1262"/>
      <c r="S1113" s="1262"/>
      <c r="T1113" s="1262"/>
      <c r="U1113" s="1262"/>
      <c r="V1113" s="1262"/>
      <c r="W1113" s="1262"/>
      <c r="X1113" s="1262"/>
      <c r="Y1113" s="1262"/>
      <c r="Z1113" s="1262"/>
      <c r="AA1113" s="1262"/>
      <c r="AB1113" s="1262"/>
      <c r="AC1113" s="1262"/>
      <c r="AD1113" s="1262"/>
      <c r="AE1113" s="1262"/>
      <c r="AF1113" s="1262"/>
      <c r="AG1113" s="1262"/>
      <c r="AH1113" s="1262"/>
      <c r="AI1113" s="1262"/>
      <c r="AJ1113" s="1262"/>
      <c r="AK1113" s="1262"/>
      <c r="AL1113" s="1262"/>
      <c r="AM1113" s="1262"/>
      <c r="AN1113" s="1262"/>
      <c r="AO1113" s="1262"/>
      <c r="AP1113" s="1262"/>
      <c r="AQ1113" s="1262"/>
      <c r="AR1113" s="1262"/>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10" t="s">
        <v>822</v>
      </c>
      <c r="B1134" s="1310"/>
      <c r="C1134" s="1206">
        <v>9</v>
      </c>
      <c r="D1134" s="1230" t="s">
        <v>1745</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84"/>
      <c r="B1135" s="21"/>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O800:DS800"/>
    <mergeCell ref="CI760:CJ760"/>
    <mergeCell ref="DO802:DS802"/>
    <mergeCell ref="DO803:DS803"/>
    <mergeCell ref="DO804:DS804"/>
    <mergeCell ref="AK751:AO751"/>
    <mergeCell ref="AK752:AO752"/>
    <mergeCell ref="X751:AB751"/>
    <mergeCell ref="X752:AB752"/>
    <mergeCell ref="AH751:AJ751"/>
    <mergeCell ref="AH752:AJ752"/>
    <mergeCell ref="G739:J739"/>
    <mergeCell ref="X746:AB746"/>
    <mergeCell ref="X737:AB737"/>
    <mergeCell ref="J787:K787"/>
    <mergeCell ref="CM759:CN759"/>
    <mergeCell ref="AK756:AO756"/>
    <mergeCell ref="AC758:AG758"/>
    <mergeCell ref="AC759:AG759"/>
    <mergeCell ref="O753:S753"/>
    <mergeCell ref="T750:W750"/>
    <mergeCell ref="X753:AB753"/>
    <mergeCell ref="AC747:AG747"/>
    <mergeCell ref="X740:AB740"/>
    <mergeCell ref="AH760:AJ760"/>
    <mergeCell ref="X754:AB754"/>
    <mergeCell ref="CM754:CN754"/>
    <mergeCell ref="CG747:CH747"/>
    <mergeCell ref="CG748:CH748"/>
    <mergeCell ref="CK745:CL745"/>
    <mergeCell ref="CG740:CH740"/>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DO801:DS801"/>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DE796:DI796"/>
    <mergeCell ref="DE798:DI798"/>
    <mergeCell ref="DE799:DI799"/>
    <mergeCell ref="DE800:DI800"/>
    <mergeCell ref="CK754:CL754"/>
    <mergeCell ref="CI757:CJ757"/>
    <mergeCell ref="CK757:CL757"/>
    <mergeCell ref="CG758:CH758"/>
    <mergeCell ref="AK754:AO754"/>
    <mergeCell ref="CM761:CN761"/>
    <mergeCell ref="CG755:CH755"/>
    <mergeCell ref="CI755:CJ755"/>
    <mergeCell ref="CK755:CL755"/>
    <mergeCell ref="CM755:CN755"/>
    <mergeCell ref="AH761:AJ761"/>
    <mergeCell ref="AK753:AO753"/>
    <mergeCell ref="AK760:AO760"/>
    <mergeCell ref="CI756:CJ756"/>
    <mergeCell ref="CI749:CJ749"/>
    <mergeCell ref="AK755:AO755"/>
    <mergeCell ref="AC756:AG756"/>
    <mergeCell ref="CI758:CJ758"/>
    <mergeCell ref="CK760:CL760"/>
    <mergeCell ref="CI750:CJ750"/>
    <mergeCell ref="CG750:CH750"/>
    <mergeCell ref="CG749:CH749"/>
    <mergeCell ref="AK749:AO749"/>
    <mergeCell ref="CM750:CN750"/>
    <mergeCell ref="CK758:CL758"/>
    <mergeCell ref="AH753:AJ753"/>
    <mergeCell ref="AH754:AJ754"/>
    <mergeCell ref="AH755:AJ755"/>
    <mergeCell ref="AH756:AJ756"/>
    <mergeCell ref="AH757:AJ757"/>
    <mergeCell ref="AH749:AJ749"/>
    <mergeCell ref="CK750:CL750"/>
    <mergeCell ref="CM752:CN752"/>
    <mergeCell ref="FO760:FS760"/>
    <mergeCell ref="FE761:FI761"/>
    <mergeCell ref="DE754:DI754"/>
    <mergeCell ref="DJ755:DN755"/>
    <mergeCell ref="EJ761:EN761"/>
    <mergeCell ref="CP795:CT795"/>
    <mergeCell ref="CU783:CY783"/>
    <mergeCell ref="CZ754:DD754"/>
    <mergeCell ref="FJ761:FN761"/>
    <mergeCell ref="FO758:FS758"/>
    <mergeCell ref="CK746:CL746"/>
    <mergeCell ref="CI761:CJ761"/>
    <mergeCell ref="CK759:CL759"/>
    <mergeCell ref="CM748:CN748"/>
    <mergeCell ref="CI759:CJ759"/>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FT761:FX761"/>
    <mergeCell ref="FT759:FX759"/>
    <mergeCell ref="FT760:FX760"/>
    <mergeCell ref="EZ759:FD759"/>
    <mergeCell ref="FE753:FI753"/>
    <mergeCell ref="FJ753:FN753"/>
    <mergeCell ref="FO753:FS753"/>
    <mergeCell ref="FT753:FX753"/>
    <mergeCell ref="ET759:EX759"/>
    <mergeCell ref="EJ759:EN759"/>
    <mergeCell ref="EZ761:FD761"/>
    <mergeCell ref="CG746:CH746"/>
    <mergeCell ref="CK747:CL747"/>
    <mergeCell ref="DE795:DI795"/>
    <mergeCell ref="CM758:CN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CU755:CY755"/>
    <mergeCell ref="CZ755:DD755"/>
    <mergeCell ref="CM757:CN757"/>
    <mergeCell ref="EC667:EG667"/>
    <mergeCell ref="FE759:FI759"/>
    <mergeCell ref="FJ759:FN759"/>
    <mergeCell ref="EZ760:FD760"/>
    <mergeCell ref="FE760:FI760"/>
    <mergeCell ref="FJ760:FN760"/>
    <mergeCell ref="EZ754:FD754"/>
    <mergeCell ref="ET753:EX753"/>
    <mergeCell ref="DU754:DY754"/>
    <mergeCell ref="DZ754:ED754"/>
    <mergeCell ref="EE754:EI754"/>
    <mergeCell ref="EJ754:EN754"/>
    <mergeCell ref="EO754:ES754"/>
    <mergeCell ref="ET754:EX754"/>
    <mergeCell ref="DU755:DY755"/>
    <mergeCell ref="DZ755:ED755"/>
    <mergeCell ref="EZ756:FD756"/>
    <mergeCell ref="EC676:EG676"/>
    <mergeCell ref="DU731:DY731"/>
    <mergeCell ref="DZ731:ED731"/>
    <mergeCell ref="EE727:EI727"/>
    <mergeCell ref="EE730:EI730"/>
    <mergeCell ref="DZ726:ED726"/>
    <mergeCell ref="EE726:EI726"/>
    <mergeCell ref="DZ736:ED736"/>
    <mergeCell ref="EJ739:EN739"/>
    <mergeCell ref="DU740:DY740"/>
    <mergeCell ref="DZ734:ED734"/>
    <mergeCell ref="DU736:DY736"/>
    <mergeCell ref="ET731:EX731"/>
    <mergeCell ref="ET760:EX760"/>
    <mergeCell ref="EO759:ES759"/>
    <mergeCell ref="DO726:DS726"/>
    <mergeCell ref="DX672:EB672"/>
    <mergeCell ref="EC645:EG645"/>
    <mergeCell ref="DX659:EB659"/>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FY756:GC756"/>
    <mergeCell ref="EZ757:FD757"/>
    <mergeCell ref="FE757:FI757"/>
    <mergeCell ref="DO734:DS734"/>
    <mergeCell ref="EZ755:FD755"/>
    <mergeCell ref="FE755:FI755"/>
    <mergeCell ref="DJ752:DN752"/>
    <mergeCell ref="EW644:FA644"/>
    <mergeCell ref="ER645:EV645"/>
    <mergeCell ref="DE756:DI756"/>
    <mergeCell ref="DJ756:DN756"/>
    <mergeCell ref="DO756:DS756"/>
    <mergeCell ref="DE755:DI755"/>
    <mergeCell ref="EM671:EQ671"/>
    <mergeCell ref="ER671:EV671"/>
    <mergeCell ref="EW671:FA671"/>
    <mergeCell ref="ET752:EX752"/>
    <mergeCell ref="DJ751:DN751"/>
    <mergeCell ref="DO751:DS751"/>
    <mergeCell ref="DO752:DS752"/>
    <mergeCell ref="DO750:DS750"/>
    <mergeCell ref="DE751:DI751"/>
    <mergeCell ref="EZ751:FD751"/>
    <mergeCell ref="DO755:DS755"/>
    <mergeCell ref="EZ749:FD749"/>
    <mergeCell ref="ET749:EX749"/>
    <mergeCell ref="DU750:DY750"/>
    <mergeCell ref="DZ750:ED750"/>
    <mergeCell ref="ET750:EX750"/>
    <mergeCell ref="EE749:EI749"/>
    <mergeCell ref="EJ749:EN749"/>
    <mergeCell ref="EO749:ES749"/>
    <mergeCell ref="DE740:DI740"/>
    <mergeCell ref="DJ736:DN736"/>
    <mergeCell ref="DE745:DI745"/>
    <mergeCell ref="CP742:CT742"/>
    <mergeCell ref="FY757:GC757"/>
    <mergeCell ref="FE754:FI754"/>
    <mergeCell ref="FJ754:FN754"/>
    <mergeCell ref="FO754:FS754"/>
    <mergeCell ref="DU753:DY753"/>
    <mergeCell ref="DZ753:ED753"/>
    <mergeCell ref="EJ753:EN753"/>
    <mergeCell ref="FY754:GC754"/>
    <mergeCell ref="FY755:GC755"/>
    <mergeCell ref="FY758:GC758"/>
    <mergeCell ref="FT754:FX754"/>
    <mergeCell ref="ET757:EX757"/>
    <mergeCell ref="FE749:FI749"/>
    <mergeCell ref="FE750:FI750"/>
    <mergeCell ref="FJ750:FN750"/>
    <mergeCell ref="FO750:FS750"/>
    <mergeCell ref="FJ749:FN749"/>
    <mergeCell ref="FO749:FS749"/>
    <mergeCell ref="FJ751:FN751"/>
    <mergeCell ref="FO751:FS751"/>
    <mergeCell ref="CP758:CT758"/>
    <mergeCell ref="CU758:CY758"/>
    <mergeCell ref="CZ752:DD752"/>
    <mergeCell ref="FJ757:FN757"/>
    <mergeCell ref="FO757:FS757"/>
    <mergeCell ref="FY753:GC753"/>
    <mergeCell ref="CP757:CT757"/>
    <mergeCell ref="CU750:CY750"/>
    <mergeCell ref="CZ750:DD750"/>
    <mergeCell ref="CU751:CY751"/>
    <mergeCell ref="CZ751:DD751"/>
    <mergeCell ref="Q493:AK493"/>
    <mergeCell ref="AC533:AF533"/>
    <mergeCell ref="Q495:AK495"/>
    <mergeCell ref="Q494:AK494"/>
    <mergeCell ref="AH510:AK510"/>
    <mergeCell ref="AC507:AK507"/>
    <mergeCell ref="AC538:AF538"/>
    <mergeCell ref="O540:AA540"/>
    <mergeCell ref="S497:AK498"/>
    <mergeCell ref="AC536:AF536"/>
    <mergeCell ref="W572:Y572"/>
    <mergeCell ref="W573:Y573"/>
    <mergeCell ref="AF582:AK582"/>
    <mergeCell ref="Z593:AK593"/>
    <mergeCell ref="G587:R587"/>
    <mergeCell ref="G602:R602"/>
    <mergeCell ref="CZ730:DD730"/>
    <mergeCell ref="CI730:CJ730"/>
    <mergeCell ref="CG729:CH729"/>
    <mergeCell ref="CZ725:DD725"/>
    <mergeCell ref="Z652:AK652"/>
    <mergeCell ref="Z653:AK653"/>
    <mergeCell ref="Z654:AK654"/>
    <mergeCell ref="L516:AB516"/>
    <mergeCell ref="O528:AA528"/>
    <mergeCell ref="AH526:AK526"/>
    <mergeCell ref="AC522:AF522"/>
    <mergeCell ref="AH546:AK546"/>
    <mergeCell ref="Q502:AK502"/>
    <mergeCell ref="AH539:AK539"/>
    <mergeCell ref="AH548:AK548"/>
    <mergeCell ref="AC523:AF523"/>
    <mergeCell ref="CK741:CL741"/>
    <mergeCell ref="CG752:CH752"/>
    <mergeCell ref="CI752:CJ752"/>
    <mergeCell ref="AM565:AS565"/>
    <mergeCell ref="W638:Y638"/>
    <mergeCell ref="O537:AA537"/>
    <mergeCell ref="CU727:CY727"/>
    <mergeCell ref="ET730:EX730"/>
    <mergeCell ref="EZ750:FD750"/>
    <mergeCell ref="FE751:FI751"/>
    <mergeCell ref="CP755:CT755"/>
    <mergeCell ref="CG756:CH756"/>
    <mergeCell ref="CK727:CL727"/>
    <mergeCell ref="CG732:CH732"/>
    <mergeCell ref="CG738:CH738"/>
    <mergeCell ref="CG736:CH736"/>
    <mergeCell ref="CM753:CN753"/>
    <mergeCell ref="CG754:CH754"/>
    <mergeCell ref="CI754:CJ754"/>
    <mergeCell ref="CG753:CH753"/>
    <mergeCell ref="CI753:CJ753"/>
    <mergeCell ref="CP752:CT752"/>
    <mergeCell ref="CM730:CN730"/>
    <mergeCell ref="AH736:AJ736"/>
    <mergeCell ref="AK739:AO739"/>
    <mergeCell ref="AH543:AK543"/>
    <mergeCell ref="AC540:AF540"/>
    <mergeCell ref="AC539:AF539"/>
    <mergeCell ref="AC547:AF547"/>
    <mergeCell ref="CZ731:DD731"/>
    <mergeCell ref="CU730:CY730"/>
    <mergeCell ref="DU749:DY749"/>
    <mergeCell ref="FT751:FX751"/>
    <mergeCell ref="EW670:FA670"/>
    <mergeCell ref="DX671:EB671"/>
    <mergeCell ref="B528:H5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FY749:GC749"/>
    <mergeCell ref="EC671:EG671"/>
    <mergeCell ref="FY750:GC750"/>
    <mergeCell ref="W559:Y561"/>
    <mergeCell ref="CG739:CH739"/>
    <mergeCell ref="CP730:CT730"/>
    <mergeCell ref="CP726:CT726"/>
    <mergeCell ref="CI726:CJ726"/>
    <mergeCell ref="CI732:CJ732"/>
    <mergeCell ref="CM739:CN739"/>
    <mergeCell ref="CK730:CL730"/>
    <mergeCell ref="AG697:AH697"/>
    <mergeCell ref="D457:AF457"/>
    <mergeCell ref="AG454:AJ454"/>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K642:AN642"/>
    <mergeCell ref="AK643:AN643"/>
    <mergeCell ref="CU728:CY728"/>
    <mergeCell ref="CU731:CY731"/>
    <mergeCell ref="DE735:DI735"/>
    <mergeCell ref="AC464:AF464"/>
    <mergeCell ref="D474:V474"/>
    <mergeCell ref="Q499:AK499"/>
    <mergeCell ref="AH503:AK503"/>
    <mergeCell ref="D473:V473"/>
    <mergeCell ref="AC517:AF517"/>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AC514:AF514"/>
    <mergeCell ref="D475:V475"/>
    <mergeCell ref="AG450:AJ450"/>
    <mergeCell ref="AH541:AK541"/>
    <mergeCell ref="O543:AA543"/>
    <mergeCell ref="AH531:AK531"/>
    <mergeCell ref="AH513:AK513"/>
    <mergeCell ref="AH536:AK536"/>
    <mergeCell ref="AH532:AK532"/>
    <mergeCell ref="AH533:AK533"/>
    <mergeCell ref="AC515:AF515"/>
    <mergeCell ref="AH527:AK527"/>
    <mergeCell ref="AH544:AK544"/>
    <mergeCell ref="AC545:AF545"/>
    <mergeCell ref="O534:AA534"/>
    <mergeCell ref="AC537:AF537"/>
    <mergeCell ref="AH538:AK538"/>
    <mergeCell ref="AC525:AF525"/>
    <mergeCell ref="AC512:AF512"/>
    <mergeCell ref="AC546:AF54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Q568:S568"/>
    <mergeCell ref="Q573:S573"/>
    <mergeCell ref="Q569:S569"/>
    <mergeCell ref="Q565:S565"/>
    <mergeCell ref="C564:L564"/>
    <mergeCell ref="M564:P564"/>
    <mergeCell ref="C567:L567"/>
    <mergeCell ref="B559:L561"/>
    <mergeCell ref="E429:AJ429"/>
    <mergeCell ref="D446:AF446"/>
    <mergeCell ref="D451:AF451"/>
    <mergeCell ref="AF439:AG439"/>
    <mergeCell ref="AG446:AJ446"/>
    <mergeCell ref="AC513:AF513"/>
    <mergeCell ref="AH530:AK530"/>
    <mergeCell ref="Q497:R498"/>
    <mergeCell ref="Q496:AK496"/>
    <mergeCell ref="T737:W737"/>
    <mergeCell ref="T730:W730"/>
    <mergeCell ref="K737:N737"/>
    <mergeCell ref="N697:O697"/>
    <mergeCell ref="AA696:AK696"/>
    <mergeCell ref="AE710:AF710"/>
    <mergeCell ref="M645:P645"/>
    <mergeCell ref="M646:P646"/>
    <mergeCell ref="W646:Y646"/>
    <mergeCell ref="Z662:AK662"/>
    <mergeCell ref="P655:R655"/>
    <mergeCell ref="AI655:AK655"/>
    <mergeCell ref="T735:W735"/>
    <mergeCell ref="X731:AB731"/>
    <mergeCell ref="O732:S732"/>
    <mergeCell ref="T733:W733"/>
    <mergeCell ref="K735:N735"/>
    <mergeCell ref="K734:N734"/>
    <mergeCell ref="K733:N733"/>
    <mergeCell ref="O728:S728"/>
    <mergeCell ref="K727:N727"/>
    <mergeCell ref="Z686:AK686"/>
    <mergeCell ref="Z685:AK685"/>
    <mergeCell ref="G679:L679"/>
    <mergeCell ref="G677:R677"/>
    <mergeCell ref="AC729:AG729"/>
    <mergeCell ref="AH728:AJ728"/>
    <mergeCell ref="AH729:AJ729"/>
    <mergeCell ref="AK727:AO727"/>
    <mergeCell ref="G686:R686"/>
    <mergeCell ref="P687:R687"/>
    <mergeCell ref="P679:R679"/>
    <mergeCell ref="AC465:AF465"/>
    <mergeCell ref="Z641:AB641"/>
    <mergeCell ref="AI687:AK687"/>
    <mergeCell ref="B511:H516"/>
    <mergeCell ref="D459:AF459"/>
    <mergeCell ref="I427:K427"/>
    <mergeCell ref="S422:T422"/>
    <mergeCell ref="Q563:S563"/>
    <mergeCell ref="Q559:S561"/>
    <mergeCell ref="M563:P563"/>
    <mergeCell ref="C563:L563"/>
    <mergeCell ref="W570:Y570"/>
    <mergeCell ref="T567:V567"/>
    <mergeCell ref="G678:R678"/>
    <mergeCell ref="Z677:AK677"/>
    <mergeCell ref="W645:Y645"/>
    <mergeCell ref="Z663:AE663"/>
    <mergeCell ref="AG673:AH673"/>
    <mergeCell ref="AG458:AJ458"/>
    <mergeCell ref="Z563:AD563"/>
    <mergeCell ref="AC529:AF529"/>
    <mergeCell ref="AH535:AK535"/>
    <mergeCell ref="M559:P561"/>
    <mergeCell ref="AC544:AF544"/>
    <mergeCell ref="D476:V476"/>
    <mergeCell ref="AC520:AF520"/>
    <mergeCell ref="AC550:AF550"/>
    <mergeCell ref="B497:P498"/>
    <mergeCell ref="D452:AF452"/>
    <mergeCell ref="Q438:R438"/>
    <mergeCell ref="D479:V479"/>
    <mergeCell ref="C643:L643"/>
    <mergeCell ref="E427:G427"/>
    <mergeCell ref="AD420:AE420"/>
    <mergeCell ref="F436:AH437"/>
    <mergeCell ref="J396:U396"/>
    <mergeCell ref="AA344:AK344"/>
    <mergeCell ref="Z443:AA443"/>
    <mergeCell ref="T564:V564"/>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Q402:U402"/>
    <mergeCell ref="AG389:AH389"/>
    <mergeCell ref="AC394:AJ394"/>
    <mergeCell ref="S411:U411"/>
    <mergeCell ref="AI401:AJ401"/>
    <mergeCell ref="AG403:AJ403"/>
    <mergeCell ref="AG388:AH388"/>
    <mergeCell ref="J395:U395"/>
    <mergeCell ref="T407:AJ407"/>
    <mergeCell ref="AG449:AJ449"/>
    <mergeCell ref="S410:U410"/>
    <mergeCell ref="AG410:AJ410"/>
    <mergeCell ref="AC396:AJ396"/>
    <mergeCell ref="V397:AJ397"/>
    <mergeCell ref="H321:R321"/>
    <mergeCell ref="AA330:AK330"/>
    <mergeCell ref="AA328:AK328"/>
    <mergeCell ref="H332:M332"/>
    <mergeCell ref="AA339:AK339"/>
    <mergeCell ref="H333:M333"/>
    <mergeCell ref="AG386:AH386"/>
    <mergeCell ref="S401:U401"/>
    <mergeCell ref="AG399:AJ399"/>
    <mergeCell ref="Q400:U400"/>
    <mergeCell ref="N381:Q381"/>
    <mergeCell ref="R421:S421"/>
    <mergeCell ref="I430:K430"/>
    <mergeCell ref="AE411:AJ411"/>
    <mergeCell ref="J397:U397"/>
    <mergeCell ref="P427:R427"/>
    <mergeCell ref="H336:R336"/>
    <mergeCell ref="H338:R338"/>
    <mergeCell ref="H339:R339"/>
    <mergeCell ref="H337:R337"/>
    <mergeCell ref="E187:AE188"/>
    <mergeCell ref="I189:P189"/>
    <mergeCell ref="AH197:AI197"/>
    <mergeCell ref="Z205:AN205"/>
    <mergeCell ref="A231:AT232"/>
    <mergeCell ref="T200:U200"/>
    <mergeCell ref="X198:AT199"/>
    <mergeCell ref="AH194:AI194"/>
    <mergeCell ref="AC220:AQ220"/>
    <mergeCell ref="D205:M205"/>
    <mergeCell ref="J174:AB174"/>
    <mergeCell ref="P348:R348"/>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AA329:AK329"/>
    <mergeCell ref="AA331:AK331"/>
    <mergeCell ref="AA332:AF332"/>
    <mergeCell ref="AA334:AK334"/>
    <mergeCell ref="A83:AT84"/>
    <mergeCell ref="T199:U199"/>
    <mergeCell ref="AC243:AE243"/>
    <mergeCell ref="D208:M208"/>
    <mergeCell ref="M242:AE242"/>
    <mergeCell ref="N191:AE192"/>
    <mergeCell ref="D211:M211"/>
    <mergeCell ref="AI237:AJ237"/>
    <mergeCell ref="M244:AE244"/>
    <mergeCell ref="V225:W225"/>
    <mergeCell ref="V224:W224"/>
    <mergeCell ref="V226:W226"/>
    <mergeCell ref="V227:W227"/>
    <mergeCell ref="V228:W228"/>
    <mergeCell ref="V229:W229"/>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Y123:AK123"/>
    <mergeCell ref="P113:S113"/>
    <mergeCell ref="F150:T150"/>
    <mergeCell ref="O155:AH155"/>
    <mergeCell ref="M261:AE261"/>
    <mergeCell ref="AC262:AE262"/>
    <mergeCell ref="AH255:AK255"/>
    <mergeCell ref="U264:W264"/>
    <mergeCell ref="AF268:AK268"/>
    <mergeCell ref="AC270:AE270"/>
    <mergeCell ref="M271:AE271"/>
    <mergeCell ref="O153:AH153"/>
    <mergeCell ref="O154:AH154"/>
    <mergeCell ref="M258:T258"/>
    <mergeCell ref="Z256:AE256"/>
    <mergeCell ref="W254:X254"/>
    <mergeCell ref="U256:W256"/>
    <mergeCell ref="T196:U196"/>
    <mergeCell ref="D220:Z220"/>
    <mergeCell ref="T193:AI193"/>
    <mergeCell ref="AI236:AJ236"/>
    <mergeCell ref="M246:AE246"/>
    <mergeCell ref="AA258:AK258"/>
    <mergeCell ref="M257:AE257"/>
    <mergeCell ref="AF252:AK252"/>
    <mergeCell ref="M243:T243"/>
    <mergeCell ref="W243:X243"/>
    <mergeCell ref="T212:U212"/>
    <mergeCell ref="J173:S173"/>
    <mergeCell ref="I185:AE185"/>
    <mergeCell ref="U245:W245"/>
    <mergeCell ref="T189:AE189"/>
    <mergeCell ref="U176:V176"/>
    <mergeCell ref="O156:AH156"/>
    <mergeCell ref="O157:X157"/>
    <mergeCell ref="T195:U195"/>
    <mergeCell ref="Y120:AK120"/>
    <mergeCell ref="O160:T160"/>
    <mergeCell ref="AI178:AK17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A340:AF340"/>
    <mergeCell ref="P324:R324"/>
    <mergeCell ref="N372:O372"/>
    <mergeCell ref="AA346:AK34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H334:R334"/>
    <mergeCell ref="AA322:AK322"/>
    <mergeCell ref="H328:R328"/>
    <mergeCell ref="AA317:AF317"/>
    <mergeCell ref="AA320:AK320"/>
    <mergeCell ref="AA315:AK315"/>
    <mergeCell ref="H317:M317"/>
    <mergeCell ref="P316:R316"/>
    <mergeCell ref="H314:R314"/>
    <mergeCell ref="AA350:AK350"/>
    <mergeCell ref="H322:R322"/>
    <mergeCell ref="H320:R320"/>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2:AK312"/>
    <mergeCell ref="D279:H279"/>
    <mergeCell ref="X279:AC279"/>
    <mergeCell ref="AA297:AK297"/>
    <mergeCell ref="H296:R296"/>
    <mergeCell ref="P308:R308"/>
    <mergeCell ref="H302:R302"/>
    <mergeCell ref="M273:AE273"/>
    <mergeCell ref="AB285:AD285"/>
    <mergeCell ref="Y287:AD287"/>
    <mergeCell ref="AA304:AK304"/>
    <mergeCell ref="AA308:AF308"/>
    <mergeCell ref="AI308:AK308"/>
    <mergeCell ref="H306:R306"/>
    <mergeCell ref="W270:X270"/>
    <mergeCell ref="U272:W272"/>
    <mergeCell ref="M266:T266"/>
    <mergeCell ref="M265:AE265"/>
    <mergeCell ref="AA309:AF309"/>
    <mergeCell ref="L285:S285"/>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AI316:AK316"/>
    <mergeCell ref="H313:R313"/>
    <mergeCell ref="H312:R312"/>
    <mergeCell ref="P433:Q433"/>
    <mergeCell ref="H323:R323"/>
    <mergeCell ref="H325:M325"/>
    <mergeCell ref="M263:AE263"/>
    <mergeCell ref="AA299:AK299"/>
    <mergeCell ref="AH271:AK271"/>
    <mergeCell ref="T276:X276"/>
    <mergeCell ref="AA300:AF300"/>
    <mergeCell ref="AI300:AK300"/>
    <mergeCell ref="H329:R329"/>
    <mergeCell ref="H305:R305"/>
    <mergeCell ref="P353:AE353"/>
    <mergeCell ref="AA347:AK347"/>
    <mergeCell ref="H346:R346"/>
    <mergeCell ref="P354:AE354"/>
    <mergeCell ref="M272:R272"/>
    <mergeCell ref="M274:T274"/>
    <mergeCell ref="L287:Q287"/>
    <mergeCell ref="AA298:AK298"/>
    <mergeCell ref="H316:M316"/>
    <mergeCell ref="P340:R340"/>
    <mergeCell ref="AA333:AF333"/>
    <mergeCell ref="AI332:AK332"/>
    <mergeCell ref="H326:R326"/>
    <mergeCell ref="P332:R332"/>
    <mergeCell ref="AA324:AF324"/>
    <mergeCell ref="P358:AE358"/>
    <mergeCell ref="AA307:AK307"/>
    <mergeCell ref="AA301:AF301"/>
    <mergeCell ref="H301:M301"/>
    <mergeCell ref="H318:R318"/>
    <mergeCell ref="M365:N365"/>
    <mergeCell ref="Z441:AA441"/>
    <mergeCell ref="D415:AJ416"/>
    <mergeCell ref="AA348:AF348"/>
    <mergeCell ref="M364:N364"/>
    <mergeCell ref="AI406:AJ406"/>
    <mergeCell ref="T408:AJ408"/>
    <mergeCell ref="AI348:AK348"/>
    <mergeCell ref="P357:Z357"/>
    <mergeCell ref="N382:AF383"/>
    <mergeCell ref="AJ364:AK364"/>
    <mergeCell ref="M367:N367"/>
    <mergeCell ref="AA323:AK323"/>
    <mergeCell ref="H345:R345"/>
    <mergeCell ref="V390:W390"/>
    <mergeCell ref="P430:R430"/>
    <mergeCell ref="Q398:U398"/>
    <mergeCell ref="AJ366:AK366"/>
    <mergeCell ref="B522:H524"/>
    <mergeCell ref="B525:H527"/>
    <mergeCell ref="AC463:AF463"/>
    <mergeCell ref="P434:Q434"/>
    <mergeCell ref="AA325:AF325"/>
    <mergeCell ref="AA306:AK306"/>
    <mergeCell ref="H297:R297"/>
    <mergeCell ref="D481:V481"/>
    <mergeCell ref="D478:V478"/>
    <mergeCell ref="D447:AF447"/>
    <mergeCell ref="H324:M324"/>
    <mergeCell ref="H330:R330"/>
    <mergeCell ref="H331:R331"/>
    <mergeCell ref="W476:Y476"/>
    <mergeCell ref="D454:AF454"/>
    <mergeCell ref="D460:AJ461"/>
    <mergeCell ref="AG456:AJ456"/>
    <mergeCell ref="D448:AF448"/>
    <mergeCell ref="AG451:AJ451"/>
    <mergeCell ref="AC356:AE356"/>
    <mergeCell ref="P352:AE352"/>
    <mergeCell ref="AA349:AF349"/>
    <mergeCell ref="AH517:AK517"/>
    <mergeCell ref="R420:S420"/>
    <mergeCell ref="W473:Y473"/>
    <mergeCell ref="G482:V482"/>
    <mergeCell ref="W475:Y475"/>
    <mergeCell ref="W478:Y478"/>
    <mergeCell ref="W477:Y477"/>
    <mergeCell ref="D450:AF450"/>
    <mergeCell ref="AI398:AJ398"/>
    <mergeCell ref="P356:Z356"/>
    <mergeCell ref="C562:L562"/>
    <mergeCell ref="AC541:AF541"/>
    <mergeCell ref="C570:L570"/>
    <mergeCell ref="C566:L566"/>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D455:AF455"/>
    <mergeCell ref="D456:AF456"/>
    <mergeCell ref="W474:Y474"/>
    <mergeCell ref="AG455:AJ455"/>
    <mergeCell ref="M567:P567"/>
    <mergeCell ref="AH525:AK525"/>
    <mergeCell ref="AF427:AH427"/>
    <mergeCell ref="AG457:AJ457"/>
    <mergeCell ref="AA345:AK345"/>
    <mergeCell ref="H342:R342"/>
    <mergeCell ref="Q501:AK501"/>
    <mergeCell ref="AC510:AF510"/>
    <mergeCell ref="Z603:AK603"/>
    <mergeCell ref="G611:R611"/>
    <mergeCell ref="H598:R598"/>
    <mergeCell ref="G597:L597"/>
    <mergeCell ref="G577:R577"/>
    <mergeCell ref="H590:R590"/>
    <mergeCell ref="B761:F761"/>
    <mergeCell ref="O760:S760"/>
    <mergeCell ref="AH734:AJ734"/>
    <mergeCell ref="G621:L621"/>
    <mergeCell ref="Z671:AE671"/>
    <mergeCell ref="Z602:AK602"/>
    <mergeCell ref="P613:R613"/>
    <mergeCell ref="Z611:AK611"/>
    <mergeCell ref="AG599:AH599"/>
    <mergeCell ref="T784:W784"/>
    <mergeCell ref="H347:R347"/>
    <mergeCell ref="AG402:AJ402"/>
    <mergeCell ref="AG400:AJ400"/>
    <mergeCell ref="K413:AJ413"/>
    <mergeCell ref="AC395:AJ395"/>
    <mergeCell ref="K412:AJ412"/>
    <mergeCell ref="P355:AE355"/>
    <mergeCell ref="G580:L580"/>
    <mergeCell ref="Z589:AE589"/>
    <mergeCell ref="Z594:AK594"/>
    <mergeCell ref="P605:R605"/>
    <mergeCell ref="G605:L605"/>
    <mergeCell ref="Q566:S566"/>
    <mergeCell ref="AH520:AK520"/>
    <mergeCell ref="M565:P565"/>
    <mergeCell ref="AH528:AK528"/>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P589:R589"/>
    <mergeCell ref="N599:O599"/>
    <mergeCell ref="N591:O591"/>
    <mergeCell ref="Z586:AK586"/>
    <mergeCell ref="Z604:AK604"/>
    <mergeCell ref="H606:R606"/>
    <mergeCell ref="AG591:AH591"/>
    <mergeCell ref="G596:R596"/>
    <mergeCell ref="Z588:AK588"/>
    <mergeCell ref="Z587:AK587"/>
    <mergeCell ref="G609:R609"/>
    <mergeCell ref="AA581:AK581"/>
    <mergeCell ref="AG607:AH607"/>
    <mergeCell ref="G603:R603"/>
    <mergeCell ref="G595:R595"/>
    <mergeCell ref="G675:R675"/>
    <mergeCell ref="G655:L655"/>
    <mergeCell ref="Q646:S646"/>
    <mergeCell ref="H656:R656"/>
    <mergeCell ref="Z640:AB640"/>
    <mergeCell ref="M638:P638"/>
    <mergeCell ref="M639:P639"/>
    <mergeCell ref="G661:R661"/>
    <mergeCell ref="T642:V642"/>
    <mergeCell ref="AF642:AJ642"/>
    <mergeCell ref="Z651:AK651"/>
    <mergeCell ref="G730:J730"/>
    <mergeCell ref="K726:N726"/>
    <mergeCell ref="G729:J729"/>
    <mergeCell ref="Z613:AE613"/>
    <mergeCell ref="Z617:AK617"/>
    <mergeCell ref="N615:O615"/>
    <mergeCell ref="C635:L635"/>
    <mergeCell ref="C645:L645"/>
    <mergeCell ref="C640:L640"/>
    <mergeCell ref="G662:R662"/>
    <mergeCell ref="Q643:S643"/>
    <mergeCell ref="C641:L641"/>
    <mergeCell ref="W640:Y640"/>
    <mergeCell ref="W642:Y642"/>
    <mergeCell ref="Q638:S638"/>
    <mergeCell ref="T728:W728"/>
    <mergeCell ref="K722:N725"/>
    <mergeCell ref="X730:AB730"/>
    <mergeCell ref="Z693:AK693"/>
    <mergeCell ref="G685:R685"/>
    <mergeCell ref="AK748:AO748"/>
    <mergeCell ref="G691:R691"/>
    <mergeCell ref="N689:O689"/>
    <mergeCell ref="X727:AB727"/>
    <mergeCell ref="AC834:AF834"/>
    <mergeCell ref="AC835:AF835"/>
    <mergeCell ref="B742:F742"/>
    <mergeCell ref="X797:AB797"/>
    <mergeCell ref="B726:F726"/>
    <mergeCell ref="G728:J728"/>
    <mergeCell ref="B729:F729"/>
    <mergeCell ref="O805:S805"/>
    <mergeCell ref="T782:W782"/>
    <mergeCell ref="G669:R669"/>
    <mergeCell ref="B728:F728"/>
    <mergeCell ref="B730:F730"/>
    <mergeCell ref="AG681:AH681"/>
    <mergeCell ref="B733:F733"/>
    <mergeCell ref="B732:F732"/>
    <mergeCell ref="B735:F735"/>
    <mergeCell ref="H688:R688"/>
    <mergeCell ref="B731:F731"/>
    <mergeCell ref="G693:R693"/>
    <mergeCell ref="O782:S782"/>
    <mergeCell ref="O802:S802"/>
    <mergeCell ref="X777:AB780"/>
    <mergeCell ref="T777:W780"/>
    <mergeCell ref="AC801:AG801"/>
    <mergeCell ref="X783:AB783"/>
    <mergeCell ref="X738:AB738"/>
    <mergeCell ref="G732:J732"/>
    <mergeCell ref="G760:J760"/>
    <mergeCell ref="T791:W794"/>
    <mergeCell ref="B736:F736"/>
    <mergeCell ref="K745:N745"/>
    <mergeCell ref="X796:AB796"/>
    <mergeCell ref="T752:W752"/>
    <mergeCell ref="O755:S755"/>
    <mergeCell ref="T755:W755"/>
    <mergeCell ref="C833:H833"/>
    <mergeCell ref="G735:J735"/>
    <mergeCell ref="X781:AB781"/>
    <mergeCell ref="J777:N780"/>
    <mergeCell ref="AG831:AJ832"/>
    <mergeCell ref="AC805:AG805"/>
    <mergeCell ref="AC795:AG795"/>
    <mergeCell ref="AC761:AG761"/>
    <mergeCell ref="O761:S761"/>
    <mergeCell ref="AC750:AG750"/>
    <mergeCell ref="AC751:AG751"/>
    <mergeCell ref="AC752:AG752"/>
    <mergeCell ref="AC753:AG753"/>
    <mergeCell ref="AC754:AG754"/>
    <mergeCell ref="B737:F737"/>
    <mergeCell ref="B739:F739"/>
    <mergeCell ref="B738:F738"/>
    <mergeCell ref="T738:W738"/>
    <mergeCell ref="O758:S758"/>
    <mergeCell ref="AC755:AG755"/>
    <mergeCell ref="T760:W760"/>
    <mergeCell ref="T746:W746"/>
    <mergeCell ref="AH747:AJ747"/>
    <mergeCell ref="AH748:AJ748"/>
    <mergeCell ref="T756:W756"/>
    <mergeCell ref="X755:AB755"/>
    <mergeCell ref="T749:W749"/>
    <mergeCell ref="Q835:T835"/>
    <mergeCell ref="M835:P835"/>
    <mergeCell ref="J805:N805"/>
    <mergeCell ref="J803:N803"/>
    <mergeCell ref="AC782:AG782"/>
    <mergeCell ref="X785:AB785"/>
    <mergeCell ref="O798:S798"/>
    <mergeCell ref="U836:X836"/>
    <mergeCell ref="AG836:AJ836"/>
    <mergeCell ref="Z815:AE815"/>
    <mergeCell ref="AC797:AG797"/>
    <mergeCell ref="AC798:AG798"/>
    <mergeCell ref="Z826:AE826"/>
    <mergeCell ref="T803:W803"/>
    <mergeCell ref="J800:N800"/>
    <mergeCell ref="U834:X834"/>
    <mergeCell ref="X802:AB802"/>
    <mergeCell ref="Y809:AC809"/>
    <mergeCell ref="Y808:AC808"/>
    <mergeCell ref="AC804:AG804"/>
    <mergeCell ref="AC796:AG796"/>
    <mergeCell ref="AG835:AJ835"/>
    <mergeCell ref="O800:S800"/>
    <mergeCell ref="J799:N799"/>
    <mergeCell ref="M833:P833"/>
    <mergeCell ref="O797:S797"/>
    <mergeCell ref="J783:N783"/>
    <mergeCell ref="AC784:AG784"/>
    <mergeCell ref="O791:S794"/>
    <mergeCell ref="O801:S801"/>
    <mergeCell ref="J798:N798"/>
    <mergeCell ref="T800:W800"/>
    <mergeCell ref="BD913:BE913"/>
    <mergeCell ref="BD915:BF915"/>
    <mergeCell ref="BD914:BF914"/>
    <mergeCell ref="BD919:BE919"/>
    <mergeCell ref="BD912:BE912"/>
    <mergeCell ref="AC898:AH898"/>
    <mergeCell ref="AC903:AH903"/>
    <mergeCell ref="Z908:AE908"/>
    <mergeCell ref="AC897:AH897"/>
    <mergeCell ref="M838:P838"/>
    <mergeCell ref="C840:L840"/>
    <mergeCell ref="Y839:AB839"/>
    <mergeCell ref="C845:AJ845"/>
    <mergeCell ref="M885:V885"/>
    <mergeCell ref="W877:AC877"/>
    <mergeCell ref="W881:AC881"/>
    <mergeCell ref="Q839:T839"/>
    <mergeCell ref="M884:V884"/>
    <mergeCell ref="M887:V887"/>
    <mergeCell ref="M869:V869"/>
    <mergeCell ref="J857:V857"/>
    <mergeCell ref="W876:AC876"/>
    <mergeCell ref="W870:AC870"/>
    <mergeCell ref="AG834:AJ834"/>
    <mergeCell ref="AG833:AJ833"/>
    <mergeCell ref="T804:W804"/>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Z814:AE814"/>
    <mergeCell ref="X799:AB799"/>
    <mergeCell ref="AC800:AG800"/>
    <mergeCell ref="W850:AC850"/>
    <mergeCell ref="W855:AC855"/>
    <mergeCell ref="W853:AC853"/>
    <mergeCell ref="C837:H837"/>
    <mergeCell ref="U837:X837"/>
    <mergeCell ref="Q836:T836"/>
    <mergeCell ref="M836:P836"/>
    <mergeCell ref="Z822:AE822"/>
    <mergeCell ref="Z825:AE825"/>
    <mergeCell ref="P824:Y824"/>
    <mergeCell ref="Z821:AE821"/>
    <mergeCell ref="C806:AN807"/>
    <mergeCell ref="J801:N801"/>
    <mergeCell ref="X801:AB801"/>
    <mergeCell ref="C834:H834"/>
    <mergeCell ref="M837:P837"/>
    <mergeCell ref="T748:W748"/>
    <mergeCell ref="G749:J749"/>
    <mergeCell ref="O750:S750"/>
    <mergeCell ref="M834:P834"/>
    <mergeCell ref="Q833:T833"/>
    <mergeCell ref="T799:W799"/>
    <mergeCell ref="T795:W795"/>
    <mergeCell ref="T796:W796"/>
    <mergeCell ref="T797:W797"/>
    <mergeCell ref="O803:S803"/>
    <mergeCell ref="AC799:AG799"/>
    <mergeCell ref="J802:N802"/>
    <mergeCell ref="J797:N797"/>
    <mergeCell ref="X803:AB803"/>
    <mergeCell ref="K760:N760"/>
    <mergeCell ref="O743:S743"/>
    <mergeCell ref="O796:S796"/>
    <mergeCell ref="J795:N795"/>
    <mergeCell ref="K753:N753"/>
    <mergeCell ref="O795:S795"/>
    <mergeCell ref="X784:AB784"/>
    <mergeCell ref="X800:AB800"/>
    <mergeCell ref="X760:AB760"/>
    <mergeCell ref="AC748:AG748"/>
    <mergeCell ref="Q834:T834"/>
    <mergeCell ref="Y831:AB832"/>
    <mergeCell ref="Z823:AE823"/>
    <mergeCell ref="Z816:AE816"/>
    <mergeCell ref="AC785:AG785"/>
    <mergeCell ref="T802:W802"/>
    <mergeCell ref="O751:S751"/>
    <mergeCell ref="O785:S785"/>
    <mergeCell ref="B751:F751"/>
    <mergeCell ref="O735:S735"/>
    <mergeCell ref="G687:L687"/>
    <mergeCell ref="X736:AB736"/>
    <mergeCell ref="O727:S727"/>
    <mergeCell ref="K732:N732"/>
    <mergeCell ref="AI663:AK663"/>
    <mergeCell ref="G670:R670"/>
    <mergeCell ref="AG689:AH689"/>
    <mergeCell ref="AI695:AK695"/>
    <mergeCell ref="J713:O713"/>
    <mergeCell ref="G684:R684"/>
    <mergeCell ref="O730:S730"/>
    <mergeCell ref="G668:R668"/>
    <mergeCell ref="Z667:AK667"/>
    <mergeCell ref="G663:L663"/>
    <mergeCell ref="H664:R664"/>
    <mergeCell ref="B741:F741"/>
    <mergeCell ref="AK735:AO735"/>
    <mergeCell ref="AH732:AJ732"/>
    <mergeCell ref="T736:W736"/>
    <mergeCell ref="AC749:AG749"/>
    <mergeCell ref="AC745:AG745"/>
    <mergeCell ref="O731:S731"/>
    <mergeCell ref="N681:O681"/>
    <mergeCell ref="G695:L695"/>
    <mergeCell ref="AE706:AI706"/>
    <mergeCell ref="AC722:AG725"/>
    <mergeCell ref="N665:O665"/>
    <mergeCell ref="G671:L671"/>
    <mergeCell ref="AC727:AG727"/>
    <mergeCell ref="O749:S749"/>
    <mergeCell ref="CK738:CL738"/>
    <mergeCell ref="CI746:CJ746"/>
    <mergeCell ref="CI733:CJ733"/>
    <mergeCell ref="G726:J726"/>
    <mergeCell ref="CK729:CL729"/>
    <mergeCell ref="CM726:CN726"/>
    <mergeCell ref="AH735:AJ735"/>
    <mergeCell ref="X733:AB733"/>
    <mergeCell ref="X729:AB729"/>
    <mergeCell ref="X735:AB735"/>
    <mergeCell ref="K728:N728"/>
    <mergeCell ref="X722:AB725"/>
    <mergeCell ref="AE702:AF702"/>
    <mergeCell ref="A717:AT719"/>
    <mergeCell ref="X726:AB726"/>
    <mergeCell ref="CG733:CH733"/>
    <mergeCell ref="CG730:CH730"/>
    <mergeCell ref="CG731:CH731"/>
    <mergeCell ref="T729:W729"/>
    <mergeCell ref="AE703:AI703"/>
    <mergeCell ref="AK731:AO731"/>
    <mergeCell ref="AK732:AO732"/>
    <mergeCell ref="G741:J741"/>
    <mergeCell ref="K738:N738"/>
    <mergeCell ref="AH737:AJ737"/>
    <mergeCell ref="CI728:CJ728"/>
    <mergeCell ref="T734:W734"/>
    <mergeCell ref="AK737:AO737"/>
    <mergeCell ref="O738:S738"/>
    <mergeCell ref="G738:J738"/>
    <mergeCell ref="O741:S741"/>
    <mergeCell ref="K739:N739"/>
    <mergeCell ref="CU745:CY745"/>
    <mergeCell ref="CG742:CH742"/>
    <mergeCell ref="CP747:CT747"/>
    <mergeCell ref="CM746:CN746"/>
    <mergeCell ref="CK749:CL749"/>
    <mergeCell ref="CM749:CN749"/>
    <mergeCell ref="N657:O657"/>
    <mergeCell ref="AH727:AJ727"/>
    <mergeCell ref="CK733:CL733"/>
    <mergeCell ref="CG741:CH741"/>
    <mergeCell ref="CI742:CJ742"/>
    <mergeCell ref="CI727:CJ727"/>
    <mergeCell ref="CM747:CN747"/>
    <mergeCell ref="CI745:CJ745"/>
    <mergeCell ref="CP749:CT749"/>
    <mergeCell ref="G683:R683"/>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CP731:CT731"/>
    <mergeCell ref="CU735:CY735"/>
    <mergeCell ref="CM731:CN731"/>
    <mergeCell ref="DE738:DI738"/>
    <mergeCell ref="CM738:CN738"/>
    <mergeCell ref="CK735:CL735"/>
    <mergeCell ref="CK743:CL743"/>
    <mergeCell ref="CP740:CT740"/>
    <mergeCell ref="CP739:CT739"/>
    <mergeCell ref="CI737:CJ737"/>
    <mergeCell ref="CP737:CT737"/>
    <mergeCell ref="DJ731:DN731"/>
    <mergeCell ref="DJ732:DN732"/>
    <mergeCell ref="CP732:CT732"/>
    <mergeCell ref="CP735:CT735"/>
    <mergeCell ref="CI735:CJ735"/>
    <mergeCell ref="CZ743:DD743"/>
    <mergeCell ref="CU742:CY742"/>
    <mergeCell ref="CK731:CL731"/>
    <mergeCell ref="CM741:CN741"/>
    <mergeCell ref="CM743:CN743"/>
    <mergeCell ref="CI740:CJ740"/>
    <mergeCell ref="CI741:CJ741"/>
    <mergeCell ref="CU741:CY741"/>
    <mergeCell ref="CK742:CL742"/>
    <mergeCell ref="CM742:CN742"/>
    <mergeCell ref="CI739:CJ739"/>
    <mergeCell ref="CI736:CJ736"/>
    <mergeCell ref="DJ738:DN738"/>
    <mergeCell ref="DJ735:DN735"/>
    <mergeCell ref="DJ734:DN734"/>
    <mergeCell ref="CZ740:DD740"/>
    <mergeCell ref="CU738:CY738"/>
    <mergeCell ref="CK736:CL736"/>
    <mergeCell ref="CM733:CN733"/>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CM736:CN736"/>
    <mergeCell ref="CU734:CY734"/>
    <mergeCell ref="CZ734:DD734"/>
    <mergeCell ref="CI738:CJ738"/>
    <mergeCell ref="CI744:CJ744"/>
    <mergeCell ref="CM732:CN732"/>
    <mergeCell ref="CU744:CY744"/>
    <mergeCell ref="CP744:CT744"/>
    <mergeCell ref="CM744:CN744"/>
    <mergeCell ref="CK744:CL744"/>
    <mergeCell ref="CG737:CH737"/>
    <mergeCell ref="CM734:CN734"/>
    <mergeCell ref="CM737:CN737"/>
    <mergeCell ref="CK732:CL732"/>
    <mergeCell ref="CM745:CN745"/>
    <mergeCell ref="Z562:AD562"/>
    <mergeCell ref="AE562:AH562"/>
    <mergeCell ref="T566:V566"/>
    <mergeCell ref="AI564:AL564"/>
    <mergeCell ref="T565:V565"/>
    <mergeCell ref="W564:Y564"/>
    <mergeCell ref="Z564:AD564"/>
    <mergeCell ref="AI563:AL563"/>
    <mergeCell ref="Q564:S564"/>
    <mergeCell ref="M562:P562"/>
    <mergeCell ref="M635:P635"/>
    <mergeCell ref="M637:P637"/>
    <mergeCell ref="W632:Y634"/>
    <mergeCell ref="W636:Y636"/>
    <mergeCell ref="P671:R671"/>
    <mergeCell ref="AO648:AS648"/>
    <mergeCell ref="W644:Y644"/>
    <mergeCell ref="M644:P644"/>
    <mergeCell ref="T643:V643"/>
    <mergeCell ref="T644:V644"/>
    <mergeCell ref="T645:V645"/>
    <mergeCell ref="AO640:AS640"/>
    <mergeCell ref="Z643:AB643"/>
    <mergeCell ref="AK632:AN634"/>
    <mergeCell ref="M641:P641"/>
    <mergeCell ref="G652:R652"/>
    <mergeCell ref="P663:R663"/>
    <mergeCell ref="W641:Y641"/>
    <mergeCell ref="Z638:AB638"/>
    <mergeCell ref="T638:V638"/>
    <mergeCell ref="T639:V639"/>
    <mergeCell ref="AC636:AE636"/>
    <mergeCell ref="DJ727:DN727"/>
    <mergeCell ref="CU725:CY725"/>
    <mergeCell ref="AC643:AE643"/>
    <mergeCell ref="W643:Y643"/>
    <mergeCell ref="Z605:AE605"/>
    <mergeCell ref="AF637:AJ637"/>
    <mergeCell ref="Z676:AK676"/>
    <mergeCell ref="W637:Y637"/>
    <mergeCell ref="AO644:AS644"/>
    <mergeCell ref="CZ726:DD726"/>
    <mergeCell ref="DJ728:DN728"/>
    <mergeCell ref="DE725:DI725"/>
    <mergeCell ref="DJ725:DN725"/>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T571:V571"/>
    <mergeCell ref="T563:V563"/>
    <mergeCell ref="AE566:AH566"/>
    <mergeCell ref="C565:L565"/>
    <mergeCell ref="M569:P569"/>
    <mergeCell ref="AC632:AE634"/>
    <mergeCell ref="Z635:AB635"/>
    <mergeCell ref="AF638:AJ638"/>
    <mergeCell ref="M643:P643"/>
    <mergeCell ref="G654:R654"/>
    <mergeCell ref="Z660:AK660"/>
    <mergeCell ref="Q645:S645"/>
    <mergeCell ref="C644:L644"/>
    <mergeCell ref="T635:V635"/>
    <mergeCell ref="Q640:S640"/>
    <mergeCell ref="C642:L642"/>
    <mergeCell ref="C572:L572"/>
    <mergeCell ref="M572:P572"/>
    <mergeCell ref="CM725:CN725"/>
    <mergeCell ref="CM727:CN727"/>
    <mergeCell ref="CM729:CN729"/>
    <mergeCell ref="W711:AK711"/>
    <mergeCell ref="AF644:AJ644"/>
    <mergeCell ref="AF645:AJ645"/>
    <mergeCell ref="AC644:AE644"/>
    <mergeCell ref="Z655:AE655"/>
    <mergeCell ref="AC728:AG728"/>
    <mergeCell ref="AG657:AH657"/>
    <mergeCell ref="CM728:CN728"/>
    <mergeCell ref="C573:L573"/>
    <mergeCell ref="M573:P573"/>
    <mergeCell ref="AE573:AH573"/>
    <mergeCell ref="AA672:AK672"/>
    <mergeCell ref="C638:L638"/>
    <mergeCell ref="C639:L639"/>
    <mergeCell ref="C637:L637"/>
    <mergeCell ref="AC637:AE637"/>
    <mergeCell ref="DE730:DI730"/>
    <mergeCell ref="AK640:AN640"/>
    <mergeCell ref="AK639:AN639"/>
    <mergeCell ref="M640:P640"/>
    <mergeCell ref="Q641:S641"/>
    <mergeCell ref="AF639:AJ639"/>
    <mergeCell ref="Z637:AB637"/>
    <mergeCell ref="CG726:CH726"/>
    <mergeCell ref="Z687:AE687"/>
    <mergeCell ref="Z678:AK678"/>
    <mergeCell ref="Z669:AK669"/>
    <mergeCell ref="DE727:DI727"/>
    <mergeCell ref="CZ728:DD728"/>
    <mergeCell ref="CG728:CH728"/>
    <mergeCell ref="AC645:AE645"/>
    <mergeCell ref="CP728:CT728"/>
    <mergeCell ref="AG665:AH665"/>
    <mergeCell ref="AE701:AF701"/>
    <mergeCell ref="AE704:AI704"/>
    <mergeCell ref="T727:W727"/>
    <mergeCell ref="CK728:CL728"/>
    <mergeCell ref="AE707:AI707"/>
    <mergeCell ref="Z668:AK668"/>
    <mergeCell ref="X728:AB728"/>
    <mergeCell ref="E715:AK715"/>
    <mergeCell ref="CZ729:DD729"/>
    <mergeCell ref="AK641:AN641"/>
    <mergeCell ref="AO649:AS649"/>
    <mergeCell ref="Z659:AK659"/>
    <mergeCell ref="AK646:AN646"/>
    <mergeCell ref="G667:R667"/>
    <mergeCell ref="T641:V641"/>
    <mergeCell ref="AM564:AS564"/>
    <mergeCell ref="AI570:AL570"/>
    <mergeCell ref="Z576:AK576"/>
    <mergeCell ref="Z579:AK579"/>
    <mergeCell ref="AI572:AL572"/>
    <mergeCell ref="T569:V569"/>
    <mergeCell ref="W567:Y567"/>
    <mergeCell ref="W639:Y639"/>
    <mergeCell ref="AG623:AH623"/>
    <mergeCell ref="G620:R620"/>
    <mergeCell ref="G619:R619"/>
    <mergeCell ref="Z610:AK610"/>
    <mergeCell ref="Z620:AK620"/>
    <mergeCell ref="AC635:AE635"/>
    <mergeCell ref="AA664:AK664"/>
    <mergeCell ref="C646:L646"/>
    <mergeCell ref="AK636:AN636"/>
    <mergeCell ref="AE567:AH567"/>
    <mergeCell ref="AM569:AS569"/>
    <mergeCell ref="Z639:AB639"/>
    <mergeCell ref="AF632:AJ634"/>
    <mergeCell ref="AM567:AS567"/>
    <mergeCell ref="AA656:AK656"/>
    <mergeCell ref="AK645:AN645"/>
    <mergeCell ref="AM570:AS570"/>
    <mergeCell ref="Q642:S642"/>
    <mergeCell ref="AK644:AN644"/>
    <mergeCell ref="T637:V637"/>
    <mergeCell ref="M582:R582"/>
    <mergeCell ref="G588:R588"/>
    <mergeCell ref="AE572:AH572"/>
    <mergeCell ref="T646:V646"/>
    <mergeCell ref="EH652:EL652"/>
    <mergeCell ref="DJ729:DN729"/>
    <mergeCell ref="Z621:AE621"/>
    <mergeCell ref="N623:O623"/>
    <mergeCell ref="H622:R622"/>
    <mergeCell ref="P597:R597"/>
    <mergeCell ref="Z596:AK596"/>
    <mergeCell ref="AA606:AK606"/>
    <mergeCell ref="C636:L636"/>
    <mergeCell ref="Z618:AK618"/>
    <mergeCell ref="AF636:AJ636"/>
    <mergeCell ref="AK728:AO728"/>
    <mergeCell ref="W708:AK708"/>
    <mergeCell ref="G692:R692"/>
    <mergeCell ref="Z612:AK612"/>
    <mergeCell ref="CG727:CH727"/>
    <mergeCell ref="CI729:CJ729"/>
    <mergeCell ref="CI725:CJ725"/>
    <mergeCell ref="AA688:AK688"/>
    <mergeCell ref="CP727:CT727"/>
    <mergeCell ref="DE728:DI728"/>
    <mergeCell ref="G659:R659"/>
    <mergeCell ref="EH660:EL660"/>
    <mergeCell ref="DO725:DS725"/>
    <mergeCell ref="AK638:AN638"/>
    <mergeCell ref="AO639:AS639"/>
    <mergeCell ref="AI671:AK671"/>
    <mergeCell ref="B649:AN649"/>
    <mergeCell ref="G651:R651"/>
    <mergeCell ref="M642:P642"/>
    <mergeCell ref="J712:X712"/>
    <mergeCell ref="T722:W725"/>
    <mergeCell ref="DX654:EB654"/>
    <mergeCell ref="G589:L589"/>
    <mergeCell ref="C571:L571"/>
    <mergeCell ref="G660:R660"/>
    <mergeCell ref="N607:O607"/>
    <mergeCell ref="AA598:AK598"/>
    <mergeCell ref="AI597:AK597"/>
    <mergeCell ref="AC640:AE640"/>
    <mergeCell ref="Z670:AK670"/>
    <mergeCell ref="AO645:AS645"/>
    <mergeCell ref="AA614:AK614"/>
    <mergeCell ref="Z642:AB642"/>
    <mergeCell ref="Q644:S644"/>
    <mergeCell ref="M632:P634"/>
    <mergeCell ref="G601:R601"/>
    <mergeCell ref="AI605:AK605"/>
    <mergeCell ref="A625:AT626"/>
    <mergeCell ref="B632:L634"/>
    <mergeCell ref="T632:V634"/>
    <mergeCell ref="W635:Y635"/>
    <mergeCell ref="DX656:EB656"/>
    <mergeCell ref="AC639:AE639"/>
    <mergeCell ref="Z661:AK661"/>
    <mergeCell ref="AF641:AJ641"/>
    <mergeCell ref="Z572:AD572"/>
    <mergeCell ref="Z573:AD573"/>
    <mergeCell ref="Z580:AE580"/>
    <mergeCell ref="Z597:AE597"/>
    <mergeCell ref="G593:R593"/>
    <mergeCell ref="AG583:AH583"/>
    <mergeCell ref="G604:R604"/>
    <mergeCell ref="Z585:AK585"/>
    <mergeCell ref="EC661:EG661"/>
    <mergeCell ref="DX662:EB662"/>
    <mergeCell ref="EC659:EG659"/>
    <mergeCell ref="EC654:EG654"/>
    <mergeCell ref="H672:R672"/>
    <mergeCell ref="T636:V636"/>
    <mergeCell ref="AO641:AS641"/>
    <mergeCell ref="G613:L613"/>
    <mergeCell ref="H614:R614"/>
    <mergeCell ref="G618:R618"/>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DU728:DY728"/>
    <mergeCell ref="Z691:AK691"/>
    <mergeCell ref="DO729:DS729"/>
    <mergeCell ref="CU729:CY729"/>
    <mergeCell ref="AA680:AK680"/>
    <mergeCell ref="DE732:DI732"/>
    <mergeCell ref="EO734:ES734"/>
    <mergeCell ref="ET734:EX734"/>
    <mergeCell ref="EO736:ES736"/>
    <mergeCell ref="ET736:EX736"/>
    <mergeCell ref="DO737:DS737"/>
    <mergeCell ref="DO727:DS727"/>
    <mergeCell ref="CU737:CY737"/>
    <mergeCell ref="DE733:DI733"/>
    <mergeCell ref="DE737:DI737"/>
    <mergeCell ref="DE734:DI734"/>
    <mergeCell ref="CU736:CY736"/>
    <mergeCell ref="CZ738:DD738"/>
    <mergeCell ref="AF640:AJ640"/>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CZ746:DD746"/>
    <mergeCell ref="CZ748:DD748"/>
    <mergeCell ref="DO740:DS740"/>
    <mergeCell ref="ET746:EX746"/>
    <mergeCell ref="DO753:DS753"/>
    <mergeCell ref="EE745:EI745"/>
    <mergeCell ref="EJ745:EN745"/>
    <mergeCell ref="DO743:DS743"/>
    <mergeCell ref="DO744:DS744"/>
    <mergeCell ref="DE741:DI741"/>
    <mergeCell ref="ET747:EX747"/>
    <mergeCell ref="ET758:EX758"/>
    <mergeCell ref="ET748:EX748"/>
    <mergeCell ref="EO760:ES760"/>
    <mergeCell ref="EJ760:EN760"/>
    <mergeCell ref="DU733:DY733"/>
    <mergeCell ref="DZ733:ED733"/>
    <mergeCell ref="EO738:ES738"/>
    <mergeCell ref="ET738:EX738"/>
    <mergeCell ref="EO732:ES732"/>
    <mergeCell ref="ET732:EX732"/>
    <mergeCell ref="DO731:DS731"/>
    <mergeCell ref="DO732:DS73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DJ737:DN737"/>
    <mergeCell ref="DJ730:DN730"/>
    <mergeCell ref="Z644:AB644"/>
    <mergeCell ref="Z645:AB645"/>
    <mergeCell ref="Z646:AB646"/>
    <mergeCell ref="CK753:CL753"/>
    <mergeCell ref="AW927:AY927"/>
    <mergeCell ref="F946:T946"/>
    <mergeCell ref="U946:Z946"/>
    <mergeCell ref="AA946:AF946"/>
    <mergeCell ref="E894:AB894"/>
    <mergeCell ref="AZ859:BA859"/>
    <mergeCell ref="F937:T937"/>
    <mergeCell ref="U935:Z935"/>
    <mergeCell ref="Y835:AB835"/>
    <mergeCell ref="DJ740:DN740"/>
    <mergeCell ref="CU740:CY740"/>
    <mergeCell ref="CG759:CH759"/>
    <mergeCell ref="CU746:CY746"/>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U749:CY749"/>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BD911:BE911"/>
    <mergeCell ref="BD909:BE909"/>
    <mergeCell ref="BD908:BE908"/>
    <mergeCell ref="BD910:BE910"/>
    <mergeCell ref="AC895:AH895"/>
    <mergeCell ref="U839:X839"/>
    <mergeCell ref="CU782:CY782"/>
    <mergeCell ref="X791:AB794"/>
    <mergeCell ref="X795:AB795"/>
    <mergeCell ref="X804:AB804"/>
    <mergeCell ref="Y837:AB837"/>
    <mergeCell ref="AC894:AH894"/>
    <mergeCell ref="AC902:AH902"/>
    <mergeCell ref="W857:AC857"/>
    <mergeCell ref="M886:V886"/>
    <mergeCell ref="W878:AC878"/>
    <mergeCell ref="AC893:AH893"/>
    <mergeCell ref="W886:AC886"/>
    <mergeCell ref="CK752:CL752"/>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54:V854"/>
    <mergeCell ref="W854:AC854"/>
    <mergeCell ref="F938:T938"/>
    <mergeCell ref="AC896:AH896"/>
    <mergeCell ref="AA937:AF937"/>
    <mergeCell ref="F925:T926"/>
    <mergeCell ref="Q837:T837"/>
    <mergeCell ref="W865:AC865"/>
    <mergeCell ref="M883:V883"/>
    <mergeCell ref="W859:AC859"/>
    <mergeCell ref="W863:AC863"/>
    <mergeCell ref="W860:AC860"/>
    <mergeCell ref="W862:AC862"/>
    <mergeCell ref="T866:V866"/>
    <mergeCell ref="T868:V868"/>
    <mergeCell ref="AE970:AK970"/>
    <mergeCell ref="AA957:AF957"/>
    <mergeCell ref="M976:S976"/>
    <mergeCell ref="AA953:AF953"/>
    <mergeCell ref="W851:AC851"/>
    <mergeCell ref="AA955:AF955"/>
    <mergeCell ref="M977:S977"/>
    <mergeCell ref="F941:T941"/>
    <mergeCell ref="AA948:AF948"/>
    <mergeCell ref="AA949:AF949"/>
    <mergeCell ref="W861:AC861"/>
    <mergeCell ref="AC836:AF836"/>
    <mergeCell ref="AG837:AJ837"/>
    <mergeCell ref="W883:AC883"/>
    <mergeCell ref="W880:AC880"/>
    <mergeCell ref="Q838:T838"/>
    <mergeCell ref="AG839:AJ839"/>
    <mergeCell ref="C836:H836"/>
    <mergeCell ref="F951:T951"/>
    <mergeCell ref="U951:Z951"/>
    <mergeCell ref="M964:S964"/>
    <mergeCell ref="AC899:AH899"/>
    <mergeCell ref="W887:AC887"/>
    <mergeCell ref="U940:Z940"/>
    <mergeCell ref="F924:T924"/>
    <mergeCell ref="AA935:AF935"/>
    <mergeCell ref="U936:Z936"/>
    <mergeCell ref="AA936:AF936"/>
    <mergeCell ref="W885:AC885"/>
    <mergeCell ref="W879:AC879"/>
    <mergeCell ref="U955:Z955"/>
    <mergeCell ref="AA940:AF940"/>
    <mergeCell ref="U941:Z941"/>
    <mergeCell ref="AA941:AF941"/>
    <mergeCell ref="F947:T947"/>
    <mergeCell ref="AA945:AF945"/>
    <mergeCell ref="M880:V880"/>
    <mergeCell ref="W884:AC884"/>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Z910:AE910"/>
    <mergeCell ref="J782:N782"/>
    <mergeCell ref="O764:R764"/>
    <mergeCell ref="X758:AB758"/>
    <mergeCell ref="AC757:AG757"/>
    <mergeCell ref="AC783:AG783"/>
    <mergeCell ref="AC791:AG794"/>
    <mergeCell ref="I955:T955"/>
    <mergeCell ref="AH741:AJ741"/>
    <mergeCell ref="F955:H955"/>
    <mergeCell ref="AG838:AJ838"/>
    <mergeCell ref="U840:X840"/>
    <mergeCell ref="M840:P840"/>
    <mergeCell ref="W875:AC875"/>
    <mergeCell ref="W867:AC867"/>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T751:W751"/>
    <mergeCell ref="X742:AB742"/>
    <mergeCell ref="A1103:B1103"/>
    <mergeCell ref="O744:S744"/>
    <mergeCell ref="K746:N746"/>
    <mergeCell ref="K736:N736"/>
    <mergeCell ref="AC744:AG744"/>
    <mergeCell ref="X748:AB748"/>
    <mergeCell ref="K740:N740"/>
    <mergeCell ref="D994:Q994"/>
    <mergeCell ref="K759:N759"/>
    <mergeCell ref="O759:S759"/>
    <mergeCell ref="G742:J742"/>
    <mergeCell ref="G744:J744"/>
    <mergeCell ref="X782:AB782"/>
    <mergeCell ref="AG764:AJ764"/>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W874:AC874"/>
    <mergeCell ref="W888:AC888"/>
    <mergeCell ref="B744:F744"/>
    <mergeCell ref="AC736:AG736"/>
    <mergeCell ref="AC740:AG740"/>
    <mergeCell ref="X741:AB741"/>
    <mergeCell ref="G740:J740"/>
    <mergeCell ref="AH743:AJ743"/>
    <mergeCell ref="O747:S747"/>
    <mergeCell ref="N673:O673"/>
    <mergeCell ref="Z694:AK694"/>
    <mergeCell ref="Z683:AK683"/>
    <mergeCell ref="AC741:AG741"/>
    <mergeCell ref="H696:R696"/>
    <mergeCell ref="X739:AB739"/>
    <mergeCell ref="AH740:AJ740"/>
    <mergeCell ref="G746:J746"/>
    <mergeCell ref="G736:J736"/>
    <mergeCell ref="O745:S745"/>
    <mergeCell ref="O746:S746"/>
    <mergeCell ref="T747:W747"/>
    <mergeCell ref="AK738:AO738"/>
    <mergeCell ref="AC732:AG732"/>
    <mergeCell ref="AC738:AG738"/>
    <mergeCell ref="K742:N742"/>
    <mergeCell ref="AC737:AG737"/>
    <mergeCell ref="Z695:AE695"/>
    <mergeCell ref="AK733:AO733"/>
    <mergeCell ref="G722:J725"/>
    <mergeCell ref="G676:R676"/>
    <mergeCell ref="G694:R694"/>
    <mergeCell ref="W714:AK714"/>
    <mergeCell ref="O726:S726"/>
    <mergeCell ref="O722:S725"/>
    <mergeCell ref="AG1038:AH1038"/>
    <mergeCell ref="D1046:AE1049"/>
    <mergeCell ref="D1010:AE1010"/>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T781:W781"/>
    <mergeCell ref="J781:N781"/>
    <mergeCell ref="O781:S781"/>
    <mergeCell ref="J784:N784"/>
    <mergeCell ref="U831:X832"/>
    <mergeCell ref="Q831:T832"/>
    <mergeCell ref="Z817:AE817"/>
    <mergeCell ref="O799:S799"/>
    <mergeCell ref="AK744:AO744"/>
    <mergeCell ref="M969:S969"/>
    <mergeCell ref="AA976:AG976"/>
    <mergeCell ref="U952:Z952"/>
    <mergeCell ref="U950:Z950"/>
    <mergeCell ref="AA952:AF952"/>
    <mergeCell ref="B760:F760"/>
    <mergeCell ref="D1004:AE1007"/>
    <mergeCell ref="D1003:AE1003"/>
    <mergeCell ref="D1009:AE100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O736:S736"/>
    <mergeCell ref="T740:W740"/>
    <mergeCell ref="T739:W739"/>
    <mergeCell ref="K752:N752"/>
    <mergeCell ref="O752:S752"/>
    <mergeCell ref="H680:R680"/>
    <mergeCell ref="B1000:AA1000"/>
    <mergeCell ref="G653:R653"/>
    <mergeCell ref="AJ1062:AQ1062"/>
    <mergeCell ref="D995:Q995"/>
    <mergeCell ref="AB994:AI994"/>
    <mergeCell ref="AB995:AI995"/>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O748:S748"/>
    <mergeCell ref="K749:N749"/>
    <mergeCell ref="T982:Z982"/>
    <mergeCell ref="AB1000:AI1000"/>
    <mergeCell ref="D1034:AE1034"/>
    <mergeCell ref="AF1035:AI1035"/>
    <mergeCell ref="AA977:AG977"/>
    <mergeCell ref="AE964:AK964"/>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00:AQ1000"/>
    <mergeCell ref="J1033:AE1033"/>
    <mergeCell ref="AJ1001:AQ1001"/>
    <mergeCell ref="AJ1002:AQ1002"/>
    <mergeCell ref="M981:S981"/>
    <mergeCell ref="B1001:AI1001"/>
    <mergeCell ref="D1038:AE1038"/>
    <mergeCell ref="FY759:GC75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B762:AH763"/>
    <mergeCell ref="FY732:GC732"/>
    <mergeCell ref="FJ732:FN732"/>
    <mergeCell ref="FO732:FS732"/>
    <mergeCell ref="FE732:FI732"/>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Y736:GC736"/>
    <mergeCell ref="EZ737:FD737"/>
    <mergeCell ref="FE737:FI737"/>
    <mergeCell ref="FJ737:FN737"/>
    <mergeCell ref="FO737:FS737"/>
    <mergeCell ref="FT737:FX737"/>
    <mergeCell ref="FY737:GC737"/>
    <mergeCell ref="FE747:FI747"/>
    <mergeCell ref="FJ747:FN747"/>
    <mergeCell ref="FO747:FS747"/>
    <mergeCell ref="FT748:FX748"/>
    <mergeCell ref="FT741:FX741"/>
    <mergeCell ref="FT742:FX742"/>
    <mergeCell ref="FY742:GC742"/>
    <mergeCell ref="EZ743:FD743"/>
    <mergeCell ref="FE743:FI743"/>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33:FD733"/>
    <mergeCell ref="FE733:FI733"/>
    <mergeCell ref="EZ732:FD732"/>
    <mergeCell ref="FY733:GC733"/>
    <mergeCell ref="FT732:FX732"/>
    <mergeCell ref="FY744:GC744"/>
    <mergeCell ref="FT740:FX740"/>
    <mergeCell ref="FE738:FI738"/>
    <mergeCell ref="FJ738:FN738"/>
    <mergeCell ref="EZ744:FD744"/>
    <mergeCell ref="FE744:FI744"/>
    <mergeCell ref="FJ744:FN744"/>
    <mergeCell ref="FY748:GC748"/>
    <mergeCell ref="EZ747:FD747"/>
    <mergeCell ref="FT739:FX739"/>
    <mergeCell ref="FY739:GC739"/>
    <mergeCell ref="FY747:GC747"/>
    <mergeCell ref="FY746:GC746"/>
    <mergeCell ref="FJ741:FN741"/>
    <mergeCell ref="FJ748:FN748"/>
    <mergeCell ref="EZ738:FD738"/>
    <mergeCell ref="EZ748:FD748"/>
    <mergeCell ref="FE748:FI748"/>
    <mergeCell ref="EZ725:FD725"/>
    <mergeCell ref="FE725:FI725"/>
    <mergeCell ref="FO748:FS748"/>
    <mergeCell ref="FO741:FS741"/>
    <mergeCell ref="FT750:FX750"/>
    <mergeCell ref="FT756:FX756"/>
    <mergeCell ref="FT757:FX757"/>
    <mergeCell ref="FJ755:FN755"/>
    <mergeCell ref="FO755:FS755"/>
    <mergeCell ref="FT755:FX755"/>
    <mergeCell ref="FT758:FX758"/>
    <mergeCell ref="FO759:FS759"/>
    <mergeCell ref="EZ742:FD742"/>
    <mergeCell ref="FE742:FI742"/>
    <mergeCell ref="EZ746:FD746"/>
    <mergeCell ref="FE746:FI746"/>
    <mergeCell ref="FJ746:FN746"/>
    <mergeCell ref="FO746:FS746"/>
    <mergeCell ref="FT746:FX746"/>
    <mergeCell ref="FT747:FX747"/>
    <mergeCell ref="FT749:FX749"/>
    <mergeCell ref="FT734:FX734"/>
    <mergeCell ref="FE741:FI741"/>
    <mergeCell ref="EZ745:FD745"/>
    <mergeCell ref="FE745:FI745"/>
    <mergeCell ref="FJ745:FN745"/>
    <mergeCell ref="FO745:FS745"/>
    <mergeCell ref="FJ742:FN742"/>
    <mergeCell ref="FO742:FS742"/>
    <mergeCell ref="FO738:FS738"/>
    <mergeCell ref="FT738:FX738"/>
    <mergeCell ref="FO740:FS740"/>
    <mergeCell ref="FY734:GC734"/>
    <mergeCell ref="FY729:GC729"/>
    <mergeCell ref="FJ725:FN725"/>
    <mergeCell ref="FO725:FS725"/>
    <mergeCell ref="EM676:EQ676"/>
    <mergeCell ref="EM672:EQ672"/>
    <mergeCell ref="ER672:EV672"/>
    <mergeCell ref="FT745:FX745"/>
    <mergeCell ref="FY745:GC745"/>
    <mergeCell ref="FT743:FX743"/>
    <mergeCell ref="FY743:GC743"/>
    <mergeCell ref="FJ743:FN743"/>
    <mergeCell ref="FJ729:FN729"/>
    <mergeCell ref="FO729:FS729"/>
    <mergeCell ref="EO726:ES726"/>
    <mergeCell ref="EZ735:FD735"/>
    <mergeCell ref="EZ739:FD739"/>
    <mergeCell ref="FE739:FI739"/>
    <mergeCell ref="FJ739:FN739"/>
    <mergeCell ref="FO739:FS739"/>
    <mergeCell ref="EZ736:FD736"/>
    <mergeCell ref="FE736:FI736"/>
    <mergeCell ref="FJ736:FN736"/>
    <mergeCell ref="FO736:FS736"/>
    <mergeCell ref="FT736:FX736"/>
    <mergeCell ref="FY741:GC741"/>
    <mergeCell ref="FY738:GC738"/>
    <mergeCell ref="EO731:ES731"/>
    <mergeCell ref="ET726:EX726"/>
    <mergeCell ref="EW678:FA678"/>
    <mergeCell ref="ET728:EX728"/>
    <mergeCell ref="EZ734:FD734"/>
    <mergeCell ref="EH650:EL650"/>
    <mergeCell ref="DU742:DY742"/>
    <mergeCell ref="DU741:DY741"/>
    <mergeCell ref="ET741:EX741"/>
    <mergeCell ref="EO741:ES741"/>
    <mergeCell ref="EO742:ES742"/>
    <mergeCell ref="EE742:EI742"/>
    <mergeCell ref="FO743:FS743"/>
    <mergeCell ref="ET729:EX729"/>
    <mergeCell ref="EE728:EI728"/>
    <mergeCell ref="EJ741:EN741"/>
    <mergeCell ref="EZ740:FD740"/>
    <mergeCell ref="FE740:FI740"/>
    <mergeCell ref="FJ740:FN740"/>
    <mergeCell ref="FE728:FI728"/>
    <mergeCell ref="FJ728:FN728"/>
    <mergeCell ref="FO728:FS728"/>
    <mergeCell ref="EZ729:FD729"/>
    <mergeCell ref="FE729:FI729"/>
    <mergeCell ref="FO734:FS734"/>
    <mergeCell ref="DZ742:ED742"/>
    <mergeCell ref="DU734:DY734"/>
    <mergeCell ref="EO729:ES729"/>
    <mergeCell ref="EO728:ES728"/>
    <mergeCell ref="DZ738:ED738"/>
    <mergeCell ref="EE738:EI738"/>
    <mergeCell ref="EJ738:EN738"/>
    <mergeCell ref="DU737:DY737"/>
    <mergeCell ref="DZ732:ED732"/>
    <mergeCell ref="DZ739:ED739"/>
    <mergeCell ref="EE739:EI739"/>
    <mergeCell ref="EM669:EQ669"/>
    <mergeCell ref="EW657:FA657"/>
    <mergeCell ref="EC662:EG662"/>
    <mergeCell ref="EH662:EL662"/>
    <mergeCell ref="EH676:EL676"/>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DX657:EB657"/>
    <mergeCell ref="DX663:EB663"/>
    <mergeCell ref="DX664:EB664"/>
    <mergeCell ref="ER664:EV664"/>
    <mergeCell ref="EC677:EG677"/>
    <mergeCell ref="EH677:EL677"/>
    <mergeCell ref="EM677:EQ677"/>
    <mergeCell ref="EW660:FA660"/>
    <mergeCell ref="EW672:FA672"/>
    <mergeCell ref="EW659:FA659"/>
    <mergeCell ref="EC664:EG664"/>
    <mergeCell ref="EH664:EL664"/>
    <mergeCell ref="EM664:EQ664"/>
    <mergeCell ref="ER678:EV678"/>
    <mergeCell ref="EH671:EL671"/>
    <mergeCell ref="EH665:EL665"/>
    <mergeCell ref="EM665:EQ665"/>
    <mergeCell ref="DX676:EB676"/>
    <mergeCell ref="EW675:FA675"/>
    <mergeCell ref="EM667:EQ667"/>
    <mergeCell ref="ER667:EV667"/>
    <mergeCell ref="EW667:FA667"/>
    <mergeCell ref="DX668:EB668"/>
    <mergeCell ref="EC668:EG668"/>
    <mergeCell ref="EH673:EL673"/>
    <mergeCell ref="EM673:EQ673"/>
    <mergeCell ref="ER673:EV673"/>
    <mergeCell ref="EW673:FA673"/>
    <mergeCell ref="EW677:FA677"/>
    <mergeCell ref="EH661:EL661"/>
    <mergeCell ref="EM661:EQ661"/>
    <mergeCell ref="EW666:FA666"/>
    <mergeCell ref="EC673:EG673"/>
    <mergeCell ref="ER661:EV661"/>
    <mergeCell ref="EW663:FA66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H649:EL649"/>
    <mergeCell ref="EW652:FA652"/>
    <mergeCell ref="DU730:DY730"/>
    <mergeCell ref="ER647:EV647"/>
    <mergeCell ref="DX652:EB652"/>
    <mergeCell ref="DX650:EB650"/>
    <mergeCell ref="ER659:EV659"/>
    <mergeCell ref="ER660:EV660"/>
    <mergeCell ref="DX653:EB653"/>
    <mergeCell ref="EW649:FA649"/>
    <mergeCell ref="DX655:EB655"/>
    <mergeCell ref="EM649:EQ649"/>
    <mergeCell ref="EH656:EL656"/>
    <mergeCell ref="EW658:FA658"/>
    <mergeCell ref="EW656:FA656"/>
    <mergeCell ref="DO728:DS728"/>
    <mergeCell ref="DO730:DS730"/>
    <mergeCell ref="ER677:EV677"/>
    <mergeCell ref="ER676:EV676"/>
    <mergeCell ref="EM650:EQ650"/>
    <mergeCell ref="ER650:EV650"/>
    <mergeCell ref="DX649:EB649"/>
    <mergeCell ref="EC652:EG652"/>
    <mergeCell ref="EW676:FA676"/>
    <mergeCell ref="EH654:EL654"/>
    <mergeCell ref="DX665:EB665"/>
    <mergeCell ref="EC665:EG665"/>
    <mergeCell ref="EW664:FA664"/>
    <mergeCell ref="ER658:EV658"/>
    <mergeCell ref="EM658:EQ658"/>
    <mergeCell ref="DX661:EB661"/>
    <mergeCell ref="EH667:EL667"/>
    <mergeCell ref="EC669:EG669"/>
    <mergeCell ref="DU725:DY725"/>
    <mergeCell ref="DO738:DS738"/>
    <mergeCell ref="DO739:DS739"/>
    <mergeCell ref="ER663:EV663"/>
    <mergeCell ref="EH659:EL659"/>
    <mergeCell ref="EH658:EL658"/>
    <mergeCell ref="EE725:EI725"/>
    <mergeCell ref="DZ741:ED741"/>
    <mergeCell ref="DX670:EB670"/>
    <mergeCell ref="EC670:EG670"/>
    <mergeCell ref="EH670:EL670"/>
    <mergeCell ref="ET725:EX725"/>
    <mergeCell ref="EE737:EI737"/>
    <mergeCell ref="EE733:EI733"/>
    <mergeCell ref="EM678:EQ678"/>
    <mergeCell ref="EE734:EI734"/>
    <mergeCell ref="EJ734:EN734"/>
    <mergeCell ref="EW668:FA668"/>
    <mergeCell ref="DX669:EB669"/>
    <mergeCell ref="EW674:FA674"/>
    <mergeCell ref="EW662:FA662"/>
    <mergeCell ref="ER669:EV669"/>
    <mergeCell ref="EJ728:EN728"/>
    <mergeCell ref="EM674:EQ674"/>
    <mergeCell ref="EJ731:EN731"/>
    <mergeCell ref="EO733:ES733"/>
    <mergeCell ref="EZ730:FD730"/>
    <mergeCell ref="ET737:EX737"/>
    <mergeCell ref="EZ741:FD741"/>
    <mergeCell ref="EJ737:EN737"/>
    <mergeCell ref="EJ725:EN725"/>
    <mergeCell ref="ER665:EV665"/>
    <mergeCell ref="EW665:FA665"/>
    <mergeCell ref="DO735:DS735"/>
    <mergeCell ref="DO736:DS736"/>
    <mergeCell ref="DO742:DS742"/>
    <mergeCell ref="DO733:DS733"/>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ET733:EX733"/>
    <mergeCell ref="DU732:DY732"/>
    <mergeCell ref="EJ733:EN733"/>
    <mergeCell ref="EO725:ES725"/>
    <mergeCell ref="EM675:EQ675"/>
    <mergeCell ref="ER675:EV675"/>
    <mergeCell ref="DZ735:ED735"/>
    <mergeCell ref="EE735:EI735"/>
    <mergeCell ref="EE731:EI731"/>
    <mergeCell ref="DZ737:ED737"/>
    <mergeCell ref="ET735:EX735"/>
    <mergeCell ref="EJ732:EN732"/>
    <mergeCell ref="DJ785:DN785"/>
    <mergeCell ref="CZ782:DD782"/>
    <mergeCell ref="DE749:DI749"/>
    <mergeCell ref="DZ749:ED749"/>
    <mergeCell ref="DU727:DY727"/>
    <mergeCell ref="EO746:ES746"/>
    <mergeCell ref="DE746:DI746"/>
    <mergeCell ref="DE729:DI729"/>
    <mergeCell ref="DE731:DI731"/>
    <mergeCell ref="DX667:EB667"/>
    <mergeCell ref="ER668:EV668"/>
    <mergeCell ref="EH674:EL674"/>
    <mergeCell ref="DZ740:ED740"/>
    <mergeCell ref="EE740:EI740"/>
    <mergeCell ref="EJ740:EN740"/>
    <mergeCell ref="DU739:DY739"/>
    <mergeCell ref="EO739:ES739"/>
    <mergeCell ref="ER674:EV674"/>
    <mergeCell ref="DZ728:ED728"/>
    <mergeCell ref="EJ727:EN727"/>
    <mergeCell ref="DZ727:ED727"/>
    <mergeCell ref="DX677:EB677"/>
    <mergeCell ref="EC678:EG678"/>
    <mergeCell ref="EH678:EL678"/>
    <mergeCell ref="DX678:EB678"/>
    <mergeCell ref="EC675:EG675"/>
    <mergeCell ref="EH675:EL675"/>
    <mergeCell ref="DO741:DS741"/>
    <mergeCell ref="DZ744:ED744"/>
    <mergeCell ref="EE744:EI744"/>
    <mergeCell ref="EJ744:EN744"/>
    <mergeCell ref="EH669:EL669"/>
    <mergeCell ref="CZ745:DD745"/>
    <mergeCell ref="DZ758:ED758"/>
    <mergeCell ref="EE758:EI758"/>
    <mergeCell ref="EJ758:EN758"/>
    <mergeCell ref="DO758:DS758"/>
    <mergeCell ref="DJ753:DN753"/>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O746:DS746"/>
    <mergeCell ref="EO758:ES758"/>
    <mergeCell ref="EO747:ES747"/>
    <mergeCell ref="EE759:EI759"/>
    <mergeCell ref="DU759:DY759"/>
    <mergeCell ref="DZ759:ED759"/>
    <mergeCell ref="DU760:DY760"/>
    <mergeCell ref="DZ760:ED760"/>
    <mergeCell ref="DJ760:DN760"/>
    <mergeCell ref="DU758:DY758"/>
    <mergeCell ref="DO757:DS757"/>
    <mergeCell ref="CZ756:DD756"/>
    <mergeCell ref="CZ747:DD747"/>
    <mergeCell ref="CZ757:DD757"/>
    <mergeCell ref="EZ728:FD728"/>
    <mergeCell ref="EE761:EI761"/>
    <mergeCell ref="DJ784:DN784"/>
    <mergeCell ref="DO784:DS784"/>
    <mergeCell ref="DO783:DS783"/>
    <mergeCell ref="DJ761:DN761"/>
    <mergeCell ref="DE748:DI748"/>
    <mergeCell ref="DU748:DY748"/>
    <mergeCell ref="DZ748:ED748"/>
    <mergeCell ref="EE748:EI748"/>
    <mergeCell ref="EE753:EI753"/>
    <mergeCell ref="DU757:DY757"/>
    <mergeCell ref="DZ757:ED757"/>
    <mergeCell ref="DO754:DS754"/>
    <mergeCell ref="DU761:DY761"/>
    <mergeCell ref="EO745:ES745"/>
    <mergeCell ref="EO748:ES748"/>
    <mergeCell ref="ET745:EX745"/>
    <mergeCell ref="ET742:EX742"/>
    <mergeCell ref="ET743:EX743"/>
    <mergeCell ref="ET739:EX739"/>
    <mergeCell ref="EJ735:EN735"/>
    <mergeCell ref="EO737:ES737"/>
    <mergeCell ref="DJ742:DN742"/>
    <mergeCell ref="EO744:ES744"/>
    <mergeCell ref="EJ743:EN743"/>
    <mergeCell ref="DJ782:DN782"/>
    <mergeCell ref="DO762:DS762"/>
    <mergeCell ref="DE782:DI782"/>
    <mergeCell ref="EO743:ES743"/>
    <mergeCell ref="DZ743:ED743"/>
    <mergeCell ref="DE783:DI783"/>
    <mergeCell ref="CP783:CT783"/>
    <mergeCell ref="DE781:DI781"/>
    <mergeCell ref="CP785:CT785"/>
    <mergeCell ref="CU757:CY757"/>
    <mergeCell ref="DE784:DI784"/>
    <mergeCell ref="DJ754:DN754"/>
    <mergeCell ref="DE758:DI758"/>
    <mergeCell ref="DJ758:DN758"/>
    <mergeCell ref="DO782:DS782"/>
    <mergeCell ref="DO748:DS748"/>
    <mergeCell ref="DJ748:DN748"/>
    <mergeCell ref="DE761:DI761"/>
    <mergeCell ref="DO759:DS759"/>
    <mergeCell ref="DE757:DI757"/>
    <mergeCell ref="DJ757:DN757"/>
    <mergeCell ref="CP784:CT784"/>
    <mergeCell ref="CU759:CY759"/>
    <mergeCell ref="CU784:CY784"/>
    <mergeCell ref="DO761:DS761"/>
    <mergeCell ref="DO781:DS781"/>
    <mergeCell ref="DJ759:DN759"/>
    <mergeCell ref="CZ781:DD781"/>
    <mergeCell ref="CP756:CT756"/>
    <mergeCell ref="CU756:CY756"/>
    <mergeCell ref="CU752:CY752"/>
    <mergeCell ref="CU748:CY748"/>
    <mergeCell ref="DO785:DS785"/>
    <mergeCell ref="CZ785:DD785"/>
    <mergeCell ref="DE785:DI785"/>
    <mergeCell ref="CZ783:DD783"/>
    <mergeCell ref="CZ784:DD784"/>
    <mergeCell ref="CZ749:DD749"/>
    <mergeCell ref="CP802:CT802"/>
    <mergeCell ref="CP803:CT803"/>
    <mergeCell ref="CP804:CT804"/>
    <mergeCell ref="CP801:CT801"/>
    <mergeCell ref="CP800:CT800"/>
    <mergeCell ref="CP799:CT799"/>
    <mergeCell ref="CP798:CT798"/>
    <mergeCell ref="CZ761:DD761"/>
    <mergeCell ref="DJ783:DN783"/>
    <mergeCell ref="CU747:CY747"/>
    <mergeCell ref="EH663:EL663"/>
    <mergeCell ref="DU726:DY726"/>
    <mergeCell ref="DU729:DY729"/>
    <mergeCell ref="EE729:EI729"/>
    <mergeCell ref="EJ729:EN729"/>
    <mergeCell ref="DZ729:ED729"/>
    <mergeCell ref="DZ730:ED730"/>
    <mergeCell ref="EJ747:EN747"/>
    <mergeCell ref="DJ746:DN746"/>
    <mergeCell ref="CP797:CT797"/>
    <mergeCell ref="CP781:CT781"/>
    <mergeCell ref="CU760:CY760"/>
    <mergeCell ref="CZ753:DD753"/>
    <mergeCell ref="DE753:DI753"/>
    <mergeCell ref="CU781:CY781"/>
    <mergeCell ref="CP746:CT746"/>
    <mergeCell ref="CP761:CT761"/>
    <mergeCell ref="CP759:CT759"/>
    <mergeCell ref="CP750:CT750"/>
    <mergeCell ref="CP751:CT751"/>
    <mergeCell ref="CZ759:DD759"/>
    <mergeCell ref="DJ781:DN781"/>
    <mergeCell ref="EM644:EQ644"/>
    <mergeCell ref="DX645:EB645"/>
    <mergeCell ref="AC641:AE641"/>
    <mergeCell ref="B647:AN647"/>
    <mergeCell ref="B648:AN648"/>
    <mergeCell ref="B727:F727"/>
    <mergeCell ref="G731:J731"/>
    <mergeCell ref="O733:S733"/>
    <mergeCell ref="O734:S734"/>
    <mergeCell ref="AK745:AO745"/>
    <mergeCell ref="X743:AB743"/>
    <mergeCell ref="X744:AB744"/>
    <mergeCell ref="T743:W743"/>
    <mergeCell ref="T742:W742"/>
    <mergeCell ref="CU743:CY743"/>
    <mergeCell ref="DU747:DY747"/>
    <mergeCell ref="DZ747:ED747"/>
    <mergeCell ref="EE747:EI747"/>
    <mergeCell ref="EH645:EL645"/>
    <mergeCell ref="CP743:CT743"/>
    <mergeCell ref="DJ744:DN744"/>
    <mergeCell ref="DE744:DI744"/>
    <mergeCell ref="EM656:EQ656"/>
    <mergeCell ref="EM663:EQ663"/>
    <mergeCell ref="EO740:ES740"/>
    <mergeCell ref="EO730:ES730"/>
    <mergeCell ref="DZ745:ED745"/>
    <mergeCell ref="AF643:AJ643"/>
    <mergeCell ref="AO643:AS643"/>
    <mergeCell ref="DE743:DI743"/>
    <mergeCell ref="AO642:AS642"/>
    <mergeCell ref="DU744:DY744"/>
    <mergeCell ref="A69:AT70"/>
    <mergeCell ref="A72:AT73"/>
    <mergeCell ref="A552:AT553"/>
    <mergeCell ref="A488:AT489"/>
    <mergeCell ref="A360:AT361"/>
    <mergeCell ref="I401:N401"/>
    <mergeCell ref="M366:N366"/>
    <mergeCell ref="J394:U394"/>
    <mergeCell ref="Z601:AK601"/>
    <mergeCell ref="AK637:AN637"/>
    <mergeCell ref="AI340:AK340"/>
    <mergeCell ref="Z632:AB634"/>
    <mergeCell ref="P621:R621"/>
    <mergeCell ref="Q635:S635"/>
    <mergeCell ref="Q636:S636"/>
    <mergeCell ref="Q637:S637"/>
    <mergeCell ref="AI589:AK589"/>
    <mergeCell ref="AC524:AF524"/>
    <mergeCell ref="AI621:AK621"/>
    <mergeCell ref="AA622:AK622"/>
    <mergeCell ref="AH534:AK534"/>
    <mergeCell ref="W566:Y566"/>
    <mergeCell ref="AM566:AS566"/>
    <mergeCell ref="AM574:AS574"/>
    <mergeCell ref="Q632:S634"/>
    <mergeCell ref="AE564:AH564"/>
    <mergeCell ref="D453:AF453"/>
    <mergeCell ref="Q500:AK500"/>
    <mergeCell ref="G586:R586"/>
    <mergeCell ref="G610:R610"/>
    <mergeCell ref="G617:R617"/>
    <mergeCell ref="M636:P63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AB996:AI996"/>
    <mergeCell ref="D996:Q996"/>
    <mergeCell ref="R998:AA998"/>
    <mergeCell ref="AJ998:AQ998"/>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AH509:AK509"/>
    <mergeCell ref="AO635:AS635"/>
    <mergeCell ref="Q639:S639"/>
    <mergeCell ref="B745:F745"/>
    <mergeCell ref="I956:T956"/>
    <mergeCell ref="AK746:AO746"/>
    <mergeCell ref="I959:T959"/>
    <mergeCell ref="B759:F759"/>
    <mergeCell ref="B750:F750"/>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O784:S784"/>
    <mergeCell ref="O777:S780"/>
    <mergeCell ref="AK734:AO734"/>
    <mergeCell ref="O740:S740"/>
    <mergeCell ref="G745:J745"/>
    <mergeCell ref="G743:J743"/>
    <mergeCell ref="K751:N751"/>
    <mergeCell ref="M971:S971"/>
    <mergeCell ref="AA934:AF934"/>
    <mergeCell ref="AE967:AK96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88:D1088"/>
    <mergeCell ref="C1089:D1089"/>
    <mergeCell ref="C1090:D1090"/>
    <mergeCell ref="C1091:D1091"/>
    <mergeCell ref="C1092:D1092"/>
    <mergeCell ref="C1093:D1093"/>
    <mergeCell ref="C1094:D1094"/>
    <mergeCell ref="C1096:D1096"/>
    <mergeCell ref="C1097:D1097"/>
    <mergeCell ref="D1062:AI1062"/>
    <mergeCell ref="D1058:AE1058"/>
    <mergeCell ref="D1041:AE1041"/>
    <mergeCell ref="D1059:AE1060"/>
    <mergeCell ref="X1057:Y1057"/>
    <mergeCell ref="X1061:Y1061"/>
    <mergeCell ref="I1057:J1057"/>
    <mergeCell ref="I1061:J1061"/>
    <mergeCell ref="AG1058:AH105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0" zoomScaleNormal="110" workbookViewId="0">
      <pane xSplit="2" ySplit="2" topLeftCell="C75" activePane="bottomRight" state="frozen"/>
      <selection pane="bottomRight" activeCell="E75" sqref="E75"/>
      <selection pane="bottomLeft" activeCell="A3" sqref="A3"/>
      <selection pane="topRight" activeCell="C1" sqref="C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1746</v>
      </c>
      <c r="B1" s="91"/>
      <c r="C1" s="91"/>
      <c r="D1" s="91"/>
      <c r="E1" s="92"/>
      <c r="F1" s="1773" t="s">
        <v>1747</v>
      </c>
      <c r="G1" s="1774"/>
      <c r="H1" s="1774"/>
      <c r="I1" s="1774"/>
      <c r="J1" s="1774"/>
      <c r="K1" s="1774"/>
      <c r="L1" s="1774"/>
      <c r="M1" s="1774"/>
      <c r="N1" s="1774"/>
      <c r="O1" s="1774"/>
      <c r="P1" s="1774"/>
      <c r="Q1" s="1774"/>
      <c r="R1" s="1775"/>
      <c r="S1" s="80"/>
      <c r="T1" s="79"/>
      <c r="U1" s="81"/>
    </row>
    <row r="2" spans="1:21" s="101" customFormat="1" ht="71.25" customHeight="1">
      <c r="A2" s="100"/>
      <c r="B2" s="101" t="s">
        <v>1748</v>
      </c>
      <c r="C2" s="101" t="s">
        <v>1749</v>
      </c>
      <c r="D2" s="101" t="s">
        <v>1750</v>
      </c>
      <c r="E2" s="101" t="s">
        <v>1751</v>
      </c>
      <c r="F2" s="102" t="str">
        <f>Application!B635&amp;Application!C635</f>
        <v>1)US Bank</v>
      </c>
      <c r="G2" s="102" t="str">
        <f>Application!B636&amp;Application!C636</f>
        <v>2)HCD AHSC</v>
      </c>
      <c r="H2" s="102" t="str">
        <f>Application!B637&amp;Application!C637</f>
        <v>3)SHRA PLHA</v>
      </c>
      <c r="I2" s="102" t="str">
        <f>Application!B638&amp;Application!C638</f>
        <v>4)Deferred Developer Fee</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1752</v>
      </c>
      <c r="S2" s="101" t="s">
        <v>1753</v>
      </c>
      <c r="T2" s="101" t="s">
        <v>1754</v>
      </c>
      <c r="U2" s="103"/>
    </row>
    <row r="3" spans="1:21" s="105" customFormat="1">
      <c r="A3" s="104" t="s">
        <v>1755</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1756</v>
      </c>
      <c r="B4" s="245">
        <f>SUM(C4+D4)</f>
        <v>2550000</v>
      </c>
      <c r="C4" s="868">
        <v>2550000</v>
      </c>
      <c r="D4" s="868"/>
      <c r="E4" s="868">
        <f>C4</f>
        <v>2550000</v>
      </c>
      <c r="F4" s="868"/>
      <c r="G4" s="868"/>
      <c r="H4" s="868"/>
      <c r="I4" s="868"/>
      <c r="J4" s="868"/>
      <c r="K4" s="868"/>
      <c r="L4" s="868"/>
      <c r="M4" s="868"/>
      <c r="N4" s="868"/>
      <c r="O4" s="868"/>
      <c r="P4" s="868"/>
      <c r="Q4" s="868"/>
      <c r="R4" s="416">
        <f>SUM(E4:Q4)</f>
        <v>2550000</v>
      </c>
      <c r="S4" s="1209"/>
      <c r="T4" s="1209"/>
      <c r="U4" s="1208"/>
    </row>
    <row r="5" spans="1:21" s="105" customFormat="1">
      <c r="A5" s="195" t="s">
        <v>696</v>
      </c>
      <c r="B5" s="245">
        <f>SUM(C5+D5)</f>
        <v>48000</v>
      </c>
      <c r="C5" s="868">
        <v>48000</v>
      </c>
      <c r="D5" s="868"/>
      <c r="E5" s="868">
        <f>C5</f>
        <v>48000</v>
      </c>
      <c r="F5" s="868"/>
      <c r="G5" s="868"/>
      <c r="H5" s="868"/>
      <c r="I5" s="868"/>
      <c r="J5" s="868"/>
      <c r="K5" s="868"/>
      <c r="L5" s="868"/>
      <c r="M5" s="868"/>
      <c r="N5" s="868"/>
      <c r="O5" s="868"/>
      <c r="P5" s="868"/>
      <c r="Q5" s="868"/>
      <c r="R5" s="416">
        <f>SUM(E5:Q5)</f>
        <v>48000</v>
      </c>
      <c r="S5" s="1209"/>
      <c r="T5" s="1209"/>
      <c r="U5" s="1208"/>
    </row>
    <row r="6" spans="1:21" s="105" customFormat="1">
      <c r="A6" s="195" t="s">
        <v>1757</v>
      </c>
      <c r="B6" s="245">
        <f>SUM(C6+D6)</f>
        <v>20000</v>
      </c>
      <c r="C6" s="868">
        <f>10000+10000</f>
        <v>20000</v>
      </c>
      <c r="D6" s="868"/>
      <c r="E6" s="868">
        <f>C6</f>
        <v>20000</v>
      </c>
      <c r="F6" s="868"/>
      <c r="G6" s="868"/>
      <c r="H6" s="868"/>
      <c r="I6" s="868"/>
      <c r="J6" s="868"/>
      <c r="K6" s="868"/>
      <c r="L6" s="868"/>
      <c r="M6" s="868"/>
      <c r="N6" s="868"/>
      <c r="O6" s="868"/>
      <c r="P6" s="868"/>
      <c r="Q6" s="868"/>
      <c r="R6" s="416">
        <f>SUM(E6:Q6)</f>
        <v>20000</v>
      </c>
      <c r="S6" s="1209"/>
      <c r="T6" s="1209"/>
      <c r="U6" s="1208"/>
    </row>
    <row r="7" spans="1:21" s="105" customFormat="1">
      <c r="A7" s="195" t="s">
        <v>1758</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1759</v>
      </c>
      <c r="B8" s="245">
        <f>SUM(C8:D8)</f>
        <v>2618000</v>
      </c>
      <c r="C8" s="245">
        <f t="shared" ref="C8:Q8" si="0">SUM(C4:C7)</f>
        <v>2618000</v>
      </c>
      <c r="D8" s="245">
        <f t="shared" si="0"/>
        <v>0</v>
      </c>
      <c r="E8" s="245">
        <f t="shared" si="0"/>
        <v>2618000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2618000</v>
      </c>
      <c r="S8" s="1209"/>
      <c r="T8" s="1209"/>
      <c r="U8" s="1208"/>
    </row>
    <row r="9" spans="1:21" s="105" customFormat="1">
      <c r="A9" s="195" t="s">
        <v>1760</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1761</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1762</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1763</v>
      </c>
      <c r="B12" s="245">
        <f t="shared" ref="B12:Q12" si="2">SUM(B8+B11)</f>
        <v>2618000</v>
      </c>
      <c r="C12" s="245">
        <f t="shared" si="2"/>
        <v>2618000</v>
      </c>
      <c r="D12" s="245">
        <f t="shared" si="2"/>
        <v>0</v>
      </c>
      <c r="E12" s="245">
        <f t="shared" si="2"/>
        <v>2618000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2618000</v>
      </c>
      <c r="S12" s="1209"/>
      <c r="T12" s="1209"/>
      <c r="U12" s="1208"/>
    </row>
    <row r="13" spans="1:21" s="105" customFormat="1">
      <c r="A13" s="197" t="s">
        <v>1764</v>
      </c>
      <c r="B13" s="245">
        <f>SUM(C13+D13)</f>
        <v>340850</v>
      </c>
      <c r="C13" s="868">
        <f>17000+323850</f>
        <v>340850</v>
      </c>
      <c r="D13" s="868"/>
      <c r="E13" s="868">
        <f>C13</f>
        <v>340850</v>
      </c>
      <c r="F13" s="868"/>
      <c r="G13" s="868"/>
      <c r="H13" s="868"/>
      <c r="I13" s="868"/>
      <c r="J13" s="868"/>
      <c r="K13" s="868"/>
      <c r="L13" s="868"/>
      <c r="M13" s="868"/>
      <c r="N13" s="868"/>
      <c r="O13" s="868"/>
      <c r="P13" s="868"/>
      <c r="Q13" s="868"/>
      <c r="R13" s="416">
        <f>SUM(E13:Q13)</f>
        <v>340850</v>
      </c>
      <c r="S13" s="868"/>
      <c r="T13" s="868"/>
      <c r="U13" s="1208"/>
    </row>
    <row r="14" spans="1:21" s="105" customFormat="1" ht="24">
      <c r="A14" s="198" t="s">
        <v>1765</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1766</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1767</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1768</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1769</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1770</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1771</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1772</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1773</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1774</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1775</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1776</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1777</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1778</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1779</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1768</v>
      </c>
      <c r="B29" s="245">
        <f t="shared" ref="B29:B38" si="6">SUM(C29+D29)</f>
        <v>2005421</v>
      </c>
      <c r="C29" s="868">
        <f>1947821+57600</f>
        <v>2005421</v>
      </c>
      <c r="D29" s="868"/>
      <c r="E29" s="868">
        <f>C29-F29</f>
        <v>1114014</v>
      </c>
      <c r="F29" s="868">
        <f>Application!AO635-'Sources and Uses Budget'!F31</f>
        <v>891407</v>
      </c>
      <c r="G29" s="868"/>
      <c r="H29" s="868"/>
      <c r="I29" s="868"/>
      <c r="J29" s="868"/>
      <c r="K29" s="868"/>
      <c r="L29" s="868"/>
      <c r="M29" s="868"/>
      <c r="N29" s="868"/>
      <c r="O29" s="868"/>
      <c r="P29" s="868"/>
      <c r="Q29" s="868"/>
      <c r="R29" s="416">
        <f t="shared" ref="R29:R37" si="7">SUM(E29:Q29)</f>
        <v>2005421</v>
      </c>
      <c r="S29" s="868">
        <f>R29-57600</f>
        <v>1947821</v>
      </c>
      <c r="T29" s="868"/>
      <c r="U29" s="1208"/>
    </row>
    <row r="30" spans="1:21" s="105" customFormat="1">
      <c r="A30" s="195" t="s">
        <v>1769</v>
      </c>
      <c r="B30" s="245">
        <f t="shared" si="6"/>
        <v>23611819</v>
      </c>
      <c r="C30" s="868">
        <v>23611819</v>
      </c>
      <c r="D30" s="868"/>
      <c r="E30" s="868">
        <f>C30-G30</f>
        <v>1750043</v>
      </c>
      <c r="F30" s="868"/>
      <c r="G30" s="868">
        <f>Application!AO636</f>
        <v>21861776</v>
      </c>
      <c r="H30" s="868"/>
      <c r="I30" s="868"/>
      <c r="J30" s="868"/>
      <c r="K30" s="868"/>
      <c r="L30" s="868"/>
      <c r="M30" s="868"/>
      <c r="N30" s="868"/>
      <c r="O30" s="868"/>
      <c r="P30" s="868"/>
      <c r="Q30" s="868"/>
      <c r="R30" s="416">
        <f t="shared" si="7"/>
        <v>23611819</v>
      </c>
      <c r="S30" s="868">
        <f t="shared" ref="S30:S36" si="8">R30</f>
        <v>23611819</v>
      </c>
      <c r="T30" s="868"/>
      <c r="U30" s="1208"/>
    </row>
    <row r="31" spans="1:21" s="105" customFormat="1">
      <c r="A31" s="195" t="s">
        <v>1770</v>
      </c>
      <c r="B31" s="245">
        <f t="shared" si="6"/>
        <v>3180593</v>
      </c>
      <c r="C31" s="868">
        <v>3180593</v>
      </c>
      <c r="D31" s="868"/>
      <c r="E31" s="868"/>
      <c r="F31" s="868">
        <f>C31</f>
        <v>3180593</v>
      </c>
      <c r="G31" s="868"/>
      <c r="H31" s="868"/>
      <c r="I31" s="868"/>
      <c r="J31" s="868"/>
      <c r="K31" s="868"/>
      <c r="L31" s="868"/>
      <c r="M31" s="868"/>
      <c r="N31" s="868"/>
      <c r="O31" s="868"/>
      <c r="P31" s="868"/>
      <c r="Q31" s="868"/>
      <c r="R31" s="416">
        <f t="shared" si="7"/>
        <v>3180593</v>
      </c>
      <c r="S31" s="868">
        <f t="shared" si="8"/>
        <v>3180593</v>
      </c>
      <c r="T31" s="868"/>
      <c r="U31" s="1208"/>
    </row>
    <row r="32" spans="1:21" s="105" customFormat="1">
      <c r="A32" s="195" t="s">
        <v>1771</v>
      </c>
      <c r="B32" s="245">
        <f t="shared" si="6"/>
        <v>993709</v>
      </c>
      <c r="C32" s="868">
        <f>993709</f>
        <v>993709</v>
      </c>
      <c r="D32" s="868"/>
      <c r="E32" s="868">
        <f>C32</f>
        <v>993709</v>
      </c>
      <c r="F32" s="868"/>
      <c r="G32" s="868"/>
      <c r="H32" s="868"/>
      <c r="I32" s="868"/>
      <c r="J32" s="868"/>
      <c r="K32" s="868"/>
      <c r="L32" s="868"/>
      <c r="M32" s="868"/>
      <c r="N32" s="868"/>
      <c r="O32" s="868"/>
      <c r="P32" s="868"/>
      <c r="Q32" s="868"/>
      <c r="R32" s="416">
        <f t="shared" si="7"/>
        <v>993709</v>
      </c>
      <c r="S32" s="868">
        <f t="shared" si="8"/>
        <v>993709</v>
      </c>
      <c r="T32" s="868"/>
      <c r="U32" s="1208"/>
    </row>
    <row r="33" spans="1:21" s="105" customFormat="1">
      <c r="A33" s="195" t="s">
        <v>1772</v>
      </c>
      <c r="B33" s="245">
        <f t="shared" si="6"/>
        <v>993710</v>
      </c>
      <c r="C33" s="868">
        <v>993710</v>
      </c>
      <c r="D33" s="868"/>
      <c r="E33" s="868">
        <f t="shared" ref="E33:E37" si="9">C33</f>
        <v>993710</v>
      </c>
      <c r="F33" s="868"/>
      <c r="G33" s="868"/>
      <c r="H33" s="868"/>
      <c r="I33" s="868"/>
      <c r="J33" s="868"/>
      <c r="K33" s="868"/>
      <c r="L33" s="868"/>
      <c r="M33" s="868"/>
      <c r="N33" s="868"/>
      <c r="O33" s="868"/>
      <c r="P33" s="868"/>
      <c r="Q33" s="868"/>
      <c r="R33" s="416">
        <f t="shared" si="7"/>
        <v>993710</v>
      </c>
      <c r="S33" s="868">
        <f t="shared" si="8"/>
        <v>993710</v>
      </c>
      <c r="T33" s="868"/>
      <c r="U33" s="1208"/>
    </row>
    <row r="34" spans="1:21" s="105" customFormat="1">
      <c r="A34" s="195" t="s">
        <v>1773</v>
      </c>
      <c r="B34" s="245">
        <f t="shared" si="6"/>
        <v>10119350</v>
      </c>
      <c r="C34" s="868">
        <v>10119350</v>
      </c>
      <c r="D34" s="868"/>
      <c r="E34" s="868">
        <f t="shared" si="9"/>
        <v>10119350</v>
      </c>
      <c r="F34" s="868"/>
      <c r="G34" s="868"/>
      <c r="H34" s="868"/>
      <c r="I34" s="868"/>
      <c r="J34" s="868"/>
      <c r="K34" s="868"/>
      <c r="L34" s="868"/>
      <c r="M34" s="868"/>
      <c r="N34" s="868"/>
      <c r="O34" s="868"/>
      <c r="P34" s="868"/>
      <c r="Q34" s="868"/>
      <c r="R34" s="416">
        <f t="shared" si="7"/>
        <v>10119350</v>
      </c>
      <c r="S34" s="868">
        <f t="shared" si="8"/>
        <v>10119350</v>
      </c>
      <c r="T34" s="868"/>
      <c r="U34" s="1208"/>
    </row>
    <row r="35" spans="1:21" s="105" customFormat="1">
      <c r="A35" s="195" t="s">
        <v>1774</v>
      </c>
      <c r="B35" s="245">
        <f t="shared" si="6"/>
        <v>389652</v>
      </c>
      <c r="C35" s="868">
        <v>389652</v>
      </c>
      <c r="D35" s="868"/>
      <c r="E35" s="868">
        <f t="shared" si="9"/>
        <v>389652</v>
      </c>
      <c r="F35" s="868"/>
      <c r="G35" s="868"/>
      <c r="H35" s="868"/>
      <c r="I35" s="868"/>
      <c r="J35" s="868"/>
      <c r="K35" s="868"/>
      <c r="L35" s="868"/>
      <c r="M35" s="868"/>
      <c r="N35" s="868"/>
      <c r="O35" s="868"/>
      <c r="P35" s="868"/>
      <c r="Q35" s="868"/>
      <c r="R35" s="416">
        <f t="shared" si="7"/>
        <v>389652</v>
      </c>
      <c r="S35" s="868">
        <f t="shared" si="8"/>
        <v>389652</v>
      </c>
      <c r="T35" s="868"/>
      <c r="U35" s="1208"/>
    </row>
    <row r="36" spans="1:21" s="105" customFormat="1">
      <c r="A36" s="195" t="s">
        <v>1775</v>
      </c>
      <c r="B36" s="245">
        <f t="shared" si="6"/>
        <v>0</v>
      </c>
      <c r="C36" s="868">
        <v>0</v>
      </c>
      <c r="D36" s="868"/>
      <c r="E36" s="868">
        <f t="shared" si="9"/>
        <v>0</v>
      </c>
      <c r="F36" s="868"/>
      <c r="G36" s="868"/>
      <c r="H36" s="868"/>
      <c r="I36" s="868"/>
      <c r="J36" s="868"/>
      <c r="K36" s="868"/>
      <c r="L36" s="868"/>
      <c r="M36" s="868"/>
      <c r="N36" s="868"/>
      <c r="O36" s="868"/>
      <c r="P36" s="868"/>
      <c r="Q36" s="868"/>
      <c r="R36" s="416">
        <f t="shared" si="7"/>
        <v>0</v>
      </c>
      <c r="S36" s="868">
        <f t="shared" si="8"/>
        <v>0</v>
      </c>
      <c r="T36" s="868"/>
      <c r="U36" s="1208"/>
    </row>
    <row r="37" spans="1:21" s="105" customFormat="1">
      <c r="A37" s="1032" t="s">
        <v>1780</v>
      </c>
      <c r="B37" s="245">
        <f t="shared" si="6"/>
        <v>393549</v>
      </c>
      <c r="C37" s="868">
        <v>393549</v>
      </c>
      <c r="D37" s="868"/>
      <c r="E37" s="868">
        <f t="shared" si="9"/>
        <v>393549</v>
      </c>
      <c r="F37" s="868"/>
      <c r="G37" s="868"/>
      <c r="H37" s="868"/>
      <c r="I37" s="868"/>
      <c r="J37" s="868"/>
      <c r="K37" s="868"/>
      <c r="L37" s="868"/>
      <c r="M37" s="868"/>
      <c r="N37" s="868"/>
      <c r="O37" s="868"/>
      <c r="P37" s="868"/>
      <c r="Q37" s="868"/>
      <c r="R37" s="416">
        <f t="shared" si="7"/>
        <v>393549</v>
      </c>
      <c r="S37" s="868">
        <f>R37</f>
        <v>393549</v>
      </c>
      <c r="T37" s="868"/>
      <c r="U37" s="1208"/>
    </row>
    <row r="38" spans="1:21" s="105" customFormat="1">
      <c r="A38" s="106" t="s">
        <v>1781</v>
      </c>
      <c r="B38" s="245">
        <f t="shared" si="6"/>
        <v>41687803</v>
      </c>
      <c r="C38" s="245">
        <f>SUM(C29:C37)</f>
        <v>41687803</v>
      </c>
      <c r="D38" s="245">
        <f t="shared" ref="D38:Q38" si="10">SUM(D29:D37)</f>
        <v>0</v>
      </c>
      <c r="E38" s="245">
        <f t="shared" si="10"/>
        <v>15754027</v>
      </c>
      <c r="F38" s="245">
        <f t="shared" si="10"/>
        <v>4072000</v>
      </c>
      <c r="G38" s="245">
        <f t="shared" si="10"/>
        <v>21861776</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41687803</v>
      </c>
      <c r="S38" s="107">
        <f>SUM(S29:S37)</f>
        <v>41630203</v>
      </c>
      <c r="T38" s="107">
        <f>SUM(T29:T37)</f>
        <v>0</v>
      </c>
      <c r="U38" s="1208"/>
    </row>
    <row r="39" spans="1:21" s="105" customFormat="1">
      <c r="A39" s="104" t="s">
        <v>1782</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1783</v>
      </c>
      <c r="B40" s="245">
        <f>SUM(C40+D40)</f>
        <v>2000000</v>
      </c>
      <c r="C40" s="868">
        <v>2000000</v>
      </c>
      <c r="D40" s="868"/>
      <c r="E40" s="868"/>
      <c r="F40" s="868"/>
      <c r="G40" s="868"/>
      <c r="H40" s="868">
        <f>C40</f>
        <v>2000000</v>
      </c>
      <c r="I40" s="868"/>
      <c r="J40" s="868"/>
      <c r="K40" s="868"/>
      <c r="L40" s="868"/>
      <c r="M40" s="868"/>
      <c r="N40" s="868"/>
      <c r="O40" s="868"/>
      <c r="P40" s="868"/>
      <c r="Q40" s="868"/>
      <c r="R40" s="416">
        <f>SUM(E40:Q40)</f>
        <v>2000000</v>
      </c>
      <c r="S40" s="868">
        <f>R40</f>
        <v>2000000</v>
      </c>
      <c r="T40" s="868"/>
      <c r="U40" s="1208"/>
    </row>
    <row r="41" spans="1:21" s="105" customFormat="1">
      <c r="A41" s="195" t="s">
        <v>1784</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1785</v>
      </c>
      <c r="B42" s="245">
        <f>SUM(C42:D42)</f>
        <v>2000000</v>
      </c>
      <c r="C42" s="245">
        <f>SUM(C39:C41)</f>
        <v>2000000</v>
      </c>
      <c r="D42" s="245">
        <f>SUM(D39:D41)</f>
        <v>0</v>
      </c>
      <c r="E42" s="245">
        <f t="shared" ref="E42:T42" si="11">SUM(E40:E41)</f>
        <v>0</v>
      </c>
      <c r="F42" s="245">
        <f t="shared" si="11"/>
        <v>0</v>
      </c>
      <c r="G42" s="245">
        <f t="shared" si="11"/>
        <v>0</v>
      </c>
      <c r="H42" s="245">
        <f t="shared" si="11"/>
        <v>2000000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2000000</v>
      </c>
      <c r="S42" s="107">
        <f t="shared" si="11"/>
        <v>2000000</v>
      </c>
      <c r="T42" s="107">
        <f t="shared" si="11"/>
        <v>0</v>
      </c>
      <c r="U42" s="1208"/>
    </row>
    <row r="43" spans="1:21" s="105" customFormat="1">
      <c r="A43" s="106" t="s">
        <v>1786</v>
      </c>
      <c r="B43" s="245">
        <f>SUM(C43:D43)</f>
        <v>414466</v>
      </c>
      <c r="C43" s="868">
        <f>121000+31585+236881+25000</f>
        <v>414466</v>
      </c>
      <c r="D43" s="868"/>
      <c r="E43" s="868">
        <f>C43</f>
        <v>414466</v>
      </c>
      <c r="F43" s="868"/>
      <c r="G43" s="868"/>
      <c r="H43" s="868"/>
      <c r="I43" s="868"/>
      <c r="J43" s="868"/>
      <c r="K43" s="868"/>
      <c r="L43" s="868"/>
      <c r="M43" s="868"/>
      <c r="N43" s="868"/>
      <c r="O43" s="868"/>
      <c r="P43" s="868"/>
      <c r="Q43" s="868"/>
      <c r="R43" s="416">
        <f>SUM(E43:Q43)</f>
        <v>414466</v>
      </c>
      <c r="S43" s="868">
        <f>R43</f>
        <v>414466</v>
      </c>
      <c r="T43" s="868"/>
      <c r="U43" s="1208"/>
    </row>
    <row r="44" spans="1:21" s="105" customFormat="1">
      <c r="A44" s="104" t="s">
        <v>1787</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1788</v>
      </c>
      <c r="B45" s="245">
        <f t="shared" ref="B45:B53" si="12">SUM(C45+D45)</f>
        <v>5006396</v>
      </c>
      <c r="C45" s="868">
        <f>1561063+3445333</f>
        <v>5006396</v>
      </c>
      <c r="D45" s="868"/>
      <c r="E45" s="868">
        <f>C45</f>
        <v>5006396</v>
      </c>
      <c r="F45" s="868"/>
      <c r="G45" s="868"/>
      <c r="H45" s="868"/>
      <c r="I45" s="868"/>
      <c r="J45" s="868"/>
      <c r="K45" s="868"/>
      <c r="L45" s="868"/>
      <c r="M45" s="868"/>
      <c r="N45" s="868"/>
      <c r="O45" s="868"/>
      <c r="P45" s="868"/>
      <c r="Q45" s="868"/>
      <c r="R45" s="416">
        <f t="shared" ref="R45:R53" si="13">SUM(E45:Q45)</f>
        <v>5006396</v>
      </c>
      <c r="S45" s="868">
        <f>953983+2105481</f>
        <v>3059464</v>
      </c>
      <c r="T45" s="868"/>
      <c r="U45" s="1208"/>
    </row>
    <row r="46" spans="1:21" s="105" customFormat="1">
      <c r="A46" s="195" t="s">
        <v>1789</v>
      </c>
      <c r="B46" s="245">
        <f t="shared" si="12"/>
        <v>411290</v>
      </c>
      <c r="C46" s="868">
        <f>411290</f>
        <v>411290</v>
      </c>
      <c r="D46" s="868"/>
      <c r="E46" s="868">
        <f t="shared" ref="E46:E52" si="14">C46</f>
        <v>411290</v>
      </c>
      <c r="F46" s="868"/>
      <c r="G46" s="868"/>
      <c r="H46" s="868"/>
      <c r="I46" s="868"/>
      <c r="J46" s="868"/>
      <c r="K46" s="868"/>
      <c r="L46" s="868"/>
      <c r="M46" s="868"/>
      <c r="N46" s="868"/>
      <c r="O46" s="868"/>
      <c r="P46" s="868"/>
      <c r="Q46" s="868"/>
      <c r="R46" s="416">
        <f t="shared" si="13"/>
        <v>411290</v>
      </c>
      <c r="S46" s="868">
        <f>R46-159946</f>
        <v>251344</v>
      </c>
      <c r="T46" s="868"/>
      <c r="U46" s="1208"/>
    </row>
    <row r="47" spans="1:21" s="105" customFormat="1">
      <c r="A47" s="1210" t="s">
        <v>1790</v>
      </c>
      <c r="B47" s="245">
        <f t="shared" si="12"/>
        <v>0</v>
      </c>
      <c r="C47" s="868"/>
      <c r="D47" s="868"/>
      <c r="E47" s="868"/>
      <c r="F47" s="868"/>
      <c r="G47" s="868"/>
      <c r="H47" s="868"/>
      <c r="I47" s="868"/>
      <c r="J47" s="868"/>
      <c r="K47" s="868"/>
      <c r="L47" s="868"/>
      <c r="M47" s="868"/>
      <c r="N47" s="868"/>
      <c r="O47" s="868"/>
      <c r="P47" s="868"/>
      <c r="Q47" s="868"/>
      <c r="R47" s="416">
        <f t="shared" si="13"/>
        <v>0</v>
      </c>
      <c r="S47" s="868"/>
      <c r="T47" s="868"/>
      <c r="U47" s="1208"/>
    </row>
    <row r="48" spans="1:21" s="105" customFormat="1">
      <c r="A48" s="195" t="s">
        <v>1791</v>
      </c>
      <c r="B48" s="245">
        <f t="shared" si="12"/>
        <v>0</v>
      </c>
      <c r="C48" s="868"/>
      <c r="D48" s="868"/>
      <c r="E48" s="868"/>
      <c r="F48" s="868"/>
      <c r="G48" s="868"/>
      <c r="H48" s="868"/>
      <c r="I48" s="868"/>
      <c r="J48" s="868"/>
      <c r="K48" s="868"/>
      <c r="L48" s="868"/>
      <c r="M48" s="868"/>
      <c r="N48" s="868"/>
      <c r="O48" s="868"/>
      <c r="P48" s="868"/>
      <c r="Q48" s="868"/>
      <c r="R48" s="416">
        <f t="shared" si="13"/>
        <v>0</v>
      </c>
      <c r="S48" s="868"/>
      <c r="T48" s="868"/>
      <c r="U48" s="1208"/>
    </row>
    <row r="49" spans="1:21" s="105" customFormat="1">
      <c r="A49" s="195" t="s">
        <v>1792</v>
      </c>
      <c r="B49" s="245">
        <f t="shared" si="12"/>
        <v>279422</v>
      </c>
      <c r="C49" s="868">
        <f>70000+100000+12500+31227+45000+9000+7322+4373</f>
        <v>279422</v>
      </c>
      <c r="D49" s="868"/>
      <c r="E49" s="868">
        <f t="shared" si="14"/>
        <v>279422</v>
      </c>
      <c r="F49" s="868"/>
      <c r="G49" s="868"/>
      <c r="H49" s="868"/>
      <c r="I49" s="868"/>
      <c r="J49" s="868"/>
      <c r="K49" s="868"/>
      <c r="L49" s="868"/>
      <c r="M49" s="868"/>
      <c r="N49" s="868"/>
      <c r="O49" s="868"/>
      <c r="P49" s="868"/>
      <c r="Q49" s="868"/>
      <c r="R49" s="416">
        <f t="shared" si="13"/>
        <v>279422</v>
      </c>
      <c r="S49" s="868">
        <f>23999+34284+4286+10706+15428+3086+2510+1499</f>
        <v>95798</v>
      </c>
      <c r="T49" s="868"/>
      <c r="U49" s="1208"/>
    </row>
    <row r="50" spans="1:21" s="105" customFormat="1">
      <c r="A50" s="195" t="s">
        <v>1793</v>
      </c>
      <c r="B50" s="245">
        <f t="shared" si="12"/>
        <v>55000</v>
      </c>
      <c r="C50" s="868">
        <v>55000</v>
      </c>
      <c r="D50" s="868"/>
      <c r="E50" s="868">
        <f t="shared" si="14"/>
        <v>55000</v>
      </c>
      <c r="F50" s="868"/>
      <c r="G50" s="868"/>
      <c r="H50" s="868"/>
      <c r="I50" s="868"/>
      <c r="J50" s="868"/>
      <c r="K50" s="868"/>
      <c r="L50" s="868"/>
      <c r="M50" s="868"/>
      <c r="N50" s="868"/>
      <c r="O50" s="868"/>
      <c r="P50" s="868"/>
      <c r="Q50" s="868"/>
      <c r="R50" s="416">
        <f t="shared" si="13"/>
        <v>55000</v>
      </c>
      <c r="S50" s="868">
        <f>R50</f>
        <v>55000</v>
      </c>
      <c r="T50" s="868"/>
      <c r="U50" s="1208"/>
    </row>
    <row r="51" spans="1:21" s="105" customFormat="1">
      <c r="A51" s="195" t="s">
        <v>1794</v>
      </c>
      <c r="B51" s="245">
        <f t="shared" si="12"/>
        <v>36975</v>
      </c>
      <c r="C51" s="868">
        <v>36975</v>
      </c>
      <c r="D51" s="868"/>
      <c r="E51" s="868">
        <f t="shared" si="14"/>
        <v>36975</v>
      </c>
      <c r="F51" s="868"/>
      <c r="G51" s="868"/>
      <c r="H51" s="868"/>
      <c r="I51" s="868"/>
      <c r="J51" s="868"/>
      <c r="K51" s="868"/>
      <c r="L51" s="868"/>
      <c r="M51" s="868"/>
      <c r="N51" s="868"/>
      <c r="O51" s="868"/>
      <c r="P51" s="868"/>
      <c r="Q51" s="868"/>
      <c r="R51" s="416">
        <f t="shared" si="13"/>
        <v>36975</v>
      </c>
      <c r="S51" s="868">
        <f>R51</f>
        <v>36975</v>
      </c>
      <c r="T51" s="868"/>
      <c r="U51" s="1208"/>
    </row>
    <row r="52" spans="1:21" s="105" customFormat="1">
      <c r="A52" s="195" t="s">
        <v>1559</v>
      </c>
      <c r="B52" s="245">
        <f t="shared" si="12"/>
        <v>624000</v>
      </c>
      <c r="C52" s="868">
        <v>624000</v>
      </c>
      <c r="D52" s="868"/>
      <c r="E52" s="868">
        <f t="shared" si="14"/>
        <v>624000</v>
      </c>
      <c r="F52" s="868"/>
      <c r="G52" s="868"/>
      <c r="H52" s="868"/>
      <c r="I52" s="868"/>
      <c r="J52" s="868"/>
      <c r="K52" s="868"/>
      <c r="L52" s="868"/>
      <c r="M52" s="868"/>
      <c r="N52" s="868"/>
      <c r="O52" s="868"/>
      <c r="P52" s="868"/>
      <c r="Q52" s="868"/>
      <c r="R52" s="416">
        <f t="shared" si="13"/>
        <v>624000</v>
      </c>
      <c r="S52" s="868">
        <f>R52</f>
        <v>624000</v>
      </c>
      <c r="T52" s="868"/>
      <c r="U52" s="1208"/>
    </row>
    <row r="53" spans="1:21" s="105" customFormat="1">
      <c r="A53" s="1032" t="s">
        <v>1795</v>
      </c>
      <c r="B53" s="245">
        <f t="shared" si="12"/>
        <v>120000</v>
      </c>
      <c r="C53" s="868">
        <v>120000</v>
      </c>
      <c r="D53" s="868"/>
      <c r="E53" s="868">
        <f>C53</f>
        <v>120000</v>
      </c>
      <c r="F53" s="868"/>
      <c r="G53" s="868"/>
      <c r="H53" s="868"/>
      <c r="I53" s="868"/>
      <c r="J53" s="868"/>
      <c r="K53" s="868"/>
      <c r="L53" s="868"/>
      <c r="M53" s="868"/>
      <c r="N53" s="868"/>
      <c r="O53" s="868"/>
      <c r="P53" s="868"/>
      <c r="Q53" s="868"/>
      <c r="R53" s="416">
        <f t="shared" si="13"/>
        <v>120000</v>
      </c>
      <c r="S53" s="868">
        <f>R53-46667</f>
        <v>73333</v>
      </c>
      <c r="T53" s="868"/>
      <c r="U53" s="1208"/>
    </row>
    <row r="54" spans="1:21" s="109" customFormat="1">
      <c r="A54" s="106" t="s">
        <v>1796</v>
      </c>
      <c r="B54" s="107">
        <f>SUM(C54:D54)</f>
        <v>6533083</v>
      </c>
      <c r="C54" s="107">
        <f t="shared" ref="C54:T54" si="15">SUM(C45:C53)</f>
        <v>6533083</v>
      </c>
      <c r="D54" s="107">
        <f t="shared" si="15"/>
        <v>0</v>
      </c>
      <c r="E54" s="107">
        <f t="shared" si="15"/>
        <v>6533083</v>
      </c>
      <c r="F54" s="107">
        <f t="shared" si="15"/>
        <v>0</v>
      </c>
      <c r="G54" s="107">
        <f t="shared" si="15"/>
        <v>0</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6533083</v>
      </c>
      <c r="S54" s="107">
        <f t="shared" si="15"/>
        <v>4195914</v>
      </c>
      <c r="T54" s="107">
        <f t="shared" si="15"/>
        <v>0</v>
      </c>
      <c r="U54" s="108"/>
    </row>
    <row r="55" spans="1:21" s="105" customFormat="1">
      <c r="A55" s="104" t="s">
        <v>1360</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1797</v>
      </c>
      <c r="B56" s="245">
        <f t="shared" ref="B56:B61" si="16">SUM(C56+D56)</f>
        <v>30540</v>
      </c>
      <c r="C56" s="868">
        <v>30540</v>
      </c>
      <c r="D56" s="868"/>
      <c r="E56" s="868">
        <f>C56</f>
        <v>30540</v>
      </c>
      <c r="F56" s="868"/>
      <c r="G56" s="868"/>
      <c r="H56" s="868"/>
      <c r="I56" s="868"/>
      <c r="J56" s="868"/>
      <c r="K56" s="868"/>
      <c r="L56" s="868"/>
      <c r="M56" s="868"/>
      <c r="N56" s="868"/>
      <c r="O56" s="868"/>
      <c r="P56" s="868"/>
      <c r="Q56" s="868"/>
      <c r="R56" s="416">
        <f t="shared" ref="R56:R61" si="17">SUM(E56:Q56)</f>
        <v>30540</v>
      </c>
      <c r="S56" s="1209"/>
      <c r="T56" s="1209"/>
      <c r="U56" s="1208"/>
    </row>
    <row r="57" spans="1:21" s="130" customFormat="1">
      <c r="A57" s="1210" t="s">
        <v>1790</v>
      </c>
      <c r="B57" s="1211">
        <f t="shared" si="16"/>
        <v>0</v>
      </c>
      <c r="C57" s="1212"/>
      <c r="D57" s="1212"/>
      <c r="E57" s="1212"/>
      <c r="F57" s="1212"/>
      <c r="G57" s="1212"/>
      <c r="H57" s="1212"/>
      <c r="I57" s="1212"/>
      <c r="J57" s="1212"/>
      <c r="K57" s="1212"/>
      <c r="L57" s="1212"/>
      <c r="M57" s="1212"/>
      <c r="N57" s="1212"/>
      <c r="O57" s="1212"/>
      <c r="P57" s="1212"/>
      <c r="Q57" s="1212"/>
      <c r="R57" s="416">
        <f t="shared" si="17"/>
        <v>0</v>
      </c>
      <c r="S57" s="1213"/>
      <c r="T57" s="1213"/>
      <c r="U57" s="1214"/>
    </row>
    <row r="58" spans="1:21" s="105" customFormat="1">
      <c r="A58" s="195" t="s">
        <v>1793</v>
      </c>
      <c r="B58" s="245">
        <f t="shared" si="16"/>
        <v>10000</v>
      </c>
      <c r="C58" s="868">
        <v>10000</v>
      </c>
      <c r="D58" s="868"/>
      <c r="E58" s="868">
        <f>C58</f>
        <v>10000</v>
      </c>
      <c r="F58" s="868"/>
      <c r="G58" s="868"/>
      <c r="H58" s="868"/>
      <c r="I58" s="868"/>
      <c r="J58" s="868"/>
      <c r="K58" s="868"/>
      <c r="L58" s="868"/>
      <c r="M58" s="868"/>
      <c r="N58" s="868"/>
      <c r="O58" s="868"/>
      <c r="P58" s="868"/>
      <c r="Q58" s="868"/>
      <c r="R58" s="416">
        <f t="shared" si="17"/>
        <v>10000</v>
      </c>
      <c r="S58" s="1209"/>
      <c r="T58" s="1209"/>
      <c r="U58" s="1208"/>
    </row>
    <row r="59" spans="1:21" s="105" customFormat="1">
      <c r="A59" s="195" t="s">
        <v>1794</v>
      </c>
      <c r="B59" s="245">
        <f t="shared" si="16"/>
        <v>0</v>
      </c>
      <c r="C59" s="868"/>
      <c r="D59" s="868"/>
      <c r="E59" s="868"/>
      <c r="F59" s="868"/>
      <c r="G59" s="868"/>
      <c r="H59" s="868"/>
      <c r="I59" s="868"/>
      <c r="J59" s="868"/>
      <c r="K59" s="868"/>
      <c r="L59" s="868"/>
      <c r="M59" s="868"/>
      <c r="N59" s="868"/>
      <c r="O59" s="868"/>
      <c r="P59" s="868"/>
      <c r="Q59" s="868"/>
      <c r="R59" s="416">
        <f t="shared" si="17"/>
        <v>0</v>
      </c>
      <c r="S59" s="1209"/>
      <c r="T59" s="1209"/>
      <c r="U59" s="1208"/>
    </row>
    <row r="60" spans="1:21" s="105" customFormat="1">
      <c r="A60" s="195" t="s">
        <v>1559</v>
      </c>
      <c r="B60" s="245">
        <f t="shared" si="16"/>
        <v>0</v>
      </c>
      <c r="C60" s="868"/>
      <c r="D60" s="868"/>
      <c r="E60" s="868"/>
      <c r="F60" s="868"/>
      <c r="G60" s="868"/>
      <c r="H60" s="868"/>
      <c r="I60" s="868"/>
      <c r="J60" s="868"/>
      <c r="K60" s="868"/>
      <c r="L60" s="868"/>
      <c r="M60" s="868"/>
      <c r="N60" s="868"/>
      <c r="O60" s="868"/>
      <c r="P60" s="868"/>
      <c r="Q60" s="868"/>
      <c r="R60" s="416">
        <f t="shared" si="17"/>
        <v>0</v>
      </c>
      <c r="S60" s="1209"/>
      <c r="T60" s="1209"/>
      <c r="U60" s="1208"/>
    </row>
    <row r="61" spans="1:21" s="105" customFormat="1">
      <c r="A61" s="1032" t="s">
        <v>1798</v>
      </c>
      <c r="B61" s="245">
        <f t="shared" si="16"/>
        <v>84127</v>
      </c>
      <c r="C61" s="868">
        <f>80000+4127</f>
        <v>84127</v>
      </c>
      <c r="D61" s="868"/>
      <c r="E61" s="868">
        <f>C61</f>
        <v>84127</v>
      </c>
      <c r="F61" s="868"/>
      <c r="G61" s="868"/>
      <c r="H61" s="868"/>
      <c r="I61" s="868"/>
      <c r="J61" s="868"/>
      <c r="K61" s="868"/>
      <c r="L61" s="868"/>
      <c r="M61" s="868"/>
      <c r="N61" s="868"/>
      <c r="O61" s="868"/>
      <c r="P61" s="868"/>
      <c r="Q61" s="868"/>
      <c r="R61" s="416">
        <f t="shared" si="17"/>
        <v>84127</v>
      </c>
      <c r="S61" s="1209"/>
      <c r="T61" s="1209"/>
      <c r="U61" s="1208"/>
    </row>
    <row r="62" spans="1:21" s="105" customFormat="1" ht="13.7" customHeight="1">
      <c r="A62" s="106" t="s">
        <v>1799</v>
      </c>
      <c r="B62" s="245">
        <f>SUM(C62:D62)</f>
        <v>124667</v>
      </c>
      <c r="C62" s="245">
        <f t="shared" ref="C62:R62" si="18">SUM(C56:C61)</f>
        <v>124667</v>
      </c>
      <c r="D62" s="245">
        <f t="shared" si="18"/>
        <v>0</v>
      </c>
      <c r="E62" s="245">
        <f t="shared" si="18"/>
        <v>124667</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124667</v>
      </c>
      <c r="S62" s="1209"/>
      <c r="T62" s="1209"/>
      <c r="U62" s="1208"/>
    </row>
    <row r="63" spans="1:21" s="105" customFormat="1">
      <c r="A63" s="110" t="s">
        <v>1800</v>
      </c>
      <c r="B63" s="245">
        <f t="shared" ref="B63:R63" si="19">SUM(B8+B11+B13+B14+B15+B26+B27+B38+B42+B43+B54+B62)</f>
        <v>53718869</v>
      </c>
      <c r="C63" s="245">
        <f t="shared" si="19"/>
        <v>53718869</v>
      </c>
      <c r="D63" s="245">
        <f t="shared" si="19"/>
        <v>0</v>
      </c>
      <c r="E63" s="245">
        <f t="shared" si="19"/>
        <v>25785093</v>
      </c>
      <c r="F63" s="245">
        <f t="shared" si="19"/>
        <v>4072000</v>
      </c>
      <c r="G63" s="245">
        <f t="shared" si="19"/>
        <v>21861776</v>
      </c>
      <c r="H63" s="245">
        <f t="shared" si="19"/>
        <v>2000000</v>
      </c>
      <c r="I63" s="245">
        <f t="shared" si="19"/>
        <v>0</v>
      </c>
      <c r="J63" s="245">
        <f t="shared" si="19"/>
        <v>0</v>
      </c>
      <c r="K63" s="245">
        <f t="shared" si="19"/>
        <v>0</v>
      </c>
      <c r="L63" s="245">
        <f t="shared" si="19"/>
        <v>0</v>
      </c>
      <c r="M63" s="245">
        <f t="shared" si="19"/>
        <v>0</v>
      </c>
      <c r="N63" s="245">
        <f t="shared" si="19"/>
        <v>0</v>
      </c>
      <c r="O63" s="245">
        <f t="shared" si="19"/>
        <v>0</v>
      </c>
      <c r="P63" s="245">
        <f t="shared" si="19"/>
        <v>0</v>
      </c>
      <c r="Q63" s="245">
        <f t="shared" si="19"/>
        <v>0</v>
      </c>
      <c r="R63" s="245">
        <f t="shared" si="19"/>
        <v>53718869</v>
      </c>
      <c r="S63" s="245">
        <f>SUM(S10+S13+S14+S15+S26+S27+S38+S42+S43+S54)</f>
        <v>48240583</v>
      </c>
      <c r="T63" s="245">
        <f>SUM(T11+T13+T14+T15+T26+T27+T38+T42+T43+T54)</f>
        <v>0</v>
      </c>
      <c r="U63" s="1208"/>
    </row>
    <row r="64" spans="1:21" s="105" customFormat="1" ht="24">
      <c r="A64" s="104" t="s">
        <v>1801</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1802</v>
      </c>
      <c r="B65" s="245">
        <f>SUM(C65+D65)</f>
        <v>150000</v>
      </c>
      <c r="C65" s="868">
        <v>150000</v>
      </c>
      <c r="D65" s="868"/>
      <c r="E65" s="868">
        <f>C65</f>
        <v>150000</v>
      </c>
      <c r="F65" s="868"/>
      <c r="G65" s="868"/>
      <c r="H65" s="868"/>
      <c r="I65" s="868"/>
      <c r="J65" s="868"/>
      <c r="K65" s="868"/>
      <c r="L65" s="868"/>
      <c r="M65" s="868"/>
      <c r="N65" s="868"/>
      <c r="O65" s="868"/>
      <c r="P65" s="868"/>
      <c r="Q65" s="868"/>
      <c r="R65" s="416">
        <f>SUM(E65:Q65)</f>
        <v>150000</v>
      </c>
      <c r="S65" s="868">
        <f>R65-58333</f>
        <v>91667</v>
      </c>
      <c r="T65" s="868"/>
      <c r="U65" s="1208"/>
    </row>
    <row r="66" spans="1:21" s="105" customFormat="1" ht="24" customHeight="1">
      <c r="A66" s="195" t="s">
        <v>1803</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1804</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1805</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1806</v>
      </c>
      <c r="B69" s="245">
        <f>SUM(C69+D69)</f>
        <v>57500</v>
      </c>
      <c r="C69" s="868">
        <v>57500</v>
      </c>
      <c r="D69" s="868"/>
      <c r="E69" s="868">
        <f>C69</f>
        <v>57500</v>
      </c>
      <c r="F69" s="868"/>
      <c r="G69" s="868"/>
      <c r="H69" s="868"/>
      <c r="I69" s="868"/>
      <c r="J69" s="868"/>
      <c r="K69" s="868"/>
      <c r="L69" s="868"/>
      <c r="M69" s="868"/>
      <c r="N69" s="868"/>
      <c r="O69" s="868"/>
      <c r="P69" s="868"/>
      <c r="Q69" s="868"/>
      <c r="R69" s="416">
        <f>SUM(E69:Q69)</f>
        <v>57500</v>
      </c>
      <c r="S69" s="868">
        <f>R69</f>
        <v>57500</v>
      </c>
      <c r="T69" s="868"/>
      <c r="U69" s="1208"/>
    </row>
    <row r="70" spans="1:21" s="105" customFormat="1">
      <c r="A70" s="106" t="s">
        <v>1807</v>
      </c>
      <c r="B70" s="245">
        <f>SUM(C70:D70)</f>
        <v>207500</v>
      </c>
      <c r="C70" s="245">
        <f>SUM(C65:C69)</f>
        <v>207500</v>
      </c>
      <c r="D70" s="245">
        <f>SUM(D65:D69)</f>
        <v>0</v>
      </c>
      <c r="E70" s="245">
        <f t="shared" ref="E70:T70" si="20">SUM(E65:E69)</f>
        <v>207500</v>
      </c>
      <c r="F70" s="245">
        <f t="shared" si="20"/>
        <v>0</v>
      </c>
      <c r="G70" s="245">
        <f t="shared" si="20"/>
        <v>0</v>
      </c>
      <c r="H70" s="245">
        <f t="shared" si="20"/>
        <v>0</v>
      </c>
      <c r="I70" s="245">
        <f t="shared" si="20"/>
        <v>0</v>
      </c>
      <c r="J70" s="245">
        <f t="shared" si="20"/>
        <v>0</v>
      </c>
      <c r="K70" s="245">
        <f t="shared" si="20"/>
        <v>0</v>
      </c>
      <c r="L70" s="245">
        <f t="shared" si="20"/>
        <v>0</v>
      </c>
      <c r="M70" s="245">
        <f t="shared" si="20"/>
        <v>0</v>
      </c>
      <c r="N70" s="245">
        <f t="shared" si="20"/>
        <v>0</v>
      </c>
      <c r="O70" s="245">
        <f t="shared" si="20"/>
        <v>0</v>
      </c>
      <c r="P70" s="245">
        <f t="shared" si="20"/>
        <v>0</v>
      </c>
      <c r="Q70" s="245">
        <f t="shared" si="20"/>
        <v>0</v>
      </c>
      <c r="R70" s="245">
        <f t="shared" si="20"/>
        <v>207500</v>
      </c>
      <c r="S70" s="107">
        <f t="shared" si="20"/>
        <v>149167</v>
      </c>
      <c r="T70" s="107">
        <f t="shared" si="20"/>
        <v>0</v>
      </c>
      <c r="U70" s="1208"/>
    </row>
    <row r="71" spans="1:21" s="105" customFormat="1">
      <c r="A71" s="104" t="s">
        <v>1808</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1809</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1810</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1811</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1812</v>
      </c>
      <c r="B75" s="245">
        <f>SUM(C75+D75)</f>
        <v>256637</v>
      </c>
      <c r="C75" s="868">
        <v>256637</v>
      </c>
      <c r="D75" s="868"/>
      <c r="E75" s="868">
        <f t="shared" ref="E75:E76" si="21">C75</f>
        <v>256637</v>
      </c>
      <c r="F75" s="868"/>
      <c r="G75" s="868"/>
      <c r="H75" s="868"/>
      <c r="I75" s="868"/>
      <c r="J75" s="868"/>
      <c r="K75" s="868"/>
      <c r="L75" s="868"/>
      <c r="M75" s="868"/>
      <c r="N75" s="868"/>
      <c r="O75" s="868"/>
      <c r="P75" s="868"/>
      <c r="Q75" s="868"/>
      <c r="R75" s="416">
        <f>SUM(E75:Q75)</f>
        <v>256637</v>
      </c>
      <c r="S75" s="1209"/>
      <c r="T75" s="1209"/>
      <c r="U75" s="1208"/>
    </row>
    <row r="76" spans="1:21" s="105" customFormat="1">
      <c r="A76" s="1032" t="s">
        <v>1813</v>
      </c>
      <c r="B76" s="245">
        <f>SUM(C76+D76)</f>
        <v>0</v>
      </c>
      <c r="C76" s="868"/>
      <c r="D76" s="868"/>
      <c r="E76" s="868">
        <f t="shared" si="21"/>
        <v>0</v>
      </c>
      <c r="F76" s="868"/>
      <c r="G76" s="868"/>
      <c r="H76" s="868"/>
      <c r="I76" s="868"/>
      <c r="J76" s="868"/>
      <c r="K76" s="868"/>
      <c r="L76" s="868"/>
      <c r="M76" s="868"/>
      <c r="N76" s="868"/>
      <c r="O76" s="868"/>
      <c r="P76" s="868"/>
      <c r="Q76" s="868"/>
      <c r="R76" s="416">
        <f>SUM(E76:Q76)</f>
        <v>0</v>
      </c>
      <c r="S76" s="1209"/>
      <c r="T76" s="1209"/>
      <c r="U76" s="1208"/>
    </row>
    <row r="77" spans="1:21" s="105" customFormat="1">
      <c r="A77" s="106" t="s">
        <v>1814</v>
      </c>
      <c r="B77" s="245">
        <f>SUM(C77:D77)</f>
        <v>256637</v>
      </c>
      <c r="C77" s="245">
        <f>SUM(C72:C76)</f>
        <v>256637</v>
      </c>
      <c r="D77" s="245">
        <f>SUM(D72:D76)</f>
        <v>0</v>
      </c>
      <c r="E77" s="245">
        <f t="shared" ref="E77:Q77" si="22">SUM(E72:E76)</f>
        <v>256637</v>
      </c>
      <c r="F77" s="245">
        <f t="shared" si="22"/>
        <v>0</v>
      </c>
      <c r="G77" s="245">
        <f t="shared" si="22"/>
        <v>0</v>
      </c>
      <c r="H77" s="245">
        <f t="shared" si="22"/>
        <v>0</v>
      </c>
      <c r="I77" s="245">
        <f t="shared" si="22"/>
        <v>0</v>
      </c>
      <c r="J77" s="245">
        <f t="shared" si="22"/>
        <v>0</v>
      </c>
      <c r="K77" s="245">
        <f t="shared" si="22"/>
        <v>0</v>
      </c>
      <c r="L77" s="245">
        <f t="shared" si="22"/>
        <v>0</v>
      </c>
      <c r="M77" s="245">
        <f t="shared" si="22"/>
        <v>0</v>
      </c>
      <c r="N77" s="245">
        <f t="shared" si="22"/>
        <v>0</v>
      </c>
      <c r="O77" s="245">
        <f t="shared" si="22"/>
        <v>0</v>
      </c>
      <c r="P77" s="245">
        <f t="shared" si="22"/>
        <v>0</v>
      </c>
      <c r="Q77" s="245">
        <f t="shared" si="22"/>
        <v>0</v>
      </c>
      <c r="R77" s="245">
        <f>SUM(R72:R76)</f>
        <v>256637</v>
      </c>
      <c r="S77" s="1209"/>
      <c r="T77" s="1209"/>
      <c r="U77" s="1208"/>
    </row>
    <row r="78" spans="1:21" s="105" customFormat="1">
      <c r="A78" s="104" t="s">
        <v>1815</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1816</v>
      </c>
      <c r="B79" s="245">
        <f>SUM(C79:D79)</f>
        <v>2086790</v>
      </c>
      <c r="C79" s="868">
        <v>2086790</v>
      </c>
      <c r="D79" s="868"/>
      <c r="E79" s="868">
        <f>C79</f>
        <v>2086790</v>
      </c>
      <c r="F79" s="868"/>
      <c r="G79" s="868"/>
      <c r="H79" s="868"/>
      <c r="I79" s="868"/>
      <c r="J79" s="868"/>
      <c r="K79" s="868"/>
      <c r="L79" s="868"/>
      <c r="M79" s="868"/>
      <c r="N79" s="868"/>
      <c r="O79" s="868"/>
      <c r="P79" s="868"/>
      <c r="Q79" s="868"/>
      <c r="R79" s="416">
        <f>SUM(E79:Q79)</f>
        <v>2086790</v>
      </c>
      <c r="S79" s="868">
        <f>R79</f>
        <v>2086790</v>
      </c>
      <c r="T79" s="868"/>
      <c r="U79" s="1208"/>
    </row>
    <row r="80" spans="1:21" s="105" customFormat="1">
      <c r="A80" s="195" t="s">
        <v>1817</v>
      </c>
      <c r="B80" s="245">
        <f>SUM(C80:D80)</f>
        <v>277456</v>
      </c>
      <c r="C80" s="868">
        <v>277456</v>
      </c>
      <c r="D80" s="868"/>
      <c r="E80" s="868">
        <f>C80</f>
        <v>277456</v>
      </c>
      <c r="F80" s="868"/>
      <c r="G80" s="868"/>
      <c r="H80" s="868"/>
      <c r="I80" s="868"/>
      <c r="J80" s="868"/>
      <c r="K80" s="868"/>
      <c r="L80" s="868"/>
      <c r="M80" s="868"/>
      <c r="N80" s="868"/>
      <c r="O80" s="868"/>
      <c r="P80" s="868"/>
      <c r="Q80" s="868"/>
      <c r="R80" s="416">
        <f>SUM(E80:Q80)</f>
        <v>277456</v>
      </c>
      <c r="S80" s="868">
        <f>R80</f>
        <v>277456</v>
      </c>
      <c r="T80" s="868"/>
      <c r="U80" s="1208"/>
    </row>
    <row r="81" spans="1:21" s="105" customFormat="1">
      <c r="A81" s="106" t="s">
        <v>1818</v>
      </c>
      <c r="B81" s="245">
        <f>SUM(C81:D81)</f>
        <v>2364246</v>
      </c>
      <c r="C81" s="1215">
        <f>SUM(C79:C80)</f>
        <v>2364246</v>
      </c>
      <c r="D81" s="1215">
        <f t="shared" ref="D81:T81" si="23">SUM(D79:D80)</f>
        <v>0</v>
      </c>
      <c r="E81" s="1215">
        <f t="shared" si="23"/>
        <v>2364246</v>
      </c>
      <c r="F81" s="1215">
        <f t="shared" si="23"/>
        <v>0</v>
      </c>
      <c r="G81" s="1215">
        <f t="shared" si="23"/>
        <v>0</v>
      </c>
      <c r="H81" s="1215">
        <f t="shared" si="23"/>
        <v>0</v>
      </c>
      <c r="I81" s="1215">
        <f t="shared" si="23"/>
        <v>0</v>
      </c>
      <c r="J81" s="1215">
        <f t="shared" si="23"/>
        <v>0</v>
      </c>
      <c r="K81" s="1215">
        <f t="shared" si="23"/>
        <v>0</v>
      </c>
      <c r="L81" s="1215">
        <f t="shared" si="23"/>
        <v>0</v>
      </c>
      <c r="M81" s="1215">
        <f t="shared" si="23"/>
        <v>0</v>
      </c>
      <c r="N81" s="1215">
        <f t="shared" si="23"/>
        <v>0</v>
      </c>
      <c r="O81" s="1215">
        <f t="shared" si="23"/>
        <v>0</v>
      </c>
      <c r="P81" s="1215">
        <f t="shared" si="23"/>
        <v>0</v>
      </c>
      <c r="Q81" s="1215">
        <f t="shared" si="23"/>
        <v>0</v>
      </c>
      <c r="R81" s="1215">
        <f t="shared" si="23"/>
        <v>2364246</v>
      </c>
      <c r="S81" s="1215">
        <f t="shared" si="23"/>
        <v>2364246</v>
      </c>
      <c r="T81" s="1215">
        <f t="shared" si="23"/>
        <v>0</v>
      </c>
      <c r="U81" s="1208"/>
    </row>
    <row r="82" spans="1:21" s="105" customFormat="1">
      <c r="A82" s="104" t="s">
        <v>1819</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1820</v>
      </c>
      <c r="B83" s="245">
        <f t="shared" ref="B83:B95" si="24">SUM(C83+D83)</f>
        <v>91105</v>
      </c>
      <c r="C83" s="868">
        <f>91105</f>
        <v>91105</v>
      </c>
      <c r="D83" s="868"/>
      <c r="E83" s="868">
        <f>C83</f>
        <v>91105</v>
      </c>
      <c r="F83" s="868"/>
      <c r="G83" s="868"/>
      <c r="H83" s="868"/>
      <c r="I83" s="868"/>
      <c r="J83" s="868"/>
      <c r="K83" s="868"/>
      <c r="L83" s="868"/>
      <c r="M83" s="868"/>
      <c r="N83" s="868"/>
      <c r="O83" s="868"/>
      <c r="P83" s="868"/>
      <c r="Q83" s="868"/>
      <c r="R83" s="416">
        <f t="shared" ref="R83:R95" si="25">SUM(E83:Q83)</f>
        <v>91105</v>
      </c>
      <c r="S83" s="1209"/>
      <c r="T83" s="1209"/>
      <c r="U83" s="1208"/>
    </row>
    <row r="84" spans="1:21" s="105" customFormat="1">
      <c r="A84" s="195" t="s">
        <v>1821</v>
      </c>
      <c r="B84" s="245">
        <f t="shared" si="24"/>
        <v>69800</v>
      </c>
      <c r="C84" s="868">
        <f>15000+35000+19800</f>
        <v>69800</v>
      </c>
      <c r="D84" s="868"/>
      <c r="E84" s="868">
        <f t="shared" ref="E84:E95" si="26">C84</f>
        <v>69800</v>
      </c>
      <c r="F84" s="868"/>
      <c r="G84" s="868"/>
      <c r="H84" s="868"/>
      <c r="I84" s="868"/>
      <c r="J84" s="868"/>
      <c r="K84" s="868"/>
      <c r="L84" s="868"/>
      <c r="M84" s="868"/>
      <c r="N84" s="868"/>
      <c r="O84" s="868"/>
      <c r="P84" s="868"/>
      <c r="Q84" s="868"/>
      <c r="R84" s="416">
        <f t="shared" si="25"/>
        <v>69800</v>
      </c>
      <c r="S84" s="868">
        <f>R84</f>
        <v>69800</v>
      </c>
      <c r="T84" s="868"/>
      <c r="U84" s="1208"/>
    </row>
    <row r="85" spans="1:21" s="105" customFormat="1">
      <c r="A85" s="195" t="s">
        <v>1822</v>
      </c>
      <c r="B85" s="245">
        <f t="shared" si="24"/>
        <v>1000000</v>
      </c>
      <c r="C85" s="868">
        <v>1000000</v>
      </c>
      <c r="D85" s="868"/>
      <c r="E85" s="868">
        <f t="shared" si="26"/>
        <v>1000000</v>
      </c>
      <c r="F85" s="868"/>
      <c r="G85" s="868"/>
      <c r="H85" s="868"/>
      <c r="I85" s="868"/>
      <c r="J85" s="868"/>
      <c r="K85" s="868"/>
      <c r="L85" s="868"/>
      <c r="M85" s="868"/>
      <c r="N85" s="868"/>
      <c r="O85" s="868"/>
      <c r="P85" s="868"/>
      <c r="Q85" s="868"/>
      <c r="R85" s="416">
        <f t="shared" si="25"/>
        <v>1000000</v>
      </c>
      <c r="S85" s="868">
        <f>R85</f>
        <v>1000000</v>
      </c>
      <c r="T85" s="868"/>
      <c r="U85" s="1208"/>
    </row>
    <row r="86" spans="1:21" s="105" customFormat="1">
      <c r="A86" s="195" t="s">
        <v>1823</v>
      </c>
      <c r="B86" s="245">
        <f t="shared" si="24"/>
        <v>210000</v>
      </c>
      <c r="C86" s="868">
        <v>210000</v>
      </c>
      <c r="D86" s="868"/>
      <c r="E86" s="868">
        <f t="shared" si="26"/>
        <v>210000</v>
      </c>
      <c r="F86" s="868"/>
      <c r="G86" s="868"/>
      <c r="H86" s="868"/>
      <c r="I86" s="868"/>
      <c r="J86" s="868"/>
      <c r="K86" s="868"/>
      <c r="L86" s="868"/>
      <c r="M86" s="868"/>
      <c r="N86" s="868"/>
      <c r="O86" s="868"/>
      <c r="P86" s="868"/>
      <c r="Q86" s="868"/>
      <c r="R86" s="416">
        <f t="shared" si="25"/>
        <v>210000</v>
      </c>
      <c r="S86" s="868">
        <f>R86</f>
        <v>210000</v>
      </c>
      <c r="T86" s="868"/>
      <c r="U86" s="1208"/>
    </row>
    <row r="87" spans="1:21" s="105" customFormat="1">
      <c r="A87" s="195" t="s">
        <v>1824</v>
      </c>
      <c r="B87" s="245">
        <f t="shared" si="24"/>
        <v>0</v>
      </c>
      <c r="C87" s="868"/>
      <c r="D87" s="868"/>
      <c r="E87" s="868"/>
      <c r="F87" s="868"/>
      <c r="G87" s="868"/>
      <c r="H87" s="868"/>
      <c r="I87" s="868"/>
      <c r="J87" s="868"/>
      <c r="K87" s="868"/>
      <c r="L87" s="868"/>
      <c r="M87" s="868"/>
      <c r="N87" s="868"/>
      <c r="O87" s="868"/>
      <c r="P87" s="868"/>
      <c r="Q87" s="868"/>
      <c r="R87" s="416">
        <f t="shared" si="25"/>
        <v>0</v>
      </c>
      <c r="S87" s="868"/>
      <c r="T87" s="868"/>
      <c r="U87" s="1208"/>
    </row>
    <row r="88" spans="1:21" s="105" customFormat="1">
      <c r="A88" s="195" t="s">
        <v>1825</v>
      </c>
      <c r="B88" s="245">
        <f t="shared" si="24"/>
        <v>100000</v>
      </c>
      <c r="C88" s="868">
        <v>100000</v>
      </c>
      <c r="D88" s="868"/>
      <c r="E88" s="868">
        <f t="shared" si="26"/>
        <v>100000</v>
      </c>
      <c r="F88" s="868"/>
      <c r="G88" s="868"/>
      <c r="H88" s="868"/>
      <c r="I88" s="868"/>
      <c r="J88" s="868"/>
      <c r="K88" s="868"/>
      <c r="L88" s="868"/>
      <c r="M88" s="868"/>
      <c r="N88" s="868"/>
      <c r="O88" s="868"/>
      <c r="P88" s="868"/>
      <c r="Q88" s="868"/>
      <c r="R88" s="416">
        <f t="shared" si="25"/>
        <v>100000</v>
      </c>
      <c r="S88" s="1209"/>
      <c r="T88" s="1209"/>
      <c r="U88" s="1208"/>
    </row>
    <row r="89" spans="1:21" s="105" customFormat="1">
      <c r="A89" s="195" t="s">
        <v>1826</v>
      </c>
      <c r="B89" s="245">
        <f t="shared" si="24"/>
        <v>0</v>
      </c>
      <c r="C89" s="868"/>
      <c r="D89" s="868"/>
      <c r="E89" s="868"/>
      <c r="F89" s="868"/>
      <c r="G89" s="868"/>
      <c r="H89" s="868"/>
      <c r="I89" s="868"/>
      <c r="J89" s="868"/>
      <c r="K89" s="868"/>
      <c r="L89" s="868"/>
      <c r="M89" s="868"/>
      <c r="N89" s="868"/>
      <c r="O89" s="868"/>
      <c r="P89" s="868"/>
      <c r="Q89" s="868"/>
      <c r="R89" s="416">
        <f t="shared" si="25"/>
        <v>0</v>
      </c>
      <c r="S89" s="868"/>
      <c r="T89" s="868"/>
      <c r="U89" s="1208"/>
    </row>
    <row r="90" spans="1:21" s="105" customFormat="1">
      <c r="A90" s="195" t="s">
        <v>1827</v>
      </c>
      <c r="B90" s="245">
        <f t="shared" si="24"/>
        <v>20000</v>
      </c>
      <c r="C90" s="868">
        <v>20000</v>
      </c>
      <c r="D90" s="868"/>
      <c r="E90" s="868">
        <f t="shared" si="26"/>
        <v>20000</v>
      </c>
      <c r="F90" s="868"/>
      <c r="G90" s="868"/>
      <c r="H90" s="868"/>
      <c r="I90" s="868"/>
      <c r="J90" s="868"/>
      <c r="K90" s="868"/>
      <c r="L90" s="868"/>
      <c r="M90" s="868"/>
      <c r="N90" s="868"/>
      <c r="O90" s="868"/>
      <c r="P90" s="868"/>
      <c r="Q90" s="868"/>
      <c r="R90" s="416">
        <f t="shared" si="25"/>
        <v>20000</v>
      </c>
      <c r="S90" s="868"/>
      <c r="T90" s="868"/>
      <c r="U90" s="1208"/>
    </row>
    <row r="91" spans="1:21" s="105" customFormat="1">
      <c r="A91" s="195" t="s">
        <v>1828</v>
      </c>
      <c r="B91" s="245">
        <f t="shared" si="24"/>
        <v>10000</v>
      </c>
      <c r="C91" s="868">
        <v>10000</v>
      </c>
      <c r="D91" s="868"/>
      <c r="E91" s="868">
        <f t="shared" si="26"/>
        <v>10000</v>
      </c>
      <c r="F91" s="868"/>
      <c r="G91" s="868"/>
      <c r="H91" s="868"/>
      <c r="I91" s="868"/>
      <c r="J91" s="868"/>
      <c r="K91" s="868"/>
      <c r="L91" s="868"/>
      <c r="M91" s="868"/>
      <c r="N91" s="868"/>
      <c r="O91" s="868"/>
      <c r="P91" s="868"/>
      <c r="Q91" s="868"/>
      <c r="R91" s="416">
        <f t="shared" si="25"/>
        <v>10000</v>
      </c>
      <c r="S91" s="868">
        <f>R91</f>
        <v>10000</v>
      </c>
      <c r="T91" s="868"/>
      <c r="U91" s="1208"/>
    </row>
    <row r="92" spans="1:21" s="105" customFormat="1">
      <c r="A92" s="195" t="s">
        <v>1829</v>
      </c>
      <c r="B92" s="245">
        <f t="shared" si="24"/>
        <v>10000</v>
      </c>
      <c r="C92" s="868">
        <v>10000</v>
      </c>
      <c r="D92" s="868"/>
      <c r="E92" s="868">
        <f t="shared" si="26"/>
        <v>10000</v>
      </c>
      <c r="F92" s="868"/>
      <c r="G92" s="868"/>
      <c r="H92" s="868"/>
      <c r="I92" s="868"/>
      <c r="J92" s="868"/>
      <c r="K92" s="868"/>
      <c r="L92" s="868"/>
      <c r="M92" s="868"/>
      <c r="N92" s="868"/>
      <c r="O92" s="868"/>
      <c r="P92" s="868"/>
      <c r="Q92" s="868"/>
      <c r="R92" s="416">
        <f t="shared" si="25"/>
        <v>10000</v>
      </c>
      <c r="S92" s="868">
        <f>R92</f>
        <v>10000</v>
      </c>
      <c r="T92" s="868"/>
      <c r="U92" s="1208"/>
    </row>
    <row r="93" spans="1:21" s="105" customFormat="1">
      <c r="A93" s="1032" t="s">
        <v>1830</v>
      </c>
      <c r="B93" s="245">
        <f t="shared" si="24"/>
        <v>368805</v>
      </c>
      <c r="C93" s="868">
        <v>368805</v>
      </c>
      <c r="D93" s="868"/>
      <c r="E93" s="868">
        <f t="shared" si="26"/>
        <v>368805</v>
      </c>
      <c r="F93" s="868"/>
      <c r="G93" s="868"/>
      <c r="H93" s="868"/>
      <c r="I93" s="868"/>
      <c r="J93" s="868"/>
      <c r="K93" s="868"/>
      <c r="L93" s="868"/>
      <c r="M93" s="868"/>
      <c r="N93" s="868"/>
      <c r="O93" s="868"/>
      <c r="P93" s="868"/>
      <c r="Q93" s="868"/>
      <c r="R93" s="416">
        <f t="shared" si="25"/>
        <v>368805</v>
      </c>
      <c r="S93" s="868">
        <f>R93</f>
        <v>368805</v>
      </c>
      <c r="T93" s="868"/>
      <c r="U93" s="1208"/>
    </row>
    <row r="94" spans="1:21" s="105" customFormat="1">
      <c r="A94" s="1032" t="s">
        <v>1831</v>
      </c>
      <c r="B94" s="245">
        <f t="shared" si="24"/>
        <v>145200</v>
      </c>
      <c r="C94" s="868">
        <f>25200+120000</f>
        <v>145200</v>
      </c>
      <c r="D94" s="868"/>
      <c r="E94" s="868">
        <f t="shared" si="26"/>
        <v>145200</v>
      </c>
      <c r="F94" s="868"/>
      <c r="G94" s="868"/>
      <c r="H94" s="868"/>
      <c r="I94" s="868"/>
      <c r="J94" s="868"/>
      <c r="K94" s="868"/>
      <c r="L94" s="868"/>
      <c r="M94" s="868"/>
      <c r="N94" s="868"/>
      <c r="O94" s="868"/>
      <c r="P94" s="868"/>
      <c r="Q94" s="868"/>
      <c r="R94" s="416">
        <f t="shared" si="25"/>
        <v>145200</v>
      </c>
      <c r="S94" s="868"/>
      <c r="T94" s="868"/>
      <c r="U94" s="1208"/>
    </row>
    <row r="95" spans="1:21" s="105" customFormat="1" ht="24">
      <c r="A95" s="1032" t="s">
        <v>1832</v>
      </c>
      <c r="B95" s="245">
        <f t="shared" si="24"/>
        <v>261583</v>
      </c>
      <c r="C95" s="868">
        <f>150000+111583</f>
        <v>261583</v>
      </c>
      <c r="D95" s="868"/>
      <c r="E95" s="868">
        <f t="shared" si="26"/>
        <v>261583</v>
      </c>
      <c r="F95" s="868"/>
      <c r="G95" s="868"/>
      <c r="H95" s="868"/>
      <c r="I95" s="868"/>
      <c r="J95" s="868"/>
      <c r="K95" s="868"/>
      <c r="L95" s="868"/>
      <c r="M95" s="868"/>
      <c r="N95" s="868"/>
      <c r="O95" s="868"/>
      <c r="P95" s="868"/>
      <c r="Q95" s="868"/>
      <c r="R95" s="416">
        <f t="shared" si="25"/>
        <v>261583</v>
      </c>
      <c r="S95" s="868">
        <f>R95</f>
        <v>261583</v>
      </c>
      <c r="T95" s="868"/>
      <c r="U95" s="1208"/>
    </row>
    <row r="96" spans="1:21" s="105" customFormat="1">
      <c r="A96" s="106" t="s">
        <v>1833</v>
      </c>
      <c r="B96" s="245">
        <f>SUM(C96:D96)</f>
        <v>2286493</v>
      </c>
      <c r="C96" s="245">
        <f t="shared" ref="C96:R96" si="27">SUM(C83:C95)</f>
        <v>2286493</v>
      </c>
      <c r="D96" s="245">
        <f t="shared" si="27"/>
        <v>0</v>
      </c>
      <c r="E96" s="245">
        <f t="shared" si="27"/>
        <v>2286493</v>
      </c>
      <c r="F96" s="245">
        <f t="shared" si="27"/>
        <v>0</v>
      </c>
      <c r="G96" s="245">
        <f t="shared" si="27"/>
        <v>0</v>
      </c>
      <c r="H96" s="245">
        <f t="shared" si="27"/>
        <v>0</v>
      </c>
      <c r="I96" s="245">
        <f t="shared" si="27"/>
        <v>0</v>
      </c>
      <c r="J96" s="245">
        <f t="shared" si="27"/>
        <v>0</v>
      </c>
      <c r="K96" s="245">
        <f t="shared" si="27"/>
        <v>0</v>
      </c>
      <c r="L96" s="245">
        <f t="shared" si="27"/>
        <v>0</v>
      </c>
      <c r="M96" s="245">
        <f t="shared" si="27"/>
        <v>0</v>
      </c>
      <c r="N96" s="245">
        <f t="shared" si="27"/>
        <v>0</v>
      </c>
      <c r="O96" s="245">
        <f t="shared" si="27"/>
        <v>0</v>
      </c>
      <c r="P96" s="245">
        <f t="shared" si="27"/>
        <v>0</v>
      </c>
      <c r="Q96" s="245">
        <f t="shared" si="27"/>
        <v>0</v>
      </c>
      <c r="R96" s="245">
        <f t="shared" si="27"/>
        <v>2286493</v>
      </c>
      <c r="S96" s="107">
        <f>SUM(S84:S87,S89:S95)</f>
        <v>1930188</v>
      </c>
      <c r="T96" s="245">
        <f>SUM(T84:T87,T89:T95)</f>
        <v>0</v>
      </c>
      <c r="U96" s="1208"/>
    </row>
    <row r="97" spans="1:21" s="105" customFormat="1">
      <c r="A97" s="106" t="s">
        <v>1834</v>
      </c>
      <c r="B97" s="245">
        <f>SUM(C97:D97)</f>
        <v>58833745</v>
      </c>
      <c r="C97" s="245">
        <f t="shared" ref="C97:R97" si="28">SUM(C63+C70+C77+C81+C96)</f>
        <v>58833745</v>
      </c>
      <c r="D97" s="245">
        <f t="shared" si="28"/>
        <v>0</v>
      </c>
      <c r="E97" s="245">
        <f t="shared" si="28"/>
        <v>30899969</v>
      </c>
      <c r="F97" s="245">
        <f t="shared" si="28"/>
        <v>4072000</v>
      </c>
      <c r="G97" s="245">
        <f t="shared" si="28"/>
        <v>21861776</v>
      </c>
      <c r="H97" s="245">
        <f t="shared" si="28"/>
        <v>2000000</v>
      </c>
      <c r="I97" s="245">
        <f t="shared" si="28"/>
        <v>0</v>
      </c>
      <c r="J97" s="245">
        <f t="shared" si="28"/>
        <v>0</v>
      </c>
      <c r="K97" s="245">
        <f t="shared" si="28"/>
        <v>0</v>
      </c>
      <c r="L97" s="245">
        <f t="shared" si="28"/>
        <v>0</v>
      </c>
      <c r="M97" s="245">
        <f t="shared" si="28"/>
        <v>0</v>
      </c>
      <c r="N97" s="245">
        <f t="shared" si="28"/>
        <v>0</v>
      </c>
      <c r="O97" s="245">
        <f t="shared" si="28"/>
        <v>0</v>
      </c>
      <c r="P97" s="245">
        <f t="shared" si="28"/>
        <v>0</v>
      </c>
      <c r="Q97" s="245">
        <f t="shared" si="28"/>
        <v>0</v>
      </c>
      <c r="R97" s="245">
        <f t="shared" si="28"/>
        <v>58833745</v>
      </c>
      <c r="S97" s="245">
        <f>SUM(S63+S70+S81+S96)</f>
        <v>52684184</v>
      </c>
      <c r="T97" s="245">
        <f>SUM(T63+T70+T81+T96)</f>
        <v>0</v>
      </c>
      <c r="U97" s="1208"/>
    </row>
    <row r="98" spans="1:21" s="105" customFormat="1">
      <c r="A98" s="104" t="s">
        <v>1835</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1836</v>
      </c>
      <c r="B99" s="245">
        <f>SUM(C99+D99)</f>
        <v>7902627</v>
      </c>
      <c r="C99" s="868">
        <v>7902627</v>
      </c>
      <c r="D99" s="868"/>
      <c r="E99" s="868">
        <f>C99-I99</f>
        <v>3300875</v>
      </c>
      <c r="F99" s="868"/>
      <c r="G99" s="868"/>
      <c r="H99" s="868"/>
      <c r="I99" s="868">
        <f>Application!AO638</f>
        <v>4601752</v>
      </c>
      <c r="J99" s="868"/>
      <c r="K99" s="868"/>
      <c r="L99" s="868"/>
      <c r="M99" s="868"/>
      <c r="N99" s="868"/>
      <c r="O99" s="868"/>
      <c r="P99" s="868"/>
      <c r="Q99" s="868"/>
      <c r="R99" s="416">
        <f>SUM(E99:Q99)</f>
        <v>7902627</v>
      </c>
      <c r="S99" s="868">
        <f>R99</f>
        <v>7902627</v>
      </c>
      <c r="T99" s="868"/>
      <c r="U99" s="1208"/>
    </row>
    <row r="100" spans="1:21" s="105" customFormat="1">
      <c r="A100" s="195" t="s">
        <v>1837</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1838</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1839</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1776</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1840</v>
      </c>
      <c r="B104" s="245">
        <f>SUM(C104:D104)</f>
        <v>7902627</v>
      </c>
      <c r="C104" s="245">
        <f>SUM(C99:C103)</f>
        <v>7902627</v>
      </c>
      <c r="D104" s="245">
        <f t="shared" ref="D104:T104" si="29">SUM(D99:D103)</f>
        <v>0</v>
      </c>
      <c r="E104" s="245">
        <f t="shared" si="29"/>
        <v>3300875</v>
      </c>
      <c r="F104" s="245">
        <f t="shared" si="29"/>
        <v>0</v>
      </c>
      <c r="G104" s="245">
        <f t="shared" si="29"/>
        <v>0</v>
      </c>
      <c r="H104" s="245">
        <f t="shared" si="29"/>
        <v>0</v>
      </c>
      <c r="I104" s="245">
        <f t="shared" si="29"/>
        <v>4601752</v>
      </c>
      <c r="J104" s="245">
        <f t="shared" si="29"/>
        <v>0</v>
      </c>
      <c r="K104" s="245">
        <f t="shared" si="29"/>
        <v>0</v>
      </c>
      <c r="L104" s="245">
        <f t="shared" si="29"/>
        <v>0</v>
      </c>
      <c r="M104" s="245">
        <f t="shared" si="29"/>
        <v>0</v>
      </c>
      <c r="N104" s="245">
        <f t="shared" si="29"/>
        <v>0</v>
      </c>
      <c r="O104" s="245">
        <f t="shared" si="29"/>
        <v>0</v>
      </c>
      <c r="P104" s="245">
        <f t="shared" si="29"/>
        <v>0</v>
      </c>
      <c r="Q104" s="245">
        <f t="shared" si="29"/>
        <v>0</v>
      </c>
      <c r="R104" s="245">
        <f t="shared" si="29"/>
        <v>7902627</v>
      </c>
      <c r="S104" s="107">
        <f t="shared" si="29"/>
        <v>7902627</v>
      </c>
      <c r="T104" s="107">
        <f t="shared" si="29"/>
        <v>0</v>
      </c>
      <c r="U104" s="1208"/>
    </row>
    <row r="105" spans="1:21" s="105" customFormat="1">
      <c r="A105" s="106" t="s">
        <v>1841</v>
      </c>
      <c r="B105" s="107">
        <f>SUM(C105:D105)</f>
        <v>66736372</v>
      </c>
      <c r="C105" s="107">
        <f t="shared" ref="C105:R105" si="30">SUM(C97+C104)</f>
        <v>66736372</v>
      </c>
      <c r="D105" s="107">
        <f t="shared" si="30"/>
        <v>0</v>
      </c>
      <c r="E105" s="107">
        <f t="shared" si="30"/>
        <v>34200844</v>
      </c>
      <c r="F105" s="107">
        <f t="shared" si="30"/>
        <v>4072000</v>
      </c>
      <c r="G105" s="107">
        <f t="shared" si="30"/>
        <v>21861776</v>
      </c>
      <c r="H105" s="107">
        <f t="shared" si="30"/>
        <v>2000000</v>
      </c>
      <c r="I105" s="107">
        <f t="shared" si="30"/>
        <v>4601752</v>
      </c>
      <c r="J105" s="107">
        <f t="shared" si="30"/>
        <v>0</v>
      </c>
      <c r="K105" s="107">
        <f t="shared" si="30"/>
        <v>0</v>
      </c>
      <c r="L105" s="107">
        <f t="shared" si="30"/>
        <v>0</v>
      </c>
      <c r="M105" s="107">
        <f t="shared" si="30"/>
        <v>0</v>
      </c>
      <c r="N105" s="107">
        <f t="shared" si="30"/>
        <v>0</v>
      </c>
      <c r="O105" s="107">
        <f t="shared" si="30"/>
        <v>0</v>
      </c>
      <c r="P105" s="107">
        <f t="shared" si="30"/>
        <v>0</v>
      </c>
      <c r="Q105" s="107">
        <f t="shared" si="30"/>
        <v>0</v>
      </c>
      <c r="R105" s="245">
        <f t="shared" si="30"/>
        <v>66736372</v>
      </c>
      <c r="S105" s="107">
        <f>S97+S104</f>
        <v>60586811</v>
      </c>
      <c r="T105" s="107">
        <f>T97+T104</f>
        <v>0</v>
      </c>
      <c r="U105" s="1208"/>
    </row>
    <row r="106" spans="1:21">
      <c r="A106" s="414" t="s">
        <v>1842</v>
      </c>
      <c r="B106" s="1216"/>
      <c r="C106" s="1216"/>
      <c r="D106" s="1216"/>
      <c r="E106" s="229"/>
      <c r="F106" s="229"/>
      <c r="G106" s="229"/>
      <c r="H106" s="230" t="s">
        <v>1843</v>
      </c>
      <c r="I106" s="230"/>
      <c r="J106" s="230"/>
      <c r="K106" s="229"/>
      <c r="L106" s="229"/>
      <c r="M106" s="229"/>
      <c r="N106" s="229"/>
      <c r="O106" s="229"/>
      <c r="P106" s="229"/>
      <c r="Q106" s="229"/>
      <c r="R106" s="113" t="s">
        <v>1844</v>
      </c>
      <c r="S106" s="868"/>
      <c r="T106" s="868"/>
      <c r="U106" s="231"/>
    </row>
    <row r="107" spans="1:21">
      <c r="A107" s="1216" t="s">
        <v>1845</v>
      </c>
      <c r="B107" s="229"/>
      <c r="C107" s="1216"/>
      <c r="D107" s="1216"/>
      <c r="E107" s="229"/>
      <c r="F107" s="229"/>
      <c r="G107" s="229"/>
      <c r="H107" s="229"/>
      <c r="I107" s="115" t="s">
        <v>1846</v>
      </c>
      <c r="J107" s="115"/>
      <c r="K107" s="229"/>
      <c r="L107" s="229"/>
      <c r="M107" s="229"/>
      <c r="N107" s="229"/>
      <c r="O107" s="229"/>
      <c r="P107" s="229"/>
      <c r="Q107" s="229"/>
      <c r="R107" s="113" t="s">
        <v>1847</v>
      </c>
      <c r="S107" s="107">
        <f>S105+S106</f>
        <v>60586811</v>
      </c>
      <c r="T107" s="107">
        <f>T105+T106</f>
        <v>0</v>
      </c>
      <c r="U107" s="231"/>
    </row>
    <row r="108" spans="1:21" s="129" customFormat="1">
      <c r="A108" s="115" t="s">
        <v>1848</v>
      </c>
      <c r="B108" s="1216"/>
      <c r="C108" s="1216"/>
      <c r="D108" s="1216"/>
      <c r="E108" s="1217">
        <f>Application!AO648</f>
        <v>34200844</v>
      </c>
      <c r="F108" s="1217">
        <f>Application!AO635</f>
        <v>4072000</v>
      </c>
      <c r="G108" s="1217">
        <f>Application!AO636</f>
        <v>21861776</v>
      </c>
      <c r="H108" s="1217">
        <f>Application!AO637</f>
        <v>2000000</v>
      </c>
      <c r="I108" s="1217">
        <f>Application!AO638</f>
        <v>4601752</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1849</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1850</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1851</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1852</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1853</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1854</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1855</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1856</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1857</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1858</v>
      </c>
      <c r="B122" s="229"/>
      <c r="C122" s="229"/>
      <c r="D122" s="1779" t="s">
        <v>1859</v>
      </c>
      <c r="E122" s="1779"/>
      <c r="F122" s="1779"/>
      <c r="G122" s="229"/>
      <c r="H122" s="229"/>
      <c r="I122" s="229"/>
      <c r="J122" s="229"/>
      <c r="K122" s="229"/>
      <c r="L122" s="229"/>
      <c r="M122" s="229"/>
      <c r="N122" s="229"/>
      <c r="O122" s="229"/>
      <c r="P122" s="229"/>
      <c r="Q122" s="229"/>
      <c r="R122" s="229"/>
      <c r="S122" s="229"/>
      <c r="T122" s="229"/>
      <c r="U122" s="231"/>
    </row>
    <row r="123" spans="1:21">
      <c r="A123" s="229" t="s">
        <v>1860</v>
      </c>
      <c r="B123" s="238"/>
      <c r="C123" s="229"/>
      <c r="D123" s="1781" t="s">
        <v>1861</v>
      </c>
      <c r="E123" s="1710"/>
      <c r="F123" s="1710"/>
      <c r="G123" s="1710"/>
      <c r="H123" s="1710"/>
      <c r="I123" s="1710"/>
      <c r="J123" s="1710"/>
      <c r="K123" s="1710"/>
      <c r="L123" s="1710"/>
      <c r="M123" s="1710"/>
      <c r="N123" s="1710"/>
      <c r="O123" s="1710"/>
      <c r="P123" s="1710"/>
      <c r="Q123" s="1710"/>
      <c r="R123" s="1710"/>
      <c r="S123" s="1710"/>
      <c r="T123" s="229"/>
      <c r="U123" s="231"/>
    </row>
    <row r="124" spans="1:21" ht="12.75">
      <c r="A124" s="357" t="s">
        <v>1862</v>
      </c>
      <c r="B124" s="238"/>
      <c r="C124" s="357"/>
      <c r="D124" s="1710"/>
      <c r="E124" s="1710"/>
      <c r="F124" s="1710"/>
      <c r="G124" s="1710"/>
      <c r="H124" s="1710"/>
      <c r="I124" s="1710"/>
      <c r="J124" s="1710"/>
      <c r="K124" s="1710"/>
      <c r="L124" s="1710"/>
      <c r="M124" s="1710"/>
      <c r="N124" s="1710"/>
      <c r="O124" s="1710"/>
      <c r="P124" s="1710"/>
      <c r="Q124" s="1710"/>
      <c r="R124" s="1710"/>
      <c r="S124" s="1710"/>
      <c r="T124" s="229"/>
      <c r="U124" s="231"/>
    </row>
    <row r="125" spans="1:21" ht="12.75">
      <c r="A125" s="357" t="s">
        <v>1863</v>
      </c>
      <c r="B125" s="238"/>
      <c r="C125" s="357"/>
      <c r="D125" s="1710"/>
      <c r="E125" s="1710"/>
      <c r="F125" s="1710"/>
      <c r="G125" s="1710"/>
      <c r="H125" s="1710"/>
      <c r="I125" s="1710"/>
      <c r="J125" s="1710"/>
      <c r="K125" s="1710"/>
      <c r="L125" s="1710"/>
      <c r="M125" s="1710"/>
      <c r="N125" s="1710"/>
      <c r="O125" s="1710"/>
      <c r="P125" s="1710"/>
      <c r="Q125" s="1710"/>
      <c r="R125" s="1710"/>
      <c r="S125" s="1710"/>
      <c r="T125" s="229"/>
      <c r="U125" s="231"/>
    </row>
    <row r="126" spans="1:21" ht="12.75">
      <c r="A126" s="357" t="s">
        <v>1864</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1865</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1866</v>
      </c>
      <c r="B128" s="238"/>
      <c r="C128" s="357"/>
      <c r="D128" s="1776"/>
      <c r="E128" s="1776"/>
      <c r="F128" s="1776"/>
      <c r="G128" s="1776"/>
      <c r="H128" s="1776"/>
      <c r="I128" s="357"/>
      <c r="J128" s="1777"/>
      <c r="K128" s="1777"/>
      <c r="L128" s="357"/>
      <c r="M128" s="357"/>
      <c r="N128" s="357"/>
      <c r="O128" s="357"/>
      <c r="P128" s="357"/>
      <c r="Q128" s="357"/>
      <c r="R128" s="357"/>
      <c r="S128" s="357"/>
      <c r="T128" s="229"/>
      <c r="U128" s="231"/>
    </row>
    <row r="129" spans="1:21" ht="12.75">
      <c r="A129" s="357" t="s">
        <v>1063</v>
      </c>
      <c r="B129" s="238"/>
      <c r="C129" s="357"/>
      <c r="D129" s="1778" t="s">
        <v>1867</v>
      </c>
      <c r="E129" s="1778"/>
      <c r="F129" s="1778"/>
      <c r="G129" s="1778"/>
      <c r="H129" s="1778"/>
      <c r="I129" s="357"/>
      <c r="J129" s="357" t="s">
        <v>1868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1869</v>
      </c>
      <c r="B131" s="239">
        <f>SUM(B123:B129)</f>
        <v>0</v>
      </c>
      <c r="C131" s="357"/>
      <c r="D131" s="1689"/>
      <c r="E131" s="1689"/>
      <c r="F131" s="1689"/>
      <c r="G131" s="1689"/>
      <c r="H131" s="1689"/>
      <c r="I131" s="357"/>
      <c r="J131" s="1689"/>
      <c r="K131" s="1689"/>
      <c r="L131" s="1689"/>
      <c r="M131" s="1689"/>
      <c r="N131" s="357"/>
      <c r="O131" s="357"/>
      <c r="P131" s="357"/>
      <c r="Q131" s="357"/>
      <c r="R131" s="357"/>
      <c r="S131" s="357"/>
      <c r="T131" s="229"/>
      <c r="U131" s="231"/>
    </row>
    <row r="132" spans="1:21" ht="12" customHeight="1">
      <c r="A132" s="1219"/>
      <c r="B132" s="357"/>
      <c r="C132" s="357"/>
      <c r="D132" s="1260" t="s">
        <v>1870</v>
      </c>
      <c r="E132" s="1260"/>
      <c r="F132" s="1260"/>
      <c r="G132" s="1260"/>
      <c r="H132" s="1260"/>
      <c r="I132" s="357"/>
      <c r="J132" s="1260" t="s">
        <v>1871</v>
      </c>
      <c r="K132" s="1260"/>
      <c r="L132" s="1260"/>
      <c r="M132" s="1260"/>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1872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1873</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82"/>
      <c r="B138" s="1776"/>
      <c r="C138" s="1776"/>
      <c r="D138" s="233"/>
      <c r="E138" s="1777"/>
      <c r="F138" s="1777"/>
      <c r="G138" s="357"/>
      <c r="H138" s="357"/>
      <c r="I138" s="357"/>
      <c r="J138" s="357"/>
      <c r="K138" s="357"/>
      <c r="L138" s="357"/>
      <c r="M138" s="357"/>
      <c r="N138" s="357"/>
      <c r="O138" s="357"/>
      <c r="P138" s="357"/>
      <c r="Q138" s="357"/>
      <c r="R138" s="357"/>
      <c r="S138" s="357"/>
      <c r="T138" s="235"/>
      <c r="U138" s="236"/>
    </row>
    <row r="139" spans="1:21" ht="12.75">
      <c r="A139" s="1780" t="s">
        <v>1874</v>
      </c>
      <c r="B139" s="1780"/>
      <c r="C139" s="1780"/>
      <c r="D139" s="233"/>
      <c r="E139" s="357" t="s">
        <v>1868</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05" workbookViewId="0">
      <selection activeCell="C79" sqref="C79"/>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85" t="s">
        <v>1875</v>
      </c>
      <c r="B1" s="1786"/>
      <c r="C1" s="1786"/>
      <c r="D1" s="1786"/>
      <c r="E1" s="1786"/>
      <c r="F1" s="1786"/>
      <c r="G1" s="1786"/>
      <c r="H1" s="1786"/>
      <c r="I1" s="1786"/>
      <c r="J1" s="1787"/>
      <c r="K1" s="258"/>
    </row>
    <row r="2" spans="1:11" s="304" customFormat="1" ht="72">
      <c r="A2" s="301"/>
      <c r="B2" s="302" t="s">
        <v>1876</v>
      </c>
      <c r="C2" s="302" t="s">
        <v>1877</v>
      </c>
      <c r="D2" s="302" t="s">
        <v>1878</v>
      </c>
      <c r="E2" s="302" t="s">
        <v>1879</v>
      </c>
      <c r="F2" s="302" t="s">
        <v>1880</v>
      </c>
      <c r="G2" s="302" t="s">
        <v>1881</v>
      </c>
      <c r="H2" s="302" t="s">
        <v>1882</v>
      </c>
      <c r="I2" s="302" t="s">
        <v>1883</v>
      </c>
      <c r="J2" s="302" t="s">
        <v>1884</v>
      </c>
      <c r="K2" s="303"/>
    </row>
    <row r="3" spans="1:11" s="263" customFormat="1">
      <c r="A3" s="260" t="s">
        <v>1755</v>
      </c>
      <c r="B3" s="261"/>
      <c r="C3" s="261"/>
      <c r="D3" s="261"/>
      <c r="E3" s="261"/>
      <c r="F3" s="261"/>
      <c r="G3" s="261"/>
      <c r="H3" s="261"/>
      <c r="I3" s="261"/>
      <c r="J3" s="261"/>
      <c r="K3" s="262"/>
    </row>
    <row r="4" spans="1:11" s="263" customFormat="1">
      <c r="A4" s="267" t="s">
        <v>1756</v>
      </c>
      <c r="B4" s="264">
        <f>'Sources and Uses Budget'!C4</f>
        <v>2550000</v>
      </c>
      <c r="C4" s="265"/>
      <c r="D4" s="265"/>
      <c r="E4" s="266"/>
      <c r="F4" s="266"/>
      <c r="G4" s="266"/>
      <c r="H4" s="266"/>
      <c r="I4" s="266"/>
      <c r="J4" s="266"/>
      <c r="K4" s="262"/>
    </row>
    <row r="5" spans="1:11" s="263" customFormat="1">
      <c r="A5" s="267" t="s">
        <v>696</v>
      </c>
      <c r="B5" s="264">
        <f>'Sources and Uses Budget'!C5</f>
        <v>48000</v>
      </c>
      <c r="C5" s="265"/>
      <c r="D5" s="265"/>
      <c r="E5" s="266"/>
      <c r="F5" s="266"/>
      <c r="G5" s="266"/>
      <c r="H5" s="266"/>
      <c r="I5" s="266"/>
      <c r="J5" s="266"/>
      <c r="K5" s="262"/>
    </row>
    <row r="6" spans="1:11" s="263" customFormat="1">
      <c r="A6" s="267" t="s">
        <v>1757</v>
      </c>
      <c r="B6" s="264">
        <f>'Sources and Uses Budget'!C6</f>
        <v>20000</v>
      </c>
      <c r="C6" s="265"/>
      <c r="D6" s="265"/>
      <c r="E6" s="266"/>
      <c r="F6" s="266"/>
      <c r="G6" s="266"/>
      <c r="H6" s="266"/>
      <c r="I6" s="266"/>
      <c r="J6" s="266"/>
      <c r="K6" s="262"/>
    </row>
    <row r="7" spans="1:11" s="263" customFormat="1">
      <c r="A7" s="267" t="s">
        <v>1758</v>
      </c>
      <c r="B7" s="264">
        <f>'Sources and Uses Budget'!C7</f>
        <v>0</v>
      </c>
      <c r="C7" s="265"/>
      <c r="D7" s="265"/>
      <c r="E7" s="266"/>
      <c r="F7" s="266"/>
      <c r="G7" s="266"/>
      <c r="H7" s="266"/>
      <c r="I7" s="266"/>
      <c r="J7" s="266"/>
      <c r="K7" s="262"/>
    </row>
    <row r="8" spans="1:11" s="263" customFormat="1">
      <c r="A8" s="268" t="s">
        <v>1759</v>
      </c>
      <c r="B8" s="264">
        <f>'Sources and Uses Budget'!C8</f>
        <v>2618000</v>
      </c>
      <c r="C8" s="264">
        <f>SUM(C4:C7)</f>
        <v>0</v>
      </c>
      <c r="D8" s="264">
        <f>SUM(D4:D7)</f>
        <v>0</v>
      </c>
      <c r="E8" s="266"/>
      <c r="F8" s="266"/>
      <c r="G8" s="266"/>
      <c r="H8" s="266"/>
      <c r="I8" s="266"/>
      <c r="J8" s="266"/>
      <c r="K8" s="262"/>
    </row>
    <row r="9" spans="1:11" s="263" customFormat="1">
      <c r="A9" s="267" t="s">
        <v>1760</v>
      </c>
      <c r="B9" s="264">
        <f>'Sources and Uses Budget'!C9</f>
        <v>0</v>
      </c>
      <c r="C9" s="265"/>
      <c r="D9" s="265"/>
      <c r="E9" s="266"/>
      <c r="F9" s="266"/>
      <c r="G9" s="266"/>
      <c r="H9" s="264">
        <f>'Sources and Uses Budget'!T9</f>
        <v>0</v>
      </c>
      <c r="I9" s="265"/>
      <c r="J9" s="265"/>
      <c r="K9" s="262"/>
    </row>
    <row r="10" spans="1:11" s="263" customFormat="1">
      <c r="A10" s="267" t="s">
        <v>1761</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1762</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1763</v>
      </c>
      <c r="B12" s="264">
        <f>'Sources and Uses Budget'!C12</f>
        <v>2618000</v>
      </c>
      <c r="C12" s="264">
        <f>SUM(C8+C11)</f>
        <v>0</v>
      </c>
      <c r="D12" s="264">
        <f>SUM(D8+D11)</f>
        <v>0</v>
      </c>
      <c r="E12" s="266"/>
      <c r="F12" s="266"/>
      <c r="G12" s="266"/>
      <c r="H12" s="266"/>
      <c r="I12" s="266"/>
      <c r="J12" s="266"/>
      <c r="K12" s="262"/>
    </row>
    <row r="13" spans="1:11" s="263" customFormat="1">
      <c r="A13" s="269" t="s">
        <v>1764</v>
      </c>
      <c r="B13" s="264">
        <f>'Sources and Uses Budget'!C13</f>
        <v>340850</v>
      </c>
      <c r="C13" s="265"/>
      <c r="D13" s="265"/>
      <c r="E13" s="264">
        <f>'Sources and Uses Budget'!S13</f>
        <v>0</v>
      </c>
      <c r="F13" s="265"/>
      <c r="G13" s="265"/>
      <c r="H13" s="264">
        <f>'Sources and Uses Budget'!T13</f>
        <v>0</v>
      </c>
      <c r="I13" s="265"/>
      <c r="J13" s="265"/>
      <c r="K13" s="262"/>
    </row>
    <row r="14" spans="1:11" s="263" customFormat="1" ht="24">
      <c r="A14" s="267" t="s">
        <v>1885</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1766</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1767</v>
      </c>
      <c r="B16" s="261"/>
      <c r="C16" s="261"/>
      <c r="D16" s="261"/>
      <c r="E16" s="261"/>
      <c r="F16" s="261"/>
      <c r="G16" s="261"/>
      <c r="H16" s="261"/>
      <c r="I16" s="261"/>
      <c r="J16" s="261"/>
      <c r="K16" s="262"/>
    </row>
    <row r="17" spans="1:11" s="263" customFormat="1">
      <c r="A17" s="267" t="s">
        <v>1768</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1769</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1770</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1771</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1772</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1773</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1774</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1775</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1777</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1778</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1779</v>
      </c>
      <c r="B28" s="261"/>
      <c r="C28" s="261"/>
      <c r="D28" s="261"/>
      <c r="E28" s="261"/>
      <c r="F28" s="261"/>
      <c r="G28" s="261"/>
      <c r="H28" s="261"/>
      <c r="I28" s="261"/>
      <c r="J28" s="261"/>
      <c r="K28" s="262"/>
    </row>
    <row r="29" spans="1:11" s="263" customFormat="1">
      <c r="A29" s="195" t="s">
        <v>1768</v>
      </c>
      <c r="B29" s="264">
        <f>'Sources and Uses Budget'!C29</f>
        <v>2005421</v>
      </c>
      <c r="C29" s="265"/>
      <c r="D29" s="265"/>
      <c r="E29" s="264">
        <f>'Sources and Uses Budget'!S29</f>
        <v>1947821</v>
      </c>
      <c r="F29" s="265"/>
      <c r="G29" s="265"/>
      <c r="H29" s="264">
        <f>'Sources and Uses Budget'!T29</f>
        <v>0</v>
      </c>
      <c r="I29" s="265"/>
      <c r="J29" s="265"/>
      <c r="K29" s="262"/>
    </row>
    <row r="30" spans="1:11" s="263" customFormat="1">
      <c r="A30" s="195" t="s">
        <v>1769</v>
      </c>
      <c r="B30" s="264">
        <f>'Sources and Uses Budget'!C30</f>
        <v>23611819</v>
      </c>
      <c r="C30" s="265"/>
      <c r="D30" s="265"/>
      <c r="E30" s="264">
        <f>'Sources and Uses Budget'!S30</f>
        <v>23611819</v>
      </c>
      <c r="F30" s="265"/>
      <c r="G30" s="265"/>
      <c r="H30" s="264">
        <f>'Sources and Uses Budget'!T30</f>
        <v>0</v>
      </c>
      <c r="I30" s="265"/>
      <c r="J30" s="265"/>
      <c r="K30" s="262"/>
    </row>
    <row r="31" spans="1:11" s="263" customFormat="1">
      <c r="A31" s="195" t="s">
        <v>1770</v>
      </c>
      <c r="B31" s="264">
        <f>'Sources and Uses Budget'!C31</f>
        <v>3180593</v>
      </c>
      <c r="C31" s="265"/>
      <c r="D31" s="265"/>
      <c r="E31" s="264">
        <f>'Sources and Uses Budget'!S31</f>
        <v>3180593</v>
      </c>
      <c r="F31" s="265"/>
      <c r="G31" s="265"/>
      <c r="H31" s="264">
        <f>'Sources and Uses Budget'!T31</f>
        <v>0</v>
      </c>
      <c r="I31" s="265"/>
      <c r="J31" s="265"/>
      <c r="K31" s="262"/>
    </row>
    <row r="32" spans="1:11" s="263" customFormat="1">
      <c r="A32" s="195" t="s">
        <v>1771</v>
      </c>
      <c r="B32" s="264">
        <f>'Sources and Uses Budget'!C32</f>
        <v>993709</v>
      </c>
      <c r="C32" s="265"/>
      <c r="D32" s="265"/>
      <c r="E32" s="264">
        <f>'Sources and Uses Budget'!S32</f>
        <v>993709</v>
      </c>
      <c r="F32" s="265"/>
      <c r="G32" s="265"/>
      <c r="H32" s="264">
        <f>'Sources and Uses Budget'!T32</f>
        <v>0</v>
      </c>
      <c r="I32" s="265"/>
      <c r="J32" s="265"/>
      <c r="K32" s="262"/>
    </row>
    <row r="33" spans="1:11" s="263" customFormat="1">
      <c r="A33" s="195" t="s">
        <v>1772</v>
      </c>
      <c r="B33" s="264">
        <f>'Sources and Uses Budget'!C33</f>
        <v>993710</v>
      </c>
      <c r="C33" s="265"/>
      <c r="D33" s="265"/>
      <c r="E33" s="264">
        <f>'Sources and Uses Budget'!S33</f>
        <v>993710</v>
      </c>
      <c r="F33" s="265"/>
      <c r="G33" s="265"/>
      <c r="H33" s="264">
        <f>'Sources and Uses Budget'!T33</f>
        <v>0</v>
      </c>
      <c r="I33" s="265"/>
      <c r="J33" s="265"/>
      <c r="K33" s="262"/>
    </row>
    <row r="34" spans="1:11" s="263" customFormat="1">
      <c r="A34" s="195" t="s">
        <v>1773</v>
      </c>
      <c r="B34" s="264">
        <f>'Sources and Uses Budget'!C34</f>
        <v>10119350</v>
      </c>
      <c r="C34" s="265"/>
      <c r="D34" s="265"/>
      <c r="E34" s="264">
        <f>'Sources and Uses Budget'!S34</f>
        <v>10119350</v>
      </c>
      <c r="F34" s="265"/>
      <c r="G34" s="265"/>
      <c r="H34" s="264">
        <f>'Sources and Uses Budget'!T34</f>
        <v>0</v>
      </c>
      <c r="I34" s="265"/>
      <c r="J34" s="265"/>
      <c r="K34" s="262"/>
    </row>
    <row r="35" spans="1:11" s="263" customFormat="1">
      <c r="A35" s="195" t="s">
        <v>1774</v>
      </c>
      <c r="B35" s="264">
        <f>'Sources and Uses Budget'!C35</f>
        <v>389652</v>
      </c>
      <c r="C35" s="265"/>
      <c r="D35" s="265"/>
      <c r="E35" s="264">
        <f>'Sources and Uses Budget'!S35</f>
        <v>389652</v>
      </c>
      <c r="F35" s="265"/>
      <c r="G35" s="265"/>
      <c r="H35" s="264">
        <f>'Sources and Uses Budget'!T35</f>
        <v>0</v>
      </c>
      <c r="I35" s="265"/>
      <c r="J35" s="265"/>
      <c r="K35" s="262"/>
    </row>
    <row r="36" spans="1:11" s="263" customFormat="1">
      <c r="A36" s="409" t="s">
        <v>1775</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Bond Premium</v>
      </c>
      <c r="B37" s="264">
        <f>'Sources and Uses Budget'!C37</f>
        <v>393549</v>
      </c>
      <c r="C37" s="265"/>
      <c r="D37" s="265"/>
      <c r="E37" s="264">
        <f>'Sources and Uses Budget'!S37</f>
        <v>393549</v>
      </c>
      <c r="F37" s="265"/>
      <c r="G37" s="265"/>
      <c r="H37" s="264">
        <f>'Sources and Uses Budget'!T37</f>
        <v>0</v>
      </c>
      <c r="I37" s="265"/>
      <c r="J37" s="265"/>
      <c r="K37" s="262"/>
    </row>
    <row r="38" spans="1:11" s="263" customFormat="1">
      <c r="A38" s="268" t="s">
        <v>1781</v>
      </c>
      <c r="B38" s="264">
        <f>'Sources and Uses Budget'!C38</f>
        <v>41687803</v>
      </c>
      <c r="C38" s="264">
        <f>SUM(C29:C37)</f>
        <v>0</v>
      </c>
      <c r="D38" s="264">
        <f>SUM(D29:D37)</f>
        <v>0</v>
      </c>
      <c r="E38" s="264">
        <f>'Sources and Uses Budget'!S38</f>
        <v>41630203</v>
      </c>
      <c r="F38" s="270">
        <f>SUM(F29:F37)</f>
        <v>0</v>
      </c>
      <c r="G38" s="270">
        <f>SUM(G29:G37)</f>
        <v>0</v>
      </c>
      <c r="H38" s="264">
        <f>'Sources and Uses Budget'!T38</f>
        <v>0</v>
      </c>
      <c r="I38" s="270">
        <f>SUM(I29:I37)</f>
        <v>0</v>
      </c>
      <c r="J38" s="270">
        <f>SUM(J29:J37)</f>
        <v>0</v>
      </c>
      <c r="K38" s="262"/>
    </row>
    <row r="39" spans="1:11" s="263" customFormat="1">
      <c r="A39" s="260" t="s">
        <v>1782</v>
      </c>
      <c r="B39" s="261"/>
      <c r="C39" s="261"/>
      <c r="D39" s="261"/>
      <c r="E39" s="261"/>
      <c r="F39" s="261"/>
      <c r="G39" s="261"/>
      <c r="H39" s="261"/>
      <c r="I39" s="261"/>
      <c r="J39" s="261"/>
      <c r="K39" s="262"/>
    </row>
    <row r="40" spans="1:11" s="263" customFormat="1">
      <c r="A40" s="267" t="s">
        <v>1783</v>
      </c>
      <c r="B40" s="264">
        <f>'Sources and Uses Budget'!C40</f>
        <v>2000000</v>
      </c>
      <c r="C40" s="265"/>
      <c r="D40" s="265"/>
      <c r="E40" s="264">
        <f>'Sources and Uses Budget'!S40</f>
        <v>2000000</v>
      </c>
      <c r="F40" s="265"/>
      <c r="G40" s="265"/>
      <c r="H40" s="264">
        <f>'Sources and Uses Budget'!T40</f>
        <v>0</v>
      </c>
      <c r="I40" s="265"/>
      <c r="J40" s="265"/>
      <c r="K40" s="262"/>
    </row>
    <row r="41" spans="1:11" s="263" customFormat="1">
      <c r="A41" s="267" t="s">
        <v>1784</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1785</v>
      </c>
      <c r="B42" s="264">
        <f>'Sources and Uses Budget'!C42</f>
        <v>2000000</v>
      </c>
      <c r="C42" s="264">
        <f>SUM(C39:C41)</f>
        <v>0</v>
      </c>
      <c r="D42" s="264">
        <f>SUM(D39:D41)</f>
        <v>0</v>
      </c>
      <c r="E42" s="264">
        <f>'Sources and Uses Budget'!S42</f>
        <v>2000000</v>
      </c>
      <c r="F42" s="270">
        <f>SUM(F40:F41)</f>
        <v>0</v>
      </c>
      <c r="G42" s="270">
        <f>SUM(G40:G41)</f>
        <v>0</v>
      </c>
      <c r="H42" s="264">
        <f>'Sources and Uses Budget'!T42</f>
        <v>0</v>
      </c>
      <c r="I42" s="270">
        <f>SUM(I40:I41)</f>
        <v>0</v>
      </c>
      <c r="J42" s="270">
        <f>SUM(J40:J41)</f>
        <v>0</v>
      </c>
      <c r="K42" s="262"/>
    </row>
    <row r="43" spans="1:11" s="263" customFormat="1">
      <c r="A43" s="268" t="s">
        <v>1786</v>
      </c>
      <c r="B43" s="264">
        <f>'Sources and Uses Budget'!C43</f>
        <v>414466</v>
      </c>
      <c r="C43" s="265"/>
      <c r="D43" s="265"/>
      <c r="E43" s="264">
        <f>'Sources and Uses Budget'!S43</f>
        <v>414466</v>
      </c>
      <c r="F43" s="265"/>
      <c r="G43" s="265"/>
      <c r="H43" s="264">
        <f>'Sources and Uses Budget'!T43</f>
        <v>0</v>
      </c>
      <c r="I43" s="265"/>
      <c r="J43" s="265"/>
      <c r="K43" s="262"/>
    </row>
    <row r="44" spans="1:11" s="263" customFormat="1">
      <c r="A44" s="260" t="s">
        <v>1787</v>
      </c>
      <c r="B44" s="261"/>
      <c r="C44" s="261"/>
      <c r="D44" s="261"/>
      <c r="E44" s="261"/>
      <c r="F44" s="261"/>
      <c r="G44" s="261"/>
      <c r="H44" s="261"/>
      <c r="I44" s="261"/>
      <c r="J44" s="261"/>
      <c r="K44" s="262"/>
    </row>
    <row r="45" spans="1:11" s="263" customFormat="1">
      <c r="A45" s="267" t="s">
        <v>1788</v>
      </c>
      <c r="B45" s="264">
        <f>'Sources and Uses Budget'!C45</f>
        <v>5006396</v>
      </c>
      <c r="C45" s="265"/>
      <c r="D45" s="265"/>
      <c r="E45" s="264">
        <f>'Sources and Uses Budget'!S45</f>
        <v>3059464</v>
      </c>
      <c r="F45" s="265"/>
      <c r="G45" s="265"/>
      <c r="H45" s="264">
        <f>'Sources and Uses Budget'!T45</f>
        <v>0</v>
      </c>
      <c r="I45" s="265"/>
      <c r="J45" s="265"/>
      <c r="K45" s="262"/>
    </row>
    <row r="46" spans="1:11" s="263" customFormat="1">
      <c r="A46" s="267" t="s">
        <v>1789</v>
      </c>
      <c r="B46" s="264">
        <f>'Sources and Uses Budget'!C46</f>
        <v>411290</v>
      </c>
      <c r="C46" s="265"/>
      <c r="D46" s="265"/>
      <c r="E46" s="264">
        <f>'Sources and Uses Budget'!S46</f>
        <v>251344</v>
      </c>
      <c r="F46" s="265"/>
      <c r="G46" s="265"/>
      <c r="H46" s="264">
        <f>'Sources and Uses Budget'!T46</f>
        <v>0</v>
      </c>
      <c r="I46" s="265"/>
      <c r="J46" s="265"/>
      <c r="K46" s="262"/>
    </row>
    <row r="47" spans="1:11" s="263" customFormat="1" ht="12" customHeight="1">
      <c r="A47" s="267" t="s">
        <v>1790</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1791</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1792</v>
      </c>
      <c r="B49" s="264">
        <f>'Sources and Uses Budget'!C49</f>
        <v>279422</v>
      </c>
      <c r="C49" s="265"/>
      <c r="D49" s="265"/>
      <c r="E49" s="264">
        <f>'Sources and Uses Budget'!S49</f>
        <v>95798</v>
      </c>
      <c r="F49" s="265"/>
      <c r="G49" s="265"/>
      <c r="H49" s="264">
        <f>'Sources and Uses Budget'!T49</f>
        <v>0</v>
      </c>
      <c r="I49" s="265"/>
      <c r="J49" s="265"/>
      <c r="K49" s="262"/>
    </row>
    <row r="50" spans="1:11" s="263" customFormat="1">
      <c r="A50" s="267" t="s">
        <v>1793</v>
      </c>
      <c r="B50" s="264">
        <f>'Sources and Uses Budget'!C50</f>
        <v>55000</v>
      </c>
      <c r="C50" s="265"/>
      <c r="D50" s="265"/>
      <c r="E50" s="264">
        <f>'Sources and Uses Budget'!S50</f>
        <v>55000</v>
      </c>
      <c r="F50" s="265"/>
      <c r="G50" s="265"/>
      <c r="H50" s="264">
        <f>'Sources and Uses Budget'!T50</f>
        <v>0</v>
      </c>
      <c r="I50" s="265"/>
      <c r="J50" s="265"/>
      <c r="K50" s="262"/>
    </row>
    <row r="51" spans="1:11" s="263" customFormat="1">
      <c r="A51" s="267" t="s">
        <v>1794</v>
      </c>
      <c r="B51" s="264">
        <f>'Sources and Uses Budget'!C51</f>
        <v>36975</v>
      </c>
      <c r="C51" s="265"/>
      <c r="D51" s="265"/>
      <c r="E51" s="264">
        <f>'Sources and Uses Budget'!S51</f>
        <v>36975</v>
      </c>
      <c r="F51" s="265"/>
      <c r="G51" s="265"/>
      <c r="H51" s="264">
        <f>'Sources and Uses Budget'!T51</f>
        <v>0</v>
      </c>
      <c r="I51" s="265"/>
      <c r="J51" s="265"/>
      <c r="K51" s="262"/>
    </row>
    <row r="52" spans="1:11" s="263" customFormat="1">
      <c r="A52" s="267" t="s">
        <v>1559</v>
      </c>
      <c r="B52" s="264">
        <f>'Sources and Uses Budget'!C52</f>
        <v>624000</v>
      </c>
      <c r="C52" s="265"/>
      <c r="D52" s="265"/>
      <c r="E52" s="264">
        <f>'Sources and Uses Budget'!S52</f>
        <v>624000</v>
      </c>
      <c r="F52" s="265"/>
      <c r="G52" s="265"/>
      <c r="H52" s="264">
        <f>'Sources and Uses Budget'!T52</f>
        <v>0</v>
      </c>
      <c r="I52" s="265"/>
      <c r="J52" s="265"/>
      <c r="K52" s="262"/>
    </row>
    <row r="53" spans="1:11" s="263" customFormat="1">
      <c r="A53" s="267" t="str">
        <f>'Sources and Uses Budget'!$A53</f>
        <v>Other: Construction Lender Expenses</v>
      </c>
      <c r="B53" s="264">
        <f>'Sources and Uses Budget'!C53</f>
        <v>120000</v>
      </c>
      <c r="C53" s="265"/>
      <c r="D53" s="265"/>
      <c r="E53" s="264">
        <f>'Sources and Uses Budget'!S53</f>
        <v>73333</v>
      </c>
      <c r="F53" s="265"/>
      <c r="G53" s="265"/>
      <c r="H53" s="264">
        <f>'Sources and Uses Budget'!T53</f>
        <v>0</v>
      </c>
      <c r="I53" s="265"/>
      <c r="J53" s="265"/>
      <c r="K53" s="262"/>
    </row>
    <row r="54" spans="1:11" s="272" customFormat="1">
      <c r="A54" s="268" t="s">
        <v>1796</v>
      </c>
      <c r="B54" s="264">
        <f>'Sources and Uses Budget'!C54</f>
        <v>6533083</v>
      </c>
      <c r="C54" s="270">
        <f>SUM(C45:C53)</f>
        <v>0</v>
      </c>
      <c r="D54" s="270">
        <f>SUM(D45:D53)</f>
        <v>0</v>
      </c>
      <c r="E54" s="264">
        <f>'Sources and Uses Budget'!S54</f>
        <v>4195914</v>
      </c>
      <c r="F54" s="270">
        <f>SUM(F45:F53)</f>
        <v>0</v>
      </c>
      <c r="G54" s="270">
        <f>SUM(G45:G53)</f>
        <v>0</v>
      </c>
      <c r="H54" s="264">
        <f>'Sources and Uses Budget'!T54</f>
        <v>0</v>
      </c>
      <c r="I54" s="270">
        <f>SUM(I45:I53)</f>
        <v>0</v>
      </c>
      <c r="J54" s="270">
        <f>SUM(J45:J53)</f>
        <v>0</v>
      </c>
      <c r="K54" s="271"/>
    </row>
    <row r="55" spans="1:11" s="263" customFormat="1">
      <c r="A55" s="260" t="s">
        <v>1360</v>
      </c>
      <c r="B55" s="261"/>
      <c r="C55" s="261"/>
      <c r="D55" s="261"/>
      <c r="E55" s="261"/>
      <c r="F55" s="261"/>
      <c r="G55" s="261"/>
      <c r="H55" s="261"/>
      <c r="I55" s="261"/>
      <c r="J55" s="261"/>
      <c r="K55" s="262"/>
    </row>
    <row r="56" spans="1:11" s="263" customFormat="1">
      <c r="A56" s="267" t="s">
        <v>1797</v>
      </c>
      <c r="B56" s="264">
        <f>'Sources and Uses Budget'!C56</f>
        <v>30540</v>
      </c>
      <c r="C56" s="265"/>
      <c r="D56" s="265"/>
      <c r="E56" s="266"/>
      <c r="F56" s="266"/>
      <c r="G56" s="266"/>
      <c r="H56" s="266"/>
      <c r="I56" s="266"/>
      <c r="J56" s="266"/>
      <c r="K56" s="262"/>
    </row>
    <row r="57" spans="1:11" s="263" customFormat="1" ht="12" customHeight="1">
      <c r="A57" s="267" t="s">
        <v>1790</v>
      </c>
      <c r="B57" s="264">
        <f>'Sources and Uses Budget'!C57</f>
        <v>0</v>
      </c>
      <c r="C57" s="265"/>
      <c r="D57" s="265"/>
      <c r="E57" s="266"/>
      <c r="F57" s="266"/>
      <c r="G57" s="266"/>
      <c r="H57" s="266"/>
      <c r="I57" s="266"/>
      <c r="J57" s="266"/>
      <c r="K57" s="262"/>
    </row>
    <row r="58" spans="1:11" s="263" customFormat="1">
      <c r="A58" s="267" t="s">
        <v>1793</v>
      </c>
      <c r="B58" s="264">
        <f>'Sources and Uses Budget'!C58</f>
        <v>10000</v>
      </c>
      <c r="C58" s="265"/>
      <c r="D58" s="265"/>
      <c r="E58" s="266"/>
      <c r="F58" s="266"/>
      <c r="G58" s="266"/>
      <c r="H58" s="266"/>
      <c r="I58" s="266"/>
      <c r="J58" s="266"/>
      <c r="K58" s="262"/>
    </row>
    <row r="59" spans="1:11" s="263" customFormat="1">
      <c r="A59" s="267" t="s">
        <v>1794</v>
      </c>
      <c r="B59" s="264">
        <f>'Sources and Uses Budget'!C59</f>
        <v>0</v>
      </c>
      <c r="C59" s="265"/>
      <c r="D59" s="265"/>
      <c r="E59" s="266"/>
      <c r="F59" s="266"/>
      <c r="G59" s="266"/>
      <c r="H59" s="266"/>
      <c r="I59" s="266"/>
      <c r="J59" s="266"/>
      <c r="K59" s="262"/>
    </row>
    <row r="60" spans="1:11" s="263" customFormat="1">
      <c r="A60" s="267" t="s">
        <v>1559</v>
      </c>
      <c r="B60" s="264">
        <f>'Sources and Uses Budget'!C60</f>
        <v>0</v>
      </c>
      <c r="C60" s="265"/>
      <c r="D60" s="265"/>
      <c r="E60" s="266"/>
      <c r="F60" s="266"/>
      <c r="G60" s="266"/>
      <c r="H60" s="266"/>
      <c r="I60" s="266"/>
      <c r="J60" s="266"/>
      <c r="K60" s="262"/>
    </row>
    <row r="61" spans="1:11" s="263" customFormat="1">
      <c r="A61" s="267" t="str">
        <f>'Sources and Uses Budget'!$A61</f>
        <v>Other: Perm Lender + Owner Counsel</v>
      </c>
      <c r="B61" s="264">
        <f>'Sources and Uses Budget'!C61</f>
        <v>84127</v>
      </c>
      <c r="C61" s="265"/>
      <c r="D61" s="265"/>
      <c r="E61" s="266"/>
      <c r="F61" s="266"/>
      <c r="G61" s="266"/>
      <c r="H61" s="266"/>
      <c r="I61" s="266"/>
      <c r="J61" s="266"/>
      <c r="K61" s="262"/>
    </row>
    <row r="62" spans="1:11" s="263" customFormat="1" ht="13.7" customHeight="1">
      <c r="A62" s="268" t="s">
        <v>1799</v>
      </c>
      <c r="B62" s="264">
        <f>'Sources and Uses Budget'!C62</f>
        <v>124667</v>
      </c>
      <c r="C62" s="264">
        <f>SUM(C56:C61)</f>
        <v>0</v>
      </c>
      <c r="D62" s="264">
        <f>SUM(D56:D61)</f>
        <v>0</v>
      </c>
      <c r="E62" s="266"/>
      <c r="F62" s="266"/>
      <c r="G62" s="266"/>
      <c r="H62" s="266"/>
      <c r="I62" s="266"/>
      <c r="J62" s="266"/>
      <c r="K62" s="262"/>
    </row>
    <row r="63" spans="1:11" s="263" customFormat="1">
      <c r="A63" s="273" t="s">
        <v>1800</v>
      </c>
      <c r="B63" s="264">
        <f>'Sources and Uses Budget'!C63</f>
        <v>53718869</v>
      </c>
      <c r="C63" s="264">
        <f>SUM(C8+C11+C13+C14+C15+C26+C27+C38+C42+C43+C54+C62)</f>
        <v>0</v>
      </c>
      <c r="D63" s="264">
        <f>SUM(D8+D11+D13+D14+D15+D26+D27+D38+D42+D43+D54+D62)</f>
        <v>0</v>
      </c>
      <c r="E63" s="264">
        <f>'Sources and Uses Budget'!S63</f>
        <v>48240583</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1801</v>
      </c>
      <c r="B64" s="261"/>
      <c r="C64" s="261"/>
      <c r="D64" s="261"/>
      <c r="E64" s="261"/>
      <c r="F64" s="261"/>
      <c r="G64" s="261"/>
      <c r="H64" s="261"/>
      <c r="I64" s="261"/>
      <c r="J64" s="261"/>
      <c r="K64" s="262"/>
    </row>
    <row r="65" spans="1:11" s="263" customFormat="1">
      <c r="A65" s="195" t="s">
        <v>1802</v>
      </c>
      <c r="B65" s="264">
        <f>'Sources and Uses Budget'!C65</f>
        <v>150000</v>
      </c>
      <c r="C65" s="265"/>
      <c r="D65" s="265"/>
      <c r="E65" s="264">
        <f>'Sources and Uses Budget'!S65</f>
        <v>91667</v>
      </c>
      <c r="F65" s="265"/>
      <c r="G65" s="265"/>
      <c r="H65" s="264">
        <f>'Sources and Uses Budget'!T65</f>
        <v>0</v>
      </c>
      <c r="I65" s="265"/>
      <c r="J65" s="265"/>
      <c r="K65" s="262"/>
    </row>
    <row r="66" spans="1:11" s="263" customFormat="1" ht="24">
      <c r="A66" s="195" t="s">
        <v>1803</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1804</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1805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Construction Legal</v>
      </c>
      <c r="B69" s="264">
        <f>'Sources and Uses Budget'!C69</f>
        <v>57500</v>
      </c>
      <c r="C69" s="265"/>
      <c r="D69" s="265"/>
      <c r="E69" s="264">
        <f>'Sources and Uses Budget'!S69</f>
        <v>57500</v>
      </c>
      <c r="F69" s="265"/>
      <c r="G69" s="265"/>
      <c r="H69" s="264">
        <f>'Sources and Uses Budget'!T69</f>
        <v>0</v>
      </c>
      <c r="I69" s="265"/>
      <c r="J69" s="265"/>
      <c r="K69" s="262"/>
    </row>
    <row r="70" spans="1:11" s="263" customFormat="1">
      <c r="A70" s="268" t="s">
        <v>1886</v>
      </c>
      <c r="B70" s="264">
        <f>'Sources and Uses Budget'!C70</f>
        <v>207500</v>
      </c>
      <c r="C70" s="264">
        <f>SUM(C64:C69)</f>
        <v>0</v>
      </c>
      <c r="D70" s="264">
        <f>SUM(D64:D69)</f>
        <v>0</v>
      </c>
      <c r="E70" s="264">
        <f>'Sources and Uses Budget'!S70</f>
        <v>149167</v>
      </c>
      <c r="F70" s="270">
        <f>SUM(F65:F69)</f>
        <v>0</v>
      </c>
      <c r="G70" s="270">
        <f>SUM(G65:G69)</f>
        <v>0</v>
      </c>
      <c r="H70" s="264">
        <f>'Sources and Uses Budget'!T70</f>
        <v>0</v>
      </c>
      <c r="I70" s="270">
        <f>SUM(I65:I69)</f>
        <v>0</v>
      </c>
      <c r="J70" s="270">
        <f>SUM(J65:J69)</f>
        <v>0</v>
      </c>
      <c r="K70" s="262"/>
    </row>
    <row r="71" spans="1:11" s="263" customFormat="1">
      <c r="A71" s="260" t="s">
        <v>1808</v>
      </c>
      <c r="B71" s="261"/>
      <c r="C71" s="261"/>
      <c r="D71" s="261"/>
      <c r="E71" s="261"/>
      <c r="F71" s="261"/>
      <c r="G71" s="261"/>
      <c r="H71" s="261"/>
      <c r="I71" s="261"/>
      <c r="J71" s="261"/>
      <c r="K71" s="262"/>
    </row>
    <row r="72" spans="1:11" s="263" customFormat="1">
      <c r="A72" s="267" t="s">
        <v>1809</v>
      </c>
      <c r="B72" s="264">
        <f>'Sources and Uses Budget'!C72</f>
        <v>0</v>
      </c>
      <c r="C72" s="265"/>
      <c r="D72" s="265"/>
      <c r="E72" s="266"/>
      <c r="F72" s="266"/>
      <c r="G72" s="266"/>
      <c r="H72" s="266"/>
      <c r="I72" s="266"/>
      <c r="J72" s="266"/>
      <c r="K72" s="262"/>
    </row>
    <row r="73" spans="1:11" s="263" customFormat="1">
      <c r="A73" s="267" t="s">
        <v>1810</v>
      </c>
      <c r="B73" s="264">
        <f>'Sources and Uses Budget'!C73</f>
        <v>0</v>
      </c>
      <c r="C73" s="265"/>
      <c r="D73" s="265"/>
      <c r="E73" s="266"/>
      <c r="F73" s="266"/>
      <c r="G73" s="266"/>
      <c r="H73" s="266"/>
      <c r="I73" s="266"/>
      <c r="J73" s="266"/>
      <c r="K73" s="262"/>
    </row>
    <row r="74" spans="1:11" s="263" customFormat="1">
      <c r="A74" s="269" t="s">
        <v>1811</v>
      </c>
      <c r="B74" s="264">
        <f>'Sources and Uses Budget'!C74</f>
        <v>0</v>
      </c>
      <c r="C74" s="265"/>
      <c r="D74" s="265"/>
      <c r="E74" s="266"/>
      <c r="F74" s="266"/>
      <c r="G74" s="266"/>
      <c r="H74" s="266"/>
      <c r="I74" s="266"/>
      <c r="J74" s="266"/>
      <c r="K74" s="262"/>
    </row>
    <row r="75" spans="1:11" s="263" customFormat="1">
      <c r="A75" s="267" t="s">
        <v>1812</v>
      </c>
      <c r="B75" s="264">
        <f>'Sources and Uses Budget'!C75</f>
        <v>256637</v>
      </c>
      <c r="C75" s="265"/>
      <c r="D75" s="265"/>
      <c r="E75" s="266"/>
      <c r="F75" s="266"/>
      <c r="G75" s="266"/>
      <c r="H75" s="266"/>
      <c r="I75" s="266"/>
      <c r="J75" s="266"/>
      <c r="K75" s="262"/>
    </row>
    <row r="76" spans="1:11" s="263" customFormat="1">
      <c r="A76" s="267" t="str">
        <f>'Sources and Uses Budget'!$A76</f>
        <v xml:space="preserve">Other: </v>
      </c>
      <c r="B76" s="264">
        <f>'Sources and Uses Budget'!C76</f>
        <v>0</v>
      </c>
      <c r="C76" s="265"/>
      <c r="D76" s="265"/>
      <c r="E76" s="266"/>
      <c r="F76" s="266"/>
      <c r="G76" s="266"/>
      <c r="H76" s="266"/>
      <c r="I76" s="266"/>
      <c r="J76" s="266"/>
      <c r="K76" s="262"/>
    </row>
    <row r="77" spans="1:11" s="263" customFormat="1">
      <c r="A77" s="268" t="s">
        <v>1814</v>
      </c>
      <c r="B77" s="264">
        <f>'Sources and Uses Budget'!C77</f>
        <v>256637</v>
      </c>
      <c r="C77" s="264">
        <f>SUM(C72:C76)</f>
        <v>0</v>
      </c>
      <c r="D77" s="264">
        <f>SUM(D72:D76)</f>
        <v>0</v>
      </c>
      <c r="E77" s="266"/>
      <c r="F77" s="266"/>
      <c r="G77" s="266"/>
      <c r="H77" s="266"/>
      <c r="I77" s="266"/>
      <c r="J77" s="266"/>
      <c r="K77" s="262"/>
    </row>
    <row r="78" spans="1:11" s="263" customFormat="1">
      <c r="A78" s="260" t="s">
        <v>1815</v>
      </c>
      <c r="B78" s="261"/>
      <c r="C78" s="261"/>
      <c r="D78" s="261"/>
      <c r="E78" s="261"/>
      <c r="F78" s="261"/>
      <c r="G78" s="261"/>
      <c r="H78" s="261"/>
      <c r="I78" s="261"/>
      <c r="J78" s="261"/>
      <c r="K78" s="262"/>
    </row>
    <row r="79" spans="1:11" s="263" customFormat="1">
      <c r="A79" s="267" t="s">
        <v>1816</v>
      </c>
      <c r="B79" s="264">
        <f>'Sources and Uses Budget'!C79</f>
        <v>2086790</v>
      </c>
      <c r="C79" s="265"/>
      <c r="D79" s="265"/>
      <c r="E79" s="264">
        <f>'Sources and Uses Budget'!S79</f>
        <v>2086790</v>
      </c>
      <c r="F79" s="265"/>
      <c r="G79" s="265"/>
      <c r="H79" s="264">
        <f>'Sources and Uses Budget'!T79</f>
        <v>0</v>
      </c>
      <c r="I79" s="265"/>
      <c r="J79" s="265"/>
      <c r="K79" s="262"/>
    </row>
    <row r="80" spans="1:11" s="263" customFormat="1">
      <c r="A80" s="267" t="s">
        <v>1817</v>
      </c>
      <c r="B80" s="264">
        <f>'Sources and Uses Budget'!C80</f>
        <v>277456</v>
      </c>
      <c r="C80" s="265"/>
      <c r="D80" s="265"/>
      <c r="E80" s="264">
        <f>'Sources and Uses Budget'!S80</f>
        <v>277456</v>
      </c>
      <c r="F80" s="265"/>
      <c r="G80" s="265"/>
      <c r="H80" s="264">
        <f>'Sources and Uses Budget'!T80</f>
        <v>0</v>
      </c>
      <c r="I80" s="265"/>
      <c r="J80" s="265"/>
      <c r="K80" s="262"/>
    </row>
    <row r="81" spans="1:11" s="263" customFormat="1">
      <c r="A81" s="268" t="s">
        <v>1818</v>
      </c>
      <c r="B81" s="264">
        <f>'Sources and Uses Budget'!C81</f>
        <v>2364246</v>
      </c>
      <c r="C81" s="264">
        <f>SUM(C79:C80)</f>
        <v>0</v>
      </c>
      <c r="D81" s="264">
        <f>SUM(D79:D80)</f>
        <v>0</v>
      </c>
      <c r="E81" s="264">
        <f>'Sources and Uses Budget'!S81</f>
        <v>2364246</v>
      </c>
      <c r="F81" s="264">
        <f>SUM(F79:F80)</f>
        <v>0</v>
      </c>
      <c r="G81" s="264">
        <f>SUM(G79:G80)</f>
        <v>0</v>
      </c>
      <c r="H81" s="264">
        <f>'Sources and Uses Budget'!T81</f>
        <v>0</v>
      </c>
      <c r="I81" s="264">
        <f>SUM(I79:I80)</f>
        <v>0</v>
      </c>
      <c r="J81" s="264">
        <f>SUM(J79:J80)</f>
        <v>0</v>
      </c>
      <c r="K81" s="262"/>
    </row>
    <row r="82" spans="1:11" s="263" customFormat="1">
      <c r="A82" s="260" t="s">
        <v>1819</v>
      </c>
      <c r="B82" s="261"/>
      <c r="C82" s="261"/>
      <c r="D82" s="261"/>
      <c r="E82" s="261"/>
      <c r="F82" s="261"/>
      <c r="G82" s="261"/>
      <c r="H82" s="261"/>
      <c r="I82" s="261"/>
      <c r="J82" s="261"/>
      <c r="K82" s="262"/>
    </row>
    <row r="83" spans="1:11" s="263" customFormat="1" ht="13.7" customHeight="1">
      <c r="A83" s="195" t="s">
        <v>1820</v>
      </c>
      <c r="B83" s="264">
        <f>'Sources and Uses Budget'!C83</f>
        <v>91105</v>
      </c>
      <c r="C83" s="265"/>
      <c r="D83" s="265"/>
      <c r="E83" s="266"/>
      <c r="F83" s="266"/>
      <c r="G83" s="266"/>
      <c r="H83" s="266"/>
      <c r="I83" s="266"/>
      <c r="J83" s="266"/>
      <c r="K83" s="262"/>
    </row>
    <row r="84" spans="1:11" s="263" customFormat="1">
      <c r="A84" s="195" t="s">
        <v>1821</v>
      </c>
      <c r="B84" s="264">
        <f>'Sources and Uses Budget'!C84</f>
        <v>69800</v>
      </c>
      <c r="C84" s="265"/>
      <c r="D84" s="265"/>
      <c r="E84" s="264">
        <f>'Sources and Uses Budget'!S84</f>
        <v>69800</v>
      </c>
      <c r="F84" s="265"/>
      <c r="G84" s="265"/>
      <c r="H84" s="264">
        <f>'Sources and Uses Budget'!T84</f>
        <v>0</v>
      </c>
      <c r="I84" s="265"/>
      <c r="J84" s="265"/>
      <c r="K84" s="262"/>
    </row>
    <row r="85" spans="1:11" s="263" customFormat="1">
      <c r="A85" s="195" t="s">
        <v>1822</v>
      </c>
      <c r="B85" s="264">
        <f>'Sources and Uses Budget'!C85</f>
        <v>1000000</v>
      </c>
      <c r="C85" s="265"/>
      <c r="D85" s="265"/>
      <c r="E85" s="264">
        <f>'Sources and Uses Budget'!S85</f>
        <v>1000000</v>
      </c>
      <c r="F85" s="265"/>
      <c r="G85" s="265"/>
      <c r="H85" s="264">
        <f>'Sources and Uses Budget'!T85</f>
        <v>0</v>
      </c>
      <c r="I85" s="265"/>
      <c r="J85" s="265"/>
      <c r="K85" s="262"/>
    </row>
    <row r="86" spans="1:11" s="263" customFormat="1">
      <c r="A86" s="195" t="s">
        <v>1823</v>
      </c>
      <c r="B86" s="264">
        <f>'Sources and Uses Budget'!C86</f>
        <v>210000</v>
      </c>
      <c r="C86" s="265"/>
      <c r="D86" s="265"/>
      <c r="E86" s="264">
        <f>'Sources and Uses Budget'!S86</f>
        <v>210000</v>
      </c>
      <c r="F86" s="265"/>
      <c r="G86" s="265"/>
      <c r="H86" s="264">
        <f>'Sources and Uses Budget'!T86</f>
        <v>0</v>
      </c>
      <c r="I86" s="265"/>
      <c r="J86" s="265"/>
      <c r="K86" s="262"/>
    </row>
    <row r="87" spans="1:11" s="263" customFormat="1">
      <c r="A87" s="195" t="s">
        <v>1824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1825</v>
      </c>
      <c r="B88" s="264">
        <f>'Sources and Uses Budget'!C88</f>
        <v>100000</v>
      </c>
      <c r="C88" s="265"/>
      <c r="D88" s="265"/>
      <c r="E88" s="266"/>
      <c r="F88" s="266"/>
      <c r="G88" s="266"/>
      <c r="H88" s="266"/>
      <c r="I88" s="266"/>
      <c r="J88" s="266"/>
      <c r="K88" s="262"/>
    </row>
    <row r="89" spans="1:11" s="263" customFormat="1">
      <c r="A89" s="195" t="s">
        <v>1826</v>
      </c>
      <c r="B89" s="264">
        <f>'Sources and Uses Budget'!C89</f>
        <v>0</v>
      </c>
      <c r="C89" s="265"/>
      <c r="D89" s="265"/>
      <c r="E89" s="264">
        <f>'Sources and Uses Budget'!S89</f>
        <v>0</v>
      </c>
      <c r="F89" s="265"/>
      <c r="G89" s="265"/>
      <c r="H89" s="264">
        <f>'Sources and Uses Budget'!T89</f>
        <v>0</v>
      </c>
      <c r="I89" s="265"/>
      <c r="J89" s="265"/>
      <c r="K89" s="262"/>
    </row>
    <row r="90" spans="1:11" s="263" customFormat="1">
      <c r="A90" s="195" t="s">
        <v>1827</v>
      </c>
      <c r="B90" s="264">
        <f>'Sources and Uses Budget'!C90</f>
        <v>20000</v>
      </c>
      <c r="C90" s="265"/>
      <c r="D90" s="265"/>
      <c r="E90" s="264">
        <f>'Sources and Uses Budget'!S90</f>
        <v>0</v>
      </c>
      <c r="F90" s="265"/>
      <c r="G90" s="265"/>
      <c r="H90" s="264">
        <f>'Sources and Uses Budget'!T90</f>
        <v>0</v>
      </c>
      <c r="I90" s="265"/>
      <c r="J90" s="265"/>
      <c r="K90" s="262"/>
    </row>
    <row r="91" spans="1:11" s="263" customFormat="1">
      <c r="A91" s="409" t="s">
        <v>1828</v>
      </c>
      <c r="B91" s="264">
        <f>'Sources and Uses Budget'!C91</f>
        <v>10000</v>
      </c>
      <c r="C91" s="265"/>
      <c r="D91" s="265"/>
      <c r="E91" s="264">
        <f>'Sources and Uses Budget'!S91</f>
        <v>10000</v>
      </c>
      <c r="F91" s="265"/>
      <c r="G91" s="265"/>
      <c r="H91" s="264">
        <f>'Sources and Uses Budget'!T91</f>
        <v>0</v>
      </c>
      <c r="I91" s="265"/>
      <c r="J91" s="265"/>
      <c r="K91" s="262"/>
    </row>
    <row r="92" spans="1:11" s="263" customFormat="1">
      <c r="A92" s="409" t="s">
        <v>1829</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Construction Mgmt</v>
      </c>
      <c r="B93" s="264">
        <f>'Sources and Uses Budget'!C93</f>
        <v>368805</v>
      </c>
      <c r="C93" s="265"/>
      <c r="D93" s="265"/>
      <c r="E93" s="264">
        <f>'Sources and Uses Budget'!S93</f>
        <v>368805</v>
      </c>
      <c r="F93" s="265"/>
      <c r="G93" s="265"/>
      <c r="H93" s="264">
        <f>'Sources and Uses Budget'!T93</f>
        <v>0</v>
      </c>
      <c r="I93" s="265"/>
      <c r="J93" s="265"/>
      <c r="K93" s="262"/>
    </row>
    <row r="94" spans="1:11" s="263" customFormat="1">
      <c r="A94" s="267" t="str">
        <f>'Sources and Uses Budget'!$A94</f>
        <v>Other: Start-up/Lease-Up Expenses</v>
      </c>
      <c r="B94" s="264">
        <f>'Sources and Uses Budget'!C94</f>
        <v>145200</v>
      </c>
      <c r="C94" s="265"/>
      <c r="D94" s="265"/>
      <c r="E94" s="264">
        <f>'Sources and Uses Budget'!S94</f>
        <v>0</v>
      </c>
      <c r="F94" s="265"/>
      <c r="G94" s="265"/>
      <c r="H94" s="264">
        <f>'Sources and Uses Budget'!T94</f>
        <v>0</v>
      </c>
      <c r="I94" s="265"/>
      <c r="J94" s="265"/>
      <c r="K94" s="262"/>
    </row>
    <row r="95" spans="1:11" s="263" customFormat="1" ht="24">
      <c r="A95" s="267" t="str">
        <f>'Sources and Uses Budget'!$A95</f>
        <v>Other: Predev Loan Interest/Fees, Soft Loan Fees</v>
      </c>
      <c r="B95" s="264">
        <f>'Sources and Uses Budget'!C95</f>
        <v>261583</v>
      </c>
      <c r="C95" s="265"/>
      <c r="D95" s="265"/>
      <c r="E95" s="264">
        <f>'Sources and Uses Budget'!S95</f>
        <v>261583</v>
      </c>
      <c r="F95" s="265"/>
      <c r="G95" s="265"/>
      <c r="H95" s="264">
        <f>'Sources and Uses Budget'!T95</f>
        <v>0</v>
      </c>
      <c r="I95" s="265"/>
      <c r="J95" s="265"/>
      <c r="K95" s="262"/>
    </row>
    <row r="96" spans="1:11" s="263" customFormat="1">
      <c r="A96" s="268" t="s">
        <v>1833</v>
      </c>
      <c r="B96" s="264">
        <f>'Sources and Uses Budget'!C96</f>
        <v>2286493</v>
      </c>
      <c r="C96" s="264">
        <f>SUM(C83:C95)</f>
        <v>0</v>
      </c>
      <c r="D96" s="264">
        <f>SUM(D83:D95)</f>
        <v>0</v>
      </c>
      <c r="E96" s="264">
        <f>'Sources and Uses Budget'!S96</f>
        <v>1930188</v>
      </c>
      <c r="F96" s="270">
        <f>SUM(F84:F87,F89:F95)</f>
        <v>0</v>
      </c>
      <c r="G96" s="270">
        <f>SUM(G84:G87,G89:G95)</f>
        <v>0</v>
      </c>
      <c r="H96" s="264">
        <f>'Sources and Uses Budget'!T96</f>
        <v>0</v>
      </c>
      <c r="I96" s="264">
        <f>SUM(I84:I87,I89:I95)</f>
        <v>0</v>
      </c>
      <c r="J96" s="264">
        <f>SUM(J84:J87,J89:J95)</f>
        <v>0</v>
      </c>
      <c r="K96" s="262"/>
    </row>
    <row r="97" spans="1:11" s="263" customFormat="1">
      <c r="A97" s="268" t="s">
        <v>1887</v>
      </c>
      <c r="B97" s="264">
        <f>'Sources and Uses Budget'!C97</f>
        <v>58833745</v>
      </c>
      <c r="C97" s="264">
        <f>SUM(C63+C70+C77+C81+C96)</f>
        <v>0</v>
      </c>
      <c r="D97" s="264">
        <f>SUM(D63+D70+D77+D81+D96)</f>
        <v>0</v>
      </c>
      <c r="E97" s="264">
        <f>'Sources and Uses Budget'!S97</f>
        <v>52684184</v>
      </c>
      <c r="F97" s="270">
        <f>SUM(+F63+F70+F81+F96)</f>
        <v>0</v>
      </c>
      <c r="G97" s="270">
        <f>SUM(+G63+G70+G81+G96)</f>
        <v>0</v>
      </c>
      <c r="H97" s="264">
        <f>'Sources and Uses Budget'!T97</f>
        <v>0</v>
      </c>
      <c r="I97" s="270">
        <f>SUM(I63+I70+I81+I96)</f>
        <v>0</v>
      </c>
      <c r="J97" s="270">
        <f>SUM(J63+J70+J81+J96)</f>
        <v>0</v>
      </c>
      <c r="K97" s="262"/>
    </row>
    <row r="98" spans="1:11" s="263" customFormat="1">
      <c r="A98" s="260" t="s">
        <v>1835</v>
      </c>
      <c r="B98" s="261"/>
      <c r="C98" s="261"/>
      <c r="D98" s="261"/>
      <c r="E98" s="261"/>
      <c r="F98" s="261"/>
      <c r="G98" s="261"/>
      <c r="H98" s="261"/>
      <c r="I98" s="261"/>
      <c r="J98" s="261"/>
      <c r="K98" s="262"/>
    </row>
    <row r="99" spans="1:11" s="263" customFormat="1">
      <c r="A99" s="195" t="s">
        <v>1836</v>
      </c>
      <c r="B99" s="264">
        <f>'Sources and Uses Budget'!C99</f>
        <v>7902627</v>
      </c>
      <c r="C99" s="265"/>
      <c r="D99" s="265"/>
      <c r="E99" s="264">
        <f>'Sources and Uses Budget'!S99</f>
        <v>7902627</v>
      </c>
      <c r="F99" s="265"/>
      <c r="G99" s="265"/>
      <c r="H99" s="264">
        <f>'Sources and Uses Budget'!T99</f>
        <v>0</v>
      </c>
      <c r="I99" s="265"/>
      <c r="J99" s="265"/>
      <c r="K99" s="262"/>
    </row>
    <row r="100" spans="1:11" s="263" customFormat="1">
      <c r="A100" s="195" t="s">
        <v>1837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1840</v>
      </c>
      <c r="B104" s="264">
        <f>'Sources and Uses Budget'!C104</f>
        <v>7902627</v>
      </c>
      <c r="C104" s="264">
        <f>SUM(C99:C103)</f>
        <v>0</v>
      </c>
      <c r="D104" s="264">
        <f>SUM(D99:D103)</f>
        <v>0</v>
      </c>
      <c r="E104" s="264">
        <f>'Sources and Uses Budget'!S104</f>
        <v>7902627</v>
      </c>
      <c r="F104" s="270">
        <f>SUM(F99:F103)</f>
        <v>0</v>
      </c>
      <c r="G104" s="270">
        <f>SUM(G99:G103)</f>
        <v>0</v>
      </c>
      <c r="H104" s="264">
        <f>'Sources and Uses Budget'!T104</f>
        <v>0</v>
      </c>
      <c r="I104" s="270">
        <f>SUM(I99:I103)</f>
        <v>0</v>
      </c>
      <c r="J104" s="270">
        <f>SUM(J99:J103)</f>
        <v>0</v>
      </c>
      <c r="K104" s="262"/>
    </row>
    <row r="105" spans="1:11" s="263" customFormat="1">
      <c r="A105" s="268" t="s">
        <v>1888</v>
      </c>
      <c r="B105" s="264">
        <f>'Sources and Uses Budget'!C105</f>
        <v>66736372</v>
      </c>
      <c r="C105" s="270">
        <f>SUM(C97+C104)</f>
        <v>0</v>
      </c>
      <c r="D105" s="270">
        <f>SUM(D97+D104)</f>
        <v>0</v>
      </c>
      <c r="E105" s="264">
        <f>'Sources and Uses Budget'!S105</f>
        <v>60586811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1889</v>
      </c>
      <c r="E107" s="264">
        <f>'Sources and Uses Budget'!S107</f>
        <v>60586811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83"/>
      <c r="E124" s="1282"/>
      <c r="F124" s="1282"/>
      <c r="G124" s="1282"/>
      <c r="H124" s="1282"/>
      <c r="I124" s="1282"/>
      <c r="J124" s="279"/>
      <c r="K124" s="262"/>
    </row>
    <row r="125" spans="1:11" s="263" customFormat="1" ht="12.75">
      <c r="A125" s="288"/>
      <c r="B125" s="287"/>
      <c r="C125" s="288"/>
      <c r="D125" s="1282"/>
      <c r="E125" s="1282"/>
      <c r="F125" s="1282"/>
      <c r="G125" s="1282"/>
      <c r="H125" s="1282"/>
      <c r="I125" s="1282"/>
      <c r="J125" s="279"/>
      <c r="K125" s="262"/>
    </row>
    <row r="126" spans="1:11" s="263" customFormat="1" ht="12.75">
      <c r="A126" s="288"/>
      <c r="B126" s="287"/>
      <c r="C126" s="288"/>
      <c r="D126" s="1282"/>
      <c r="E126" s="1282"/>
      <c r="F126" s="1282"/>
      <c r="G126" s="1282"/>
      <c r="H126" s="1282"/>
      <c r="I126" s="1282"/>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84"/>
      <c r="B139" s="1282"/>
      <c r="C139" s="1282"/>
      <c r="D139" s="259"/>
      <c r="E139" s="288"/>
      <c r="F139" s="288"/>
      <c r="G139" s="288"/>
    </row>
    <row r="140" spans="1:11" ht="12" customHeight="1">
      <c r="A140" s="1265"/>
      <c r="B140" s="1265"/>
      <c r="C140" s="126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39"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1796" t="s">
        <v>1890</v>
      </c>
      <c r="B1" s="1797"/>
      <c r="C1" s="1797"/>
      <c r="D1" s="1797"/>
      <c r="E1" s="1797"/>
      <c r="F1" s="1797"/>
      <c r="G1" s="1797"/>
      <c r="H1" s="1797"/>
      <c r="I1" s="1797"/>
      <c r="J1" s="1797"/>
      <c r="K1" s="1797"/>
      <c r="L1" s="1797"/>
      <c r="M1" s="1797"/>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8"/>
    </row>
    <row r="2" spans="1:65" ht="15.75" customHeight="1">
      <c r="A2" s="1799" t="s">
        <v>1891</v>
      </c>
      <c r="B2" s="1800"/>
      <c r="C2" s="1800"/>
      <c r="D2" s="1800"/>
      <c r="E2" s="1800"/>
      <c r="F2" s="1800"/>
      <c r="G2" s="1800"/>
      <c r="H2" s="1800"/>
      <c r="I2" s="1800"/>
      <c r="J2" s="1800"/>
      <c r="K2" s="1800"/>
      <c r="L2" s="1800"/>
      <c r="M2" s="1800"/>
      <c r="N2" s="1800"/>
      <c r="O2" s="1800"/>
      <c r="P2" s="1800"/>
      <c r="Q2" s="1800"/>
      <c r="R2" s="1800"/>
      <c r="S2" s="1800"/>
      <c r="T2" s="1800"/>
      <c r="U2" s="1800"/>
      <c r="V2" s="1800"/>
      <c r="W2" s="1800"/>
      <c r="X2" s="1800"/>
      <c r="Y2" s="1800"/>
      <c r="Z2" s="1800"/>
      <c r="AA2" s="1800"/>
      <c r="AB2" s="1800"/>
      <c r="AC2" s="1800"/>
      <c r="AD2" s="1800"/>
      <c r="AE2" s="1800"/>
      <c r="AF2" s="1800"/>
      <c r="AG2" s="1800"/>
      <c r="AH2" s="1800"/>
      <c r="AI2" s="1800"/>
      <c r="AJ2" s="1800"/>
      <c r="AK2" s="1800"/>
      <c r="AL2" s="1800"/>
      <c r="AM2" s="1800"/>
      <c r="AN2" s="1800"/>
      <c r="AO2" s="1800"/>
      <c r="AP2" s="1800"/>
      <c r="AQ2" s="1800"/>
      <c r="AR2" s="1800"/>
      <c r="AS2" s="1800"/>
      <c r="AT2" s="1800"/>
      <c r="AU2" s="1800"/>
      <c r="AV2" s="1800"/>
      <c r="AW2" s="1800"/>
      <c r="AX2" s="1800"/>
      <c r="AY2" s="1800"/>
      <c r="AZ2" s="1800"/>
      <c r="BA2" s="1800"/>
      <c r="BB2" s="1800"/>
      <c r="BC2" s="1800"/>
      <c r="BD2" s="1800"/>
      <c r="BE2" s="1801"/>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02" t="s">
        <v>1892</v>
      </c>
      <c r="AY3" s="1803"/>
      <c r="AZ3" s="1803"/>
      <c r="BA3" s="1804"/>
      <c r="BB3" s="1802" t="s">
        <v>1893</v>
      </c>
      <c r="BC3" s="1803"/>
      <c r="BD3" s="1803"/>
      <c r="BE3" s="1804"/>
    </row>
    <row r="4" spans="1:65" ht="15.75" customHeight="1" thickBot="1">
      <c r="A4" s="1096"/>
      <c r="B4" s="1098" t="s">
        <v>77</v>
      </c>
      <c r="C4" s="1098"/>
      <c r="D4" s="1098"/>
      <c r="E4" s="1098"/>
      <c r="F4" s="1098"/>
      <c r="G4" s="1097"/>
      <c r="H4" s="1097"/>
      <c r="I4" s="1097"/>
      <c r="J4" s="1097"/>
      <c r="K4" s="1097"/>
      <c r="L4" s="1791" t="str">
        <f>IF(Application!H18="","",Application!H18)</f>
        <v>I Street Apartments</v>
      </c>
      <c r="M4" s="1792"/>
      <c r="N4" s="1792"/>
      <c r="O4" s="1792"/>
      <c r="P4" s="1792"/>
      <c r="Q4" s="1792"/>
      <c r="R4" s="1792"/>
      <c r="S4" s="1792"/>
      <c r="T4" s="1792"/>
      <c r="U4" s="1792"/>
      <c r="V4" s="1792"/>
      <c r="W4" s="1792"/>
      <c r="X4" s="1792"/>
      <c r="Y4" s="1792"/>
      <c r="Z4" s="1792"/>
      <c r="AA4" s="1792"/>
      <c r="AB4" s="1792"/>
      <c r="AC4" s="1793"/>
      <c r="AD4" s="1097"/>
      <c r="AE4" s="1097"/>
      <c r="AF4" s="1805" t="s">
        <v>1894</v>
      </c>
      <c r="AG4" s="1805"/>
      <c r="AH4" s="1805"/>
      <c r="AI4" s="1805"/>
      <c r="AJ4" s="1805"/>
      <c r="AK4" s="1805"/>
      <c r="AL4" s="1805"/>
      <c r="AM4" s="1805"/>
      <c r="AN4" s="1805"/>
      <c r="AO4" s="1805"/>
      <c r="AP4" s="1806"/>
      <c r="AQ4" s="1807"/>
      <c r="AR4" s="1807"/>
      <c r="AS4" s="1807"/>
      <c r="AT4" s="1807"/>
      <c r="AU4" s="1807"/>
      <c r="AV4" s="1097"/>
      <c r="AW4" s="1097"/>
      <c r="AX4" s="1788" t="s">
        <v>1895</v>
      </c>
      <c r="AY4" s="1789"/>
      <c r="AZ4" s="1789"/>
      <c r="BA4" s="1790"/>
      <c r="BB4" s="1225">
        <f t="array" ref="BB4">ROUNDDOWN(SUM(IF((B19:I27&gt;0)*(B19:I27&lt;=30%),J19:O27,0))/J29,2)</f>
        <v>0.3</v>
      </c>
      <c r="BC4" s="1226"/>
      <c r="BD4" s="1226"/>
      <c r="BE4" s="1227"/>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05" t="s">
        <v>1896</v>
      </c>
      <c r="AG5" s="1805"/>
      <c r="AH5" s="1805"/>
      <c r="AI5" s="1805"/>
      <c r="AJ5" s="1805"/>
      <c r="AK5" s="1805"/>
      <c r="AL5" s="1805"/>
      <c r="AM5" s="1805"/>
      <c r="AN5" s="1805"/>
      <c r="AO5" s="1805"/>
      <c r="AP5" s="1806"/>
      <c r="AQ5" s="1807"/>
      <c r="AR5" s="1807"/>
      <c r="AS5" s="1807"/>
      <c r="AT5" s="1807"/>
      <c r="AU5" s="1807"/>
      <c r="AV5" s="1097"/>
      <c r="AW5" s="1097"/>
      <c r="AX5" s="1788" t="s">
        <v>1897</v>
      </c>
      <c r="AY5" s="1789"/>
      <c r="AZ5" s="1789"/>
      <c r="BA5" s="1790"/>
      <c r="BB5" s="1225">
        <f t="array" ref="BB5">ROUNDDOWN(SUM(IF((B19:I27&gt;0%)*(B19:I27&lt;=50%),J19:O27,0))/J29,2)</f>
        <v>0.6</v>
      </c>
      <c r="BC5" s="1226"/>
      <c r="BD5" s="1226"/>
      <c r="BE5" s="1227"/>
    </row>
    <row r="6" spans="1:65" ht="15.75" customHeight="1" thickBot="1">
      <c r="A6" s="1096"/>
      <c r="B6" s="1098" t="s">
        <v>1898</v>
      </c>
      <c r="C6" s="1097"/>
      <c r="D6" s="1097"/>
      <c r="E6" s="1097"/>
      <c r="F6" s="1097"/>
      <c r="G6" s="1097"/>
      <c r="H6" s="1097"/>
      <c r="I6" s="1097"/>
      <c r="J6" s="1097"/>
      <c r="K6" s="1097"/>
      <c r="L6" s="1791" t="str">
        <f>IF(Application!H16="","",Application!H16)</f>
        <v>I Street Housing Associates, L.P.</v>
      </c>
      <c r="M6" s="1792"/>
      <c r="N6" s="1792"/>
      <c r="O6" s="1792"/>
      <c r="P6" s="1792"/>
      <c r="Q6" s="1792"/>
      <c r="R6" s="1792"/>
      <c r="S6" s="1792"/>
      <c r="T6" s="1792"/>
      <c r="U6" s="1792"/>
      <c r="V6" s="1792"/>
      <c r="W6" s="1792"/>
      <c r="X6" s="1792"/>
      <c r="Y6" s="1792"/>
      <c r="Z6" s="1792"/>
      <c r="AA6" s="1792"/>
      <c r="AB6" s="1792"/>
      <c r="AC6" s="1793"/>
      <c r="AD6" s="1097"/>
      <c r="AE6" s="1097"/>
      <c r="AF6" s="1794" t="s">
        <v>1899</v>
      </c>
      <c r="AG6" s="1794"/>
      <c r="AH6" s="1794"/>
      <c r="AI6" s="1794"/>
      <c r="AJ6" s="1794"/>
      <c r="AK6" s="1794"/>
      <c r="AL6" s="1794"/>
      <c r="AM6" s="1794"/>
      <c r="AN6" s="1794"/>
      <c r="AO6" s="1794"/>
      <c r="AP6" s="1795"/>
      <c r="AQ6" s="1795"/>
      <c r="AR6" s="1795"/>
      <c r="AS6" s="1795"/>
      <c r="AT6" s="1795"/>
      <c r="AU6" s="1795"/>
      <c r="AV6" s="1097"/>
      <c r="AW6" s="1097"/>
      <c r="AX6" s="1788" t="s">
        <v>1900</v>
      </c>
      <c r="AY6" s="1789"/>
      <c r="AZ6" s="1789"/>
      <c r="BA6" s="1790"/>
      <c r="BB6" s="1225">
        <f t="array" ref="BB6">ROUNDDOWN(SUM(IF((B19:I27&gt;60%)*(B19:I27&lt;=80%),J19:O27,0))/J29,2)</f>
        <v>0.11</v>
      </c>
      <c r="BC6" s="1226"/>
      <c r="BD6" s="1226"/>
      <c r="BE6" s="1227"/>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794" t="s">
        <v>1901</v>
      </c>
      <c r="AG7" s="1794"/>
      <c r="AH7" s="1794"/>
      <c r="AI7" s="1794"/>
      <c r="AJ7" s="1794"/>
      <c r="AK7" s="1794"/>
      <c r="AL7" s="1794"/>
      <c r="AM7" s="1794"/>
      <c r="AN7" s="1794"/>
      <c r="AO7" s="1794"/>
      <c r="AP7" s="1795"/>
      <c r="AQ7" s="1795"/>
      <c r="AR7" s="1795"/>
      <c r="AS7" s="1795"/>
      <c r="AT7" s="1795"/>
      <c r="AU7" s="1795"/>
      <c r="AV7" s="1097"/>
      <c r="AW7" s="1097"/>
      <c r="AX7" s="1097"/>
      <c r="AY7" s="1097"/>
      <c r="AZ7" s="1097"/>
      <c r="BA7" s="1097"/>
      <c r="BB7" s="1097"/>
      <c r="BC7" s="1097"/>
      <c r="BD7" s="1097"/>
      <c r="BE7" s="1099"/>
    </row>
    <row r="8" spans="1:65" thickBot="1">
      <c r="A8" s="1096"/>
      <c r="B8" s="1098" t="s">
        <v>1902</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08" t="str">
        <f>Application!T197</f>
        <v>No</v>
      </c>
      <c r="AC8" s="1809"/>
      <c r="AD8" s="1810"/>
      <c r="AE8" s="1097"/>
      <c r="AF8" s="1794" t="s">
        <v>1903</v>
      </c>
      <c r="AG8" s="1794"/>
      <c r="AH8" s="1794"/>
      <c r="AI8" s="1794"/>
      <c r="AJ8" s="1794"/>
      <c r="AK8" s="1794"/>
      <c r="AL8" s="1794"/>
      <c r="AM8" s="1794"/>
      <c r="AN8" s="1794"/>
      <c r="AO8" s="1794"/>
      <c r="AP8" s="1795" t="s">
        <v>692</v>
      </c>
      <c r="AQ8" s="1795"/>
      <c r="AR8" s="1795"/>
      <c r="AS8" s="1795"/>
      <c r="AT8" s="1795"/>
      <c r="AU8" s="1795"/>
      <c r="AV8" s="1097"/>
      <c r="AW8" s="1097"/>
      <c r="AX8" s="1097"/>
      <c r="AY8" s="1097"/>
      <c r="AZ8" s="1097"/>
      <c r="BA8" s="1097"/>
      <c r="BB8" s="1097"/>
      <c r="BC8" s="1097"/>
      <c r="BD8" s="1097"/>
      <c r="BE8" s="1099"/>
      <c r="BM8" s="1093" t="s">
        <v>1904</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05" t="s">
        <v>1905</v>
      </c>
      <c r="AG9" s="1805"/>
      <c r="AH9" s="1805"/>
      <c r="AI9" s="1805"/>
      <c r="AJ9" s="1805"/>
      <c r="AK9" s="1805"/>
      <c r="AL9" s="1805"/>
      <c r="AM9" s="1805"/>
      <c r="AN9" s="1805"/>
      <c r="AO9" s="1805"/>
      <c r="AP9" s="1806"/>
      <c r="AQ9" s="1807"/>
      <c r="AR9" s="1807"/>
      <c r="AS9" s="1807"/>
      <c r="AT9" s="1807"/>
      <c r="AU9" s="1807"/>
      <c r="AV9" s="1097"/>
      <c r="AW9" s="1097"/>
      <c r="AX9" s="1097"/>
      <c r="AY9" s="1097"/>
      <c r="AZ9" s="1097"/>
      <c r="BA9" s="1097"/>
      <c r="BB9" s="1097"/>
      <c r="BC9" s="1097"/>
      <c r="BD9" s="1097"/>
      <c r="BE9" s="1099"/>
      <c r="BM9" s="1093" t="s">
        <v>1906</v>
      </c>
    </row>
    <row r="10" spans="1:65" ht="15">
      <c r="A10" s="1096"/>
      <c r="B10" s="1098" t="s">
        <v>1907</v>
      </c>
      <c r="C10" s="1098"/>
      <c r="D10" s="1098"/>
      <c r="E10" s="1098"/>
      <c r="F10" s="1098"/>
      <c r="G10" s="1098"/>
      <c r="H10" s="1098"/>
      <c r="I10" s="1098"/>
      <c r="J10" s="1098"/>
      <c r="K10" s="1098"/>
      <c r="L10" s="1098"/>
      <c r="M10" s="1097"/>
      <c r="N10" s="1823">
        <f>Application!AO635</f>
        <v>4072000</v>
      </c>
      <c r="O10" s="1823"/>
      <c r="P10" s="1823"/>
      <c r="Q10" s="1823"/>
      <c r="R10" s="1823"/>
      <c r="S10" s="1823"/>
      <c r="T10" s="1823"/>
      <c r="U10" s="1097"/>
      <c r="V10" s="1097"/>
      <c r="W10" s="1097"/>
      <c r="X10" s="1100"/>
      <c r="Y10" s="1100"/>
      <c r="Z10" s="1100"/>
      <c r="AA10" s="1100"/>
      <c r="AB10" s="1100"/>
      <c r="AC10" s="1100"/>
      <c r="AD10" s="1100"/>
      <c r="AE10" s="1100"/>
      <c r="AF10" s="1805" t="s">
        <v>1908</v>
      </c>
      <c r="AG10" s="1805"/>
      <c r="AH10" s="1805"/>
      <c r="AI10" s="1805"/>
      <c r="AJ10" s="1805"/>
      <c r="AK10" s="1805"/>
      <c r="AL10" s="1805"/>
      <c r="AM10" s="1805"/>
      <c r="AN10" s="1805"/>
      <c r="AO10" s="1805"/>
      <c r="AP10" s="1806"/>
      <c r="AQ10" s="1807"/>
      <c r="AR10" s="1807"/>
      <c r="AS10" s="1807"/>
      <c r="AT10" s="1807"/>
      <c r="AU10" s="1807"/>
      <c r="AV10" s="1100"/>
      <c r="AW10" s="1100"/>
      <c r="AX10" s="1097"/>
      <c r="AY10" s="1097"/>
      <c r="AZ10" s="1097"/>
      <c r="BA10" s="1097"/>
      <c r="BB10" s="1097"/>
      <c r="BC10" s="1097"/>
      <c r="BD10" s="1097"/>
      <c r="BE10" s="1099"/>
      <c r="BM10" s="1093" t="s">
        <v>1909</v>
      </c>
    </row>
    <row r="11" spans="1:65" ht="15">
      <c r="A11" s="1096"/>
      <c r="B11" s="1098" t="s">
        <v>1910</v>
      </c>
      <c r="C11" s="1098"/>
      <c r="D11" s="1098"/>
      <c r="E11" s="1098"/>
      <c r="F11" s="1098"/>
      <c r="G11" s="1098"/>
      <c r="H11" s="1098"/>
      <c r="I11" s="1098"/>
      <c r="J11" s="1098"/>
      <c r="K11" s="1098"/>
      <c r="L11" s="1098"/>
      <c r="M11" s="1097"/>
      <c r="N11" s="1823">
        <f>Application!AA943</f>
        <v>0</v>
      </c>
      <c r="O11" s="1823"/>
      <c r="P11" s="1823"/>
      <c r="Q11" s="1823"/>
      <c r="R11" s="1823"/>
      <c r="S11" s="1823"/>
      <c r="T11" s="1823"/>
      <c r="U11" s="1097"/>
      <c r="V11" s="1097"/>
      <c r="W11" s="1097"/>
      <c r="X11" s="1100"/>
      <c r="Y11" s="1100"/>
      <c r="Z11" s="1100"/>
      <c r="AA11" s="1100"/>
      <c r="AB11" s="1100"/>
      <c r="AC11" s="1100"/>
      <c r="AD11" s="1100"/>
      <c r="AE11" s="1100"/>
      <c r="AF11" s="1805" t="s">
        <v>1911</v>
      </c>
      <c r="AG11" s="1805"/>
      <c r="AH11" s="1805"/>
      <c r="AI11" s="1805"/>
      <c r="AJ11" s="1805"/>
      <c r="AK11" s="1805"/>
      <c r="AL11" s="1805"/>
      <c r="AM11" s="1805"/>
      <c r="AN11" s="1805"/>
      <c r="AO11" s="1805"/>
      <c r="AP11" s="1806"/>
      <c r="AQ11" s="1807"/>
      <c r="AR11" s="1807"/>
      <c r="AS11" s="1807"/>
      <c r="AT11" s="1807"/>
      <c r="AU11" s="1807"/>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1912</v>
      </c>
    </row>
    <row r="13" spans="1:65" thickBot="1">
      <c r="A13" s="1097"/>
      <c r="B13" s="1811" t="s">
        <v>1913</v>
      </c>
      <c r="C13" s="1812"/>
      <c r="D13" s="1812"/>
      <c r="E13" s="1812"/>
      <c r="F13" s="1812"/>
      <c r="G13" s="1812"/>
      <c r="H13" s="1812"/>
      <c r="I13" s="1812"/>
      <c r="J13" s="1812"/>
      <c r="K13" s="1812"/>
      <c r="L13" s="1812"/>
      <c r="M13" s="1812"/>
      <c r="N13" s="1812"/>
      <c r="O13" s="1812"/>
      <c r="P13" s="1813"/>
      <c r="Q13" s="1814" t="s">
        <v>700</v>
      </c>
      <c r="R13" s="1815"/>
      <c r="S13" s="1815"/>
      <c r="T13" s="1816"/>
      <c r="U13" s="1100"/>
      <c r="V13" s="1097"/>
      <c r="W13" s="1097"/>
      <c r="X13" s="1097"/>
      <c r="Y13" s="1097"/>
      <c r="Z13" s="1097"/>
      <c r="AA13" s="1817" t="s">
        <v>1914</v>
      </c>
      <c r="AB13" s="1817"/>
      <c r="AC13" s="1817"/>
      <c r="AD13" s="1817"/>
      <c r="AE13" s="1817"/>
      <c r="AF13" s="1817"/>
      <c r="AG13" s="1817"/>
      <c r="AH13" s="1817"/>
      <c r="AI13" s="1817"/>
      <c r="AJ13" s="1817"/>
      <c r="AK13" s="1817"/>
      <c r="AL13" s="1817"/>
      <c r="AM13" s="1817"/>
      <c r="AN13" s="1817"/>
      <c r="AO13" s="1818">
        <f>Application!W481</f>
        <v>0</v>
      </c>
      <c r="AP13" s="1819"/>
      <c r="AQ13" s="1819"/>
      <c r="AR13" s="1819"/>
      <c r="AS13" s="1819"/>
      <c r="AT13" s="1100"/>
      <c r="AU13" s="1100"/>
      <c r="AV13" s="1100"/>
      <c r="AW13" s="1100"/>
      <c r="AX13" s="1100"/>
      <c r="AY13" s="1100"/>
      <c r="AZ13" s="1100"/>
      <c r="BA13" s="1100"/>
      <c r="BB13" s="1100"/>
      <c r="BC13" s="1100"/>
      <c r="BD13" s="1100"/>
      <c r="BE13" s="1101"/>
      <c r="BM13" s="1093" t="s">
        <v>1915</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20" t="s">
        <v>1916</v>
      </c>
      <c r="AB14" s="1820"/>
      <c r="AC14" s="1820"/>
      <c r="AD14" s="1820"/>
      <c r="AE14" s="1820"/>
      <c r="AF14" s="1820"/>
      <c r="AG14" s="1820"/>
      <c r="AH14" s="1820"/>
      <c r="AI14" s="1820"/>
      <c r="AJ14" s="1820"/>
      <c r="AK14" s="1820"/>
      <c r="AL14" s="1820"/>
      <c r="AM14" s="1820"/>
      <c r="AN14" s="1820"/>
      <c r="AO14" s="1821"/>
      <c r="AP14" s="1822"/>
      <c r="AQ14" s="1822"/>
      <c r="AR14" s="1822"/>
      <c r="AS14" s="1822"/>
      <c r="AT14" s="1100"/>
      <c r="AU14" s="1100"/>
      <c r="AV14" s="1100"/>
      <c r="AW14" s="1100"/>
      <c r="AX14" s="1100"/>
      <c r="AY14" s="1100"/>
      <c r="AZ14" s="1100"/>
      <c r="BA14" s="1100"/>
      <c r="BB14" s="1100"/>
      <c r="BC14" s="1100"/>
      <c r="BD14" s="1100"/>
      <c r="BE14" s="1101"/>
    </row>
    <row r="15" spans="1:65" thickBot="1">
      <c r="A15" s="1097"/>
      <c r="B15" s="1824" t="s">
        <v>1917</v>
      </c>
      <c r="C15" s="1825"/>
      <c r="D15" s="1825"/>
      <c r="E15" s="1825"/>
      <c r="F15" s="1825"/>
      <c r="G15" s="1825"/>
      <c r="H15" s="1825"/>
      <c r="I15" s="1825"/>
      <c r="J15" s="1825"/>
      <c r="K15" s="1825"/>
      <c r="L15" s="1825"/>
      <c r="M15" s="1825"/>
      <c r="N15" s="1825"/>
      <c r="O15" s="1825"/>
      <c r="P15" s="1825"/>
      <c r="Q15" s="1825"/>
      <c r="R15" s="1826"/>
      <c r="S15" s="1827" t="str">
        <f>IF(Application!AB215="","",Application!AB215)</f>
        <v/>
      </c>
      <c r="T15" s="1827"/>
      <c r="U15" s="1827"/>
      <c r="V15" s="1827"/>
      <c r="W15" s="1828"/>
      <c r="X15" s="1100"/>
      <c r="Y15" s="1097"/>
      <c r="Z15" s="1097"/>
      <c r="AA15" s="1817" t="s">
        <v>1918</v>
      </c>
      <c r="AB15" s="1817"/>
      <c r="AC15" s="1817"/>
      <c r="AD15" s="1817"/>
      <c r="AE15" s="1817"/>
      <c r="AF15" s="1817"/>
      <c r="AG15" s="1817"/>
      <c r="AH15" s="1817"/>
      <c r="AI15" s="1817"/>
      <c r="AJ15" s="1817"/>
      <c r="AK15" s="1817"/>
      <c r="AL15" s="1817"/>
      <c r="AM15" s="1817"/>
      <c r="AN15" s="1817"/>
      <c r="AO15" s="1821"/>
      <c r="AP15" s="1822"/>
      <c r="AQ15" s="1822"/>
      <c r="AR15" s="1822"/>
      <c r="AS15" s="1822"/>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29" t="s">
        <v>1919</v>
      </c>
      <c r="C17" s="1830"/>
      <c r="D17" s="1830"/>
      <c r="E17" s="1830"/>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c r="AK17" s="1830"/>
      <c r="AL17" s="1830"/>
      <c r="AM17" s="1830"/>
      <c r="AN17" s="1830"/>
      <c r="AO17" s="1830"/>
      <c r="AP17" s="1830"/>
      <c r="AQ17" s="1830"/>
      <c r="AR17" s="1830"/>
      <c r="AS17" s="1830"/>
      <c r="AT17" s="1830"/>
      <c r="AU17" s="1830"/>
      <c r="AV17" s="1830"/>
      <c r="AW17" s="1830"/>
      <c r="AX17" s="1830"/>
      <c r="AY17" s="1831"/>
      <c r="AZ17" s="1097"/>
      <c r="BA17" s="1097"/>
      <c r="BB17" s="1097"/>
      <c r="BC17" s="1097"/>
      <c r="BD17" s="1097"/>
      <c r="BE17" s="1101"/>
      <c r="BF17" s="1095"/>
    </row>
    <row r="18" spans="1:58" ht="15.75" customHeight="1">
      <c r="A18" s="1097"/>
      <c r="B18" s="1832" t="s">
        <v>1920</v>
      </c>
      <c r="C18" s="1833"/>
      <c r="D18" s="1833"/>
      <c r="E18" s="1833"/>
      <c r="F18" s="1833"/>
      <c r="G18" s="1833"/>
      <c r="H18" s="1833"/>
      <c r="I18" s="1834"/>
      <c r="J18" s="1835" t="s">
        <v>1921</v>
      </c>
      <c r="K18" s="1836"/>
      <c r="L18" s="1836"/>
      <c r="M18" s="1836"/>
      <c r="N18" s="1836"/>
      <c r="O18" s="1837"/>
      <c r="P18" s="1835" t="s">
        <v>842</v>
      </c>
      <c r="Q18" s="1836"/>
      <c r="R18" s="1836"/>
      <c r="S18" s="1836"/>
      <c r="T18" s="1836"/>
      <c r="U18" s="1837"/>
      <c r="V18" s="1835" t="s">
        <v>843</v>
      </c>
      <c r="W18" s="1836"/>
      <c r="X18" s="1836"/>
      <c r="Y18" s="1836"/>
      <c r="Z18" s="1836"/>
      <c r="AA18" s="1837"/>
      <c r="AB18" s="1835" t="s">
        <v>844</v>
      </c>
      <c r="AC18" s="1836"/>
      <c r="AD18" s="1836"/>
      <c r="AE18" s="1836"/>
      <c r="AF18" s="1836"/>
      <c r="AG18" s="1837"/>
      <c r="AH18" s="1835" t="s">
        <v>845</v>
      </c>
      <c r="AI18" s="1836"/>
      <c r="AJ18" s="1836"/>
      <c r="AK18" s="1836"/>
      <c r="AL18" s="1836"/>
      <c r="AM18" s="1837"/>
      <c r="AN18" s="1835" t="s">
        <v>846</v>
      </c>
      <c r="AO18" s="1836"/>
      <c r="AP18" s="1836"/>
      <c r="AQ18" s="1836"/>
      <c r="AR18" s="1836"/>
      <c r="AS18" s="1837"/>
      <c r="AT18" s="1835" t="s">
        <v>1922</v>
      </c>
      <c r="AU18" s="1836"/>
      <c r="AV18" s="1836"/>
      <c r="AW18" s="1836"/>
      <c r="AX18" s="1836"/>
      <c r="AY18" s="1838"/>
      <c r="AZ18" s="1097"/>
      <c r="BA18" s="1097"/>
      <c r="BB18" s="1097"/>
      <c r="BC18" s="1097"/>
      <c r="BD18" s="1097"/>
      <c r="BE18" s="1101"/>
    </row>
    <row r="19" spans="1:58" ht="15">
      <c r="A19" s="1097"/>
      <c r="B19" s="1839">
        <v>0.3</v>
      </c>
      <c r="C19" s="1840"/>
      <c r="D19" s="1840"/>
      <c r="E19" s="1840"/>
      <c r="F19" s="1840"/>
      <c r="G19" s="1840"/>
      <c r="H19" s="1840"/>
      <c r="I19" s="1841"/>
      <c r="J19" s="1842">
        <f t="shared" ref="J19:J24" si="0">SUM(P19:AS19)</f>
        <v>26</v>
      </c>
      <c r="K19" s="1843"/>
      <c r="L19" s="1843"/>
      <c r="M19" s="1843"/>
      <c r="N19" s="1843"/>
      <c r="O19" s="1844"/>
      <c r="P19" s="1842" cm="1">
        <f t="array" ref="P19">SUMPRODUCT((Application!$B$726:$B$760 = 'CalHFA Addendum'!P$18)*(Application!$AC$726:$AC$760 = 'CalHFA Addendum'!$B19),Application!$G$726:$G$760)</f>
        <v>0</v>
      </c>
      <c r="Q19" s="1843"/>
      <c r="R19" s="1843"/>
      <c r="S19" s="1843"/>
      <c r="T19" s="1843"/>
      <c r="U19" s="1844"/>
      <c r="V19" s="1842" cm="1">
        <f t="array" ref="V19">SUMPRODUCT((Application!$B$726:$B$760 = 'CalHFA Addendum'!V$18)*(Application!$AC$726:$AC$760 = 'CalHFA Addendum'!$B19),Application!$G$726:$G$760)</f>
        <v>23</v>
      </c>
      <c r="W19" s="1843"/>
      <c r="X19" s="1843"/>
      <c r="Y19" s="1843"/>
      <c r="Z19" s="1843"/>
      <c r="AA19" s="1844"/>
      <c r="AB19" s="1842" cm="1">
        <f t="array" ref="AB19">SUMPRODUCT((Application!$B$726:$B$760 = 'CalHFA Addendum'!AB$18)*(Application!$AC$726:$AC$760 = 'CalHFA Addendum'!$B19),Application!$G$726:$G$760)</f>
        <v>3</v>
      </c>
      <c r="AC19" s="1843"/>
      <c r="AD19" s="1843"/>
      <c r="AE19" s="1843"/>
      <c r="AF19" s="1843"/>
      <c r="AG19" s="1844"/>
      <c r="AH19" s="1842" cm="1">
        <f t="array" ref="AH19">SUMPRODUCT((Application!$B$726:$B$760 = 'CalHFA Addendum'!AH$18)*(Application!$AC$726:$AC$760 = 'CalHFA Addendum'!$B19),Application!$G$726:$G$760)</f>
        <v>0</v>
      </c>
      <c r="AI19" s="1843"/>
      <c r="AJ19" s="1843"/>
      <c r="AK19" s="1843"/>
      <c r="AL19" s="1843"/>
      <c r="AM19" s="1844"/>
      <c r="AN19" s="1842" cm="1">
        <f t="array" ref="AN19">SUMPRODUCT((Application!$B$726:$B$760 = 'CalHFA Addendum'!AN$18)*(Application!$AC$726:$AC$760 = 'CalHFA Addendum'!$B19),Application!$G$726:$G$760)</f>
        <v>0</v>
      </c>
      <c r="AO19" s="1843"/>
      <c r="AP19" s="1843"/>
      <c r="AQ19" s="1843"/>
      <c r="AR19" s="1843"/>
      <c r="AS19" s="1844"/>
      <c r="AT19" s="1845">
        <f>J19/$J$29</f>
        <v>0.30952380952380953</v>
      </c>
      <c r="AU19" s="1846"/>
      <c r="AV19" s="1846"/>
      <c r="AW19" s="1846"/>
      <c r="AX19" s="1846"/>
      <c r="AY19" s="1847"/>
      <c r="AZ19" s="1102"/>
      <c r="BA19" s="1097"/>
      <c r="BB19" s="1097"/>
      <c r="BC19" s="1097"/>
      <c r="BD19" s="1097"/>
      <c r="BE19" s="1101"/>
    </row>
    <row r="20" spans="1:58" ht="15" customHeight="1">
      <c r="A20" s="1097"/>
      <c r="B20" s="1839">
        <v>0.4</v>
      </c>
      <c r="C20" s="1840"/>
      <c r="D20" s="1840"/>
      <c r="E20" s="1840"/>
      <c r="F20" s="1840"/>
      <c r="G20" s="1840"/>
      <c r="H20" s="1840"/>
      <c r="I20" s="1841"/>
      <c r="J20" s="1842">
        <f t="shared" si="0"/>
        <v>0</v>
      </c>
      <c r="K20" s="1843"/>
      <c r="L20" s="1843"/>
      <c r="M20" s="1843"/>
      <c r="N20" s="1843"/>
      <c r="O20" s="1844"/>
      <c r="P20" s="1842" cm="1">
        <f t="array" ref="P20">SUMPRODUCT((Application!$B$726:$B$760 = 'CalHFA Addendum'!P$18)*(Application!$AC$726:$AC$760 = 'CalHFA Addendum'!$B20),Application!$G$726:$G$760)</f>
        <v>0</v>
      </c>
      <c r="Q20" s="1843"/>
      <c r="R20" s="1843"/>
      <c r="S20" s="1843"/>
      <c r="T20" s="1843"/>
      <c r="U20" s="1844"/>
      <c r="V20" s="1842" cm="1">
        <f t="array" ref="V20">SUMPRODUCT((Application!$B$726:$B$760 = 'CalHFA Addendum'!V$18)*(Application!$AC$726:$AC$760 = 'CalHFA Addendum'!$B20),Application!$G$726:$G$760)</f>
        <v>0</v>
      </c>
      <c r="W20" s="1843"/>
      <c r="X20" s="1843"/>
      <c r="Y20" s="1843"/>
      <c r="Z20" s="1843"/>
      <c r="AA20" s="1844"/>
      <c r="AB20" s="1842" cm="1">
        <f t="array" ref="AB20">SUMPRODUCT((Application!$B$726:$B$760 = 'CalHFA Addendum'!AB$18)*(Application!$AC$726:$AC$760 = 'CalHFA Addendum'!$B20),Application!$G$726:$G$760)</f>
        <v>0</v>
      </c>
      <c r="AC20" s="1843"/>
      <c r="AD20" s="1843"/>
      <c r="AE20" s="1843"/>
      <c r="AF20" s="1843"/>
      <c r="AG20" s="1844"/>
      <c r="AH20" s="1842" cm="1">
        <f t="array" ref="AH20">SUMPRODUCT((Application!$B$726:$B$760 = 'CalHFA Addendum'!AH$18)*(Application!$AC$726:$AC$760 = 'CalHFA Addendum'!$B20),Application!$G$726:$G$760)</f>
        <v>0</v>
      </c>
      <c r="AI20" s="1843"/>
      <c r="AJ20" s="1843"/>
      <c r="AK20" s="1843"/>
      <c r="AL20" s="1843"/>
      <c r="AM20" s="1844"/>
      <c r="AN20" s="1842" cm="1">
        <f t="array" ref="AN20">SUMPRODUCT((Application!$B$726:$B$760 = 'CalHFA Addendum'!AN$18)*(Application!$AC$726:$AC$760 = 'CalHFA Addendum'!$B20),Application!$G$726:$G$760)</f>
        <v>0</v>
      </c>
      <c r="AO20" s="1843"/>
      <c r="AP20" s="1843"/>
      <c r="AQ20" s="1843"/>
      <c r="AR20" s="1843"/>
      <c r="AS20" s="1844"/>
      <c r="AT20" s="1845">
        <f t="shared" ref="AT20:AT29" si="1">J20/$J$29</f>
        <v>0</v>
      </c>
      <c r="AU20" s="1846"/>
      <c r="AV20" s="1846"/>
      <c r="AW20" s="1846"/>
      <c r="AX20" s="1846"/>
      <c r="AY20" s="1847"/>
      <c r="AZ20" s="1097"/>
      <c r="BA20" s="1097"/>
      <c r="BB20" s="1097"/>
      <c r="BC20" s="1097"/>
      <c r="BD20" s="1097"/>
      <c r="BE20" s="1101"/>
    </row>
    <row r="21" spans="1:58" ht="15">
      <c r="A21" s="1097"/>
      <c r="B21" s="1839">
        <v>0.5</v>
      </c>
      <c r="C21" s="1840"/>
      <c r="D21" s="1840"/>
      <c r="E21" s="1840"/>
      <c r="F21" s="1840"/>
      <c r="G21" s="1840"/>
      <c r="H21" s="1840"/>
      <c r="I21" s="1841"/>
      <c r="J21" s="1842">
        <f t="shared" si="0"/>
        <v>25</v>
      </c>
      <c r="K21" s="1843"/>
      <c r="L21" s="1843"/>
      <c r="M21" s="1843"/>
      <c r="N21" s="1843"/>
      <c r="O21" s="1844"/>
      <c r="P21" s="1842" cm="1">
        <f t="array" ref="P21">SUMPRODUCT((Application!$B$726:$B$760 = 'CalHFA Addendum'!P$18)*(Application!$AC$726:$AC$760 = 'CalHFA Addendum'!$B21),Application!$G$726:$G$760)</f>
        <v>0</v>
      </c>
      <c r="Q21" s="1843"/>
      <c r="R21" s="1843"/>
      <c r="S21" s="1843"/>
      <c r="T21" s="1843"/>
      <c r="U21" s="1844"/>
      <c r="V21" s="1842" cm="1">
        <f t="array" ref="V21">SUMPRODUCT((Application!$B$726:$B$760 = 'CalHFA Addendum'!V$18)*(Application!$AC$726:$AC$760 = 'CalHFA Addendum'!$B21),Application!$G$726:$G$760)</f>
        <v>21</v>
      </c>
      <c r="W21" s="1843"/>
      <c r="X21" s="1843"/>
      <c r="Y21" s="1843"/>
      <c r="Z21" s="1843"/>
      <c r="AA21" s="1844"/>
      <c r="AB21" s="1842" cm="1">
        <f t="array" ref="AB21">SUMPRODUCT((Application!$B$726:$B$760 = 'CalHFA Addendum'!AB$18)*(Application!$AC$726:$AC$760 = 'CalHFA Addendum'!$B21),Application!$G$726:$G$760)</f>
        <v>4</v>
      </c>
      <c r="AC21" s="1843"/>
      <c r="AD21" s="1843"/>
      <c r="AE21" s="1843"/>
      <c r="AF21" s="1843"/>
      <c r="AG21" s="1844"/>
      <c r="AH21" s="1842" cm="1">
        <f t="array" ref="AH21">SUMPRODUCT((Application!$B$726:$B$760 = 'CalHFA Addendum'!AH$18)*(Application!$AC$726:$AC$760 = 'CalHFA Addendum'!$B21),Application!$G$726:$G$760)</f>
        <v>0</v>
      </c>
      <c r="AI21" s="1843"/>
      <c r="AJ21" s="1843"/>
      <c r="AK21" s="1843"/>
      <c r="AL21" s="1843"/>
      <c r="AM21" s="1844"/>
      <c r="AN21" s="1842" cm="1">
        <f t="array" ref="AN21">SUMPRODUCT((Application!$B$726:$B$760 = 'CalHFA Addendum'!AN$18)*(Application!$AC$726:$AC$760 = 'CalHFA Addendum'!$B21),Application!$G$726:$G$760)</f>
        <v>0</v>
      </c>
      <c r="AO21" s="1843"/>
      <c r="AP21" s="1843"/>
      <c r="AQ21" s="1843"/>
      <c r="AR21" s="1843"/>
      <c r="AS21" s="1844"/>
      <c r="AT21" s="1845">
        <f t="shared" si="1"/>
        <v>0.29761904761904762</v>
      </c>
      <c r="AU21" s="1846"/>
      <c r="AV21" s="1846"/>
      <c r="AW21" s="1846"/>
      <c r="AX21" s="1846"/>
      <c r="AY21" s="1847"/>
      <c r="AZ21" s="1097"/>
      <c r="BA21" s="1097"/>
      <c r="BB21" s="1097"/>
      <c r="BC21" s="1097"/>
      <c r="BD21" s="1097"/>
      <c r="BE21" s="1101"/>
    </row>
    <row r="22" spans="1:58" ht="15">
      <c r="A22" s="1097"/>
      <c r="B22" s="1839">
        <v>0.6</v>
      </c>
      <c r="C22" s="1840"/>
      <c r="D22" s="1840"/>
      <c r="E22" s="1840"/>
      <c r="F22" s="1840"/>
      <c r="G22" s="1840"/>
      <c r="H22" s="1840"/>
      <c r="I22" s="1841"/>
      <c r="J22" s="1842">
        <f t="shared" si="0"/>
        <v>22</v>
      </c>
      <c r="K22" s="1843"/>
      <c r="L22" s="1843"/>
      <c r="M22" s="1843"/>
      <c r="N22" s="1843"/>
      <c r="O22" s="1844"/>
      <c r="P22" s="1842" cm="1">
        <f t="array" ref="P22">SUMPRODUCT((Application!$B$726:$B$760 = 'CalHFA Addendum'!P$18)*(Application!$AC$726:$AC$760 = 'CalHFA Addendum'!$B22),Application!$G$726:$G$760)</f>
        <v>0</v>
      </c>
      <c r="Q22" s="1843"/>
      <c r="R22" s="1843"/>
      <c r="S22" s="1843"/>
      <c r="T22" s="1843"/>
      <c r="U22" s="1844"/>
      <c r="V22" s="1842" cm="1">
        <f t="array" ref="V22">SUMPRODUCT((Application!$B$726:$B$760 = 'CalHFA Addendum'!V$18)*(Application!$AC$726:$AC$760 = 'CalHFA Addendum'!$B22),Application!$G$726:$G$760)</f>
        <v>18</v>
      </c>
      <c r="W22" s="1843"/>
      <c r="X22" s="1843"/>
      <c r="Y22" s="1843"/>
      <c r="Z22" s="1843"/>
      <c r="AA22" s="1844"/>
      <c r="AB22" s="1842" cm="1">
        <f t="array" ref="AB22">SUMPRODUCT((Application!$B$726:$B$760 = 'CalHFA Addendum'!AB$18)*(Application!$AC$726:$AC$760 = 'CalHFA Addendum'!$B22),Application!$G$726:$G$760)</f>
        <v>4</v>
      </c>
      <c r="AC22" s="1843"/>
      <c r="AD22" s="1843"/>
      <c r="AE22" s="1843"/>
      <c r="AF22" s="1843"/>
      <c r="AG22" s="1844"/>
      <c r="AH22" s="1842" cm="1">
        <f t="array" ref="AH22">SUMPRODUCT((Application!$B$726:$B$760 = 'CalHFA Addendum'!AH$18)*(Application!$AC$726:$AC$760 = 'CalHFA Addendum'!$B22),Application!$G$726:$G$760)</f>
        <v>0</v>
      </c>
      <c r="AI22" s="1843"/>
      <c r="AJ22" s="1843"/>
      <c r="AK22" s="1843"/>
      <c r="AL22" s="1843"/>
      <c r="AM22" s="1844"/>
      <c r="AN22" s="1842" cm="1">
        <f t="array" ref="AN22">SUMPRODUCT((Application!$B$726:$B$760 = 'CalHFA Addendum'!AN$18)*(Application!$AC$726:$AC$760 = 'CalHFA Addendum'!$B22),Application!$G$726:$G$760)</f>
        <v>0</v>
      </c>
      <c r="AO22" s="1843"/>
      <c r="AP22" s="1843"/>
      <c r="AQ22" s="1843"/>
      <c r="AR22" s="1843"/>
      <c r="AS22" s="1844"/>
      <c r="AT22" s="1845">
        <f t="shared" si="1"/>
        <v>0.26190476190476192</v>
      </c>
      <c r="AU22" s="1846"/>
      <c r="AV22" s="1846"/>
      <c r="AW22" s="1846"/>
      <c r="AX22" s="1846"/>
      <c r="AY22" s="1847"/>
      <c r="AZ22" s="1097"/>
      <c r="BA22" s="1097"/>
      <c r="BB22" s="1097"/>
      <c r="BC22" s="1097"/>
      <c r="BD22" s="1097"/>
      <c r="BE22" s="1101"/>
    </row>
    <row r="23" spans="1:58" ht="15">
      <c r="A23" s="1097"/>
      <c r="B23" s="1839">
        <v>0.7</v>
      </c>
      <c r="C23" s="1840"/>
      <c r="D23" s="1840"/>
      <c r="E23" s="1840"/>
      <c r="F23" s="1840"/>
      <c r="G23" s="1840"/>
      <c r="H23" s="1840"/>
      <c r="I23" s="1841"/>
      <c r="J23" s="1842">
        <f t="shared" si="0"/>
        <v>0</v>
      </c>
      <c r="K23" s="1843"/>
      <c r="L23" s="1843"/>
      <c r="M23" s="1843"/>
      <c r="N23" s="1843"/>
      <c r="O23" s="1844"/>
      <c r="P23" s="1842" cm="1">
        <f t="array" ref="P23">SUMPRODUCT((Application!$B$726:$B$760 = 'CalHFA Addendum'!P$18)*(Application!$AC$726:$AC$760 = 'CalHFA Addendum'!$B23),Application!$G$726:$G$760)</f>
        <v>0</v>
      </c>
      <c r="Q23" s="1843"/>
      <c r="R23" s="1843"/>
      <c r="S23" s="1843"/>
      <c r="T23" s="1843"/>
      <c r="U23" s="1844"/>
      <c r="V23" s="1842" cm="1">
        <f t="array" ref="V23">SUMPRODUCT((Application!$B$726:$B$760 = 'CalHFA Addendum'!V$18)*(Application!$AC$726:$AC$760 = 'CalHFA Addendum'!$B23),Application!$G$726:$G$760)</f>
        <v>0</v>
      </c>
      <c r="W23" s="1843"/>
      <c r="X23" s="1843"/>
      <c r="Y23" s="1843"/>
      <c r="Z23" s="1843"/>
      <c r="AA23" s="1844"/>
      <c r="AB23" s="1842" cm="1">
        <f t="array" ref="AB23">SUMPRODUCT((Application!$B$726:$B$760 = 'CalHFA Addendum'!AB$18)*(Application!$AC$726:$AC$760 = 'CalHFA Addendum'!$B23),Application!$G$726:$G$760)</f>
        <v>0</v>
      </c>
      <c r="AC23" s="1843"/>
      <c r="AD23" s="1843"/>
      <c r="AE23" s="1843"/>
      <c r="AF23" s="1843"/>
      <c r="AG23" s="1844"/>
      <c r="AH23" s="1842" cm="1">
        <f t="array" ref="AH23">SUMPRODUCT((Application!$B$726:$B$760 = 'CalHFA Addendum'!AH$18)*(Application!$AC$726:$AC$760 = 'CalHFA Addendum'!$B23),Application!$G$726:$G$760)</f>
        <v>0</v>
      </c>
      <c r="AI23" s="1843"/>
      <c r="AJ23" s="1843"/>
      <c r="AK23" s="1843"/>
      <c r="AL23" s="1843"/>
      <c r="AM23" s="1844"/>
      <c r="AN23" s="1842" cm="1">
        <f t="array" ref="AN23">SUMPRODUCT((Application!$B$726:$B$760 = 'CalHFA Addendum'!AN$18)*(Application!$AC$726:$AC$760 = 'CalHFA Addendum'!$B23),Application!$G$726:$G$760)</f>
        <v>0</v>
      </c>
      <c r="AO23" s="1843"/>
      <c r="AP23" s="1843"/>
      <c r="AQ23" s="1843"/>
      <c r="AR23" s="1843"/>
      <c r="AS23" s="1844"/>
      <c r="AT23" s="1845">
        <f t="shared" si="1"/>
        <v>0</v>
      </c>
      <c r="AU23" s="1846"/>
      <c r="AV23" s="1846"/>
      <c r="AW23" s="1846"/>
      <c r="AX23" s="1846"/>
      <c r="AY23" s="1847"/>
      <c r="AZ23" s="1097"/>
      <c r="BA23" s="1097"/>
      <c r="BB23" s="1097"/>
      <c r="BC23" s="1097"/>
      <c r="BD23" s="1097"/>
      <c r="BE23" s="1101"/>
    </row>
    <row r="24" spans="1:58" ht="15">
      <c r="A24" s="1097"/>
      <c r="B24" s="1839">
        <v>0.8</v>
      </c>
      <c r="C24" s="1840"/>
      <c r="D24" s="1840"/>
      <c r="E24" s="1840"/>
      <c r="F24" s="1840"/>
      <c r="G24" s="1840"/>
      <c r="H24" s="1840"/>
      <c r="I24" s="1841"/>
      <c r="J24" s="1842">
        <f t="shared" si="0"/>
        <v>10</v>
      </c>
      <c r="K24" s="1843"/>
      <c r="L24" s="1843"/>
      <c r="M24" s="1843"/>
      <c r="N24" s="1843"/>
      <c r="O24" s="1844"/>
      <c r="P24" s="1842" cm="1">
        <f t="array" ref="P24">SUMPRODUCT((Application!$B$726:$B$760 = 'CalHFA Addendum'!P$18)*(Application!$AC$726:$AC$760 = 'CalHFA Addendum'!$B24),Application!$G$726:$G$760)</f>
        <v>0</v>
      </c>
      <c r="Q24" s="1843"/>
      <c r="R24" s="1843"/>
      <c r="S24" s="1843"/>
      <c r="T24" s="1843"/>
      <c r="U24" s="1844"/>
      <c r="V24" s="1842" cm="1">
        <f t="array" ref="V24">SUMPRODUCT((Application!$B$726:$B$760 = 'CalHFA Addendum'!V$18)*(Application!$AC$726:$AC$760 = 'CalHFA Addendum'!$B24),Application!$G$726:$G$760)</f>
        <v>8</v>
      </c>
      <c r="W24" s="1843"/>
      <c r="X24" s="1843"/>
      <c r="Y24" s="1843"/>
      <c r="Z24" s="1843"/>
      <c r="AA24" s="1844"/>
      <c r="AB24" s="1842" cm="1">
        <f t="array" ref="AB24">SUMPRODUCT((Application!$B$726:$B$760 = 'CalHFA Addendum'!AB$18)*(Application!$AC$726:$AC$760 = 'CalHFA Addendum'!$B24),Application!$G$726:$G$760)</f>
        <v>2</v>
      </c>
      <c r="AC24" s="1843"/>
      <c r="AD24" s="1843"/>
      <c r="AE24" s="1843"/>
      <c r="AF24" s="1843"/>
      <c r="AG24" s="1844"/>
      <c r="AH24" s="1842" cm="1">
        <f t="array" ref="AH24">SUMPRODUCT((Application!$B$726:$B$760 = 'CalHFA Addendum'!AH$18)*(Application!$AC$726:$AC$760 = 'CalHFA Addendum'!$B24),Application!$G$726:$G$760)</f>
        <v>0</v>
      </c>
      <c r="AI24" s="1843"/>
      <c r="AJ24" s="1843"/>
      <c r="AK24" s="1843"/>
      <c r="AL24" s="1843"/>
      <c r="AM24" s="1844"/>
      <c r="AN24" s="1842" cm="1">
        <f t="array" ref="AN24">SUMPRODUCT((Application!$B$726:$B$760 = 'CalHFA Addendum'!AN$18)*(Application!$AC$726:$AC$760 = 'CalHFA Addendum'!$B24),Application!$G$726:$G$760)</f>
        <v>0</v>
      </c>
      <c r="AO24" s="1843"/>
      <c r="AP24" s="1843"/>
      <c r="AQ24" s="1843"/>
      <c r="AR24" s="1843"/>
      <c r="AS24" s="1844"/>
      <c r="AT24" s="1845">
        <f t="shared" si="1"/>
        <v>0.11904761904761904</v>
      </c>
      <c r="AU24" s="1846"/>
      <c r="AV24" s="1846"/>
      <c r="AW24" s="1846"/>
      <c r="AX24" s="1846"/>
      <c r="AY24" s="1847"/>
      <c r="AZ24" s="1097"/>
      <c r="BA24" s="1097"/>
      <c r="BB24" s="1097"/>
      <c r="BC24" s="1097"/>
      <c r="BD24" s="1097"/>
      <c r="BE24" s="1101"/>
    </row>
    <row r="25" spans="1:58" ht="15">
      <c r="A25" s="1097"/>
      <c r="B25" s="1839">
        <v>0.9</v>
      </c>
      <c r="C25" s="1840"/>
      <c r="D25" s="1840"/>
      <c r="E25" s="1840"/>
      <c r="F25" s="1840"/>
      <c r="G25" s="1840"/>
      <c r="H25" s="1840"/>
      <c r="I25" s="1841"/>
      <c r="J25" s="1848"/>
      <c r="K25" s="1849"/>
      <c r="L25" s="1849"/>
      <c r="M25" s="1849"/>
      <c r="N25" s="1849"/>
      <c r="O25" s="1850"/>
      <c r="P25" s="1848"/>
      <c r="Q25" s="1849"/>
      <c r="R25" s="1849"/>
      <c r="S25" s="1849"/>
      <c r="T25" s="1849"/>
      <c r="U25" s="1850"/>
      <c r="V25" s="1848"/>
      <c r="W25" s="1849"/>
      <c r="X25" s="1849"/>
      <c r="Y25" s="1849"/>
      <c r="Z25" s="1849"/>
      <c r="AA25" s="1850"/>
      <c r="AB25" s="1848"/>
      <c r="AC25" s="1849"/>
      <c r="AD25" s="1849"/>
      <c r="AE25" s="1849"/>
      <c r="AF25" s="1849"/>
      <c r="AG25" s="1850"/>
      <c r="AH25" s="1848"/>
      <c r="AI25" s="1849"/>
      <c r="AJ25" s="1849"/>
      <c r="AK25" s="1849"/>
      <c r="AL25" s="1849"/>
      <c r="AM25" s="1850"/>
      <c r="AN25" s="1848"/>
      <c r="AO25" s="1849"/>
      <c r="AP25" s="1849"/>
      <c r="AQ25" s="1849"/>
      <c r="AR25" s="1849"/>
      <c r="AS25" s="1850"/>
      <c r="AT25" s="1845">
        <f t="shared" si="1"/>
        <v>0</v>
      </c>
      <c r="AU25" s="1846"/>
      <c r="AV25" s="1846"/>
      <c r="AW25" s="1846"/>
      <c r="AX25" s="1846"/>
      <c r="AY25" s="1847"/>
      <c r="AZ25" s="1097"/>
      <c r="BA25" s="1097"/>
      <c r="BB25" s="1097"/>
      <c r="BC25" s="1097"/>
      <c r="BD25" s="1097"/>
      <c r="BE25" s="1101"/>
    </row>
    <row r="26" spans="1:58" ht="15">
      <c r="A26" s="1097"/>
      <c r="B26" s="1839">
        <v>1</v>
      </c>
      <c r="C26" s="1840"/>
      <c r="D26" s="1840"/>
      <c r="E26" s="1840"/>
      <c r="F26" s="1840"/>
      <c r="G26" s="1840"/>
      <c r="H26" s="1840"/>
      <c r="I26" s="1841"/>
      <c r="J26" s="1848"/>
      <c r="K26" s="1849"/>
      <c r="L26" s="1849"/>
      <c r="M26" s="1849"/>
      <c r="N26" s="1849"/>
      <c r="O26" s="1850"/>
      <c r="P26" s="1848"/>
      <c r="Q26" s="1849"/>
      <c r="R26" s="1849"/>
      <c r="S26" s="1849"/>
      <c r="T26" s="1849"/>
      <c r="U26" s="1850"/>
      <c r="V26" s="1848"/>
      <c r="W26" s="1849"/>
      <c r="X26" s="1849"/>
      <c r="Y26" s="1849"/>
      <c r="Z26" s="1849"/>
      <c r="AA26" s="1850"/>
      <c r="AB26" s="1848"/>
      <c r="AC26" s="1849"/>
      <c r="AD26" s="1849"/>
      <c r="AE26" s="1849"/>
      <c r="AF26" s="1849"/>
      <c r="AG26" s="1850"/>
      <c r="AH26" s="1848"/>
      <c r="AI26" s="1849"/>
      <c r="AJ26" s="1849"/>
      <c r="AK26" s="1849"/>
      <c r="AL26" s="1849"/>
      <c r="AM26" s="1850"/>
      <c r="AN26" s="1848"/>
      <c r="AO26" s="1849"/>
      <c r="AP26" s="1849"/>
      <c r="AQ26" s="1849"/>
      <c r="AR26" s="1849"/>
      <c r="AS26" s="1850"/>
      <c r="AT26" s="1845">
        <f t="shared" si="1"/>
        <v>0</v>
      </c>
      <c r="AU26" s="1846"/>
      <c r="AV26" s="1846"/>
      <c r="AW26" s="1846"/>
      <c r="AX26" s="1846"/>
      <c r="AY26" s="1847"/>
      <c r="AZ26" s="1097"/>
      <c r="BA26" s="1097"/>
      <c r="BB26" s="1097"/>
      <c r="BC26" s="1097"/>
      <c r="BD26" s="1097"/>
      <c r="BE26" s="1101"/>
    </row>
    <row r="27" spans="1:58" ht="15">
      <c r="A27" s="1097"/>
      <c r="B27" s="1839">
        <v>1.2</v>
      </c>
      <c r="C27" s="1840"/>
      <c r="D27" s="1840"/>
      <c r="E27" s="1840"/>
      <c r="F27" s="1840"/>
      <c r="G27" s="1840"/>
      <c r="H27" s="1840"/>
      <c r="I27" s="1841"/>
      <c r="J27" s="1848"/>
      <c r="K27" s="1849"/>
      <c r="L27" s="1849"/>
      <c r="M27" s="1849"/>
      <c r="N27" s="1849"/>
      <c r="O27" s="1850"/>
      <c r="P27" s="1848"/>
      <c r="Q27" s="1849"/>
      <c r="R27" s="1849"/>
      <c r="S27" s="1849"/>
      <c r="T27" s="1849"/>
      <c r="U27" s="1850"/>
      <c r="V27" s="1848"/>
      <c r="W27" s="1849"/>
      <c r="X27" s="1849"/>
      <c r="Y27" s="1849"/>
      <c r="Z27" s="1849"/>
      <c r="AA27" s="1850"/>
      <c r="AB27" s="1848"/>
      <c r="AC27" s="1849"/>
      <c r="AD27" s="1849"/>
      <c r="AE27" s="1849"/>
      <c r="AF27" s="1849"/>
      <c r="AG27" s="1850"/>
      <c r="AH27" s="1848"/>
      <c r="AI27" s="1849"/>
      <c r="AJ27" s="1849"/>
      <c r="AK27" s="1849"/>
      <c r="AL27" s="1849"/>
      <c r="AM27" s="1850"/>
      <c r="AN27" s="1848"/>
      <c r="AO27" s="1849"/>
      <c r="AP27" s="1849"/>
      <c r="AQ27" s="1849"/>
      <c r="AR27" s="1849"/>
      <c r="AS27" s="1850"/>
      <c r="AT27" s="1845">
        <f t="shared" si="1"/>
        <v>0</v>
      </c>
      <c r="AU27" s="1846"/>
      <c r="AV27" s="1846"/>
      <c r="AW27" s="1846"/>
      <c r="AX27" s="1846"/>
      <c r="AY27" s="1847"/>
      <c r="AZ27" s="1097"/>
      <c r="BA27" s="1097"/>
      <c r="BB27" s="1097"/>
      <c r="BC27" s="1097"/>
      <c r="BD27" s="1097"/>
      <c r="BE27" s="1101"/>
    </row>
    <row r="28" spans="1:58" thickBot="1">
      <c r="A28" s="1097"/>
      <c r="B28" s="1851" t="s">
        <v>1923</v>
      </c>
      <c r="C28" s="1852"/>
      <c r="D28" s="1852"/>
      <c r="E28" s="1852"/>
      <c r="F28" s="1852"/>
      <c r="G28" s="1852"/>
      <c r="H28" s="1852"/>
      <c r="I28" s="1853"/>
      <c r="J28" s="1854">
        <f>SUM(P28:AS28)</f>
        <v>1</v>
      </c>
      <c r="K28" s="1855"/>
      <c r="L28" s="1855"/>
      <c r="M28" s="1855"/>
      <c r="N28" s="1855"/>
      <c r="O28" s="1856"/>
      <c r="P28" s="1854">
        <f>_xlfn.IFNA(VLOOKUP(P$18,Application!$J$781:$S$784,6,FALSE), 0)</f>
        <v>0</v>
      </c>
      <c r="Q28" s="1855"/>
      <c r="R28" s="1855"/>
      <c r="S28" s="1855"/>
      <c r="T28" s="1855"/>
      <c r="U28" s="1856"/>
      <c r="V28" s="1854">
        <f>_xlfn.IFNA(VLOOKUP(V$18,Application!$J$781:$S$784,6,FALSE), 0)</f>
        <v>0</v>
      </c>
      <c r="W28" s="1855"/>
      <c r="X28" s="1855"/>
      <c r="Y28" s="1855"/>
      <c r="Z28" s="1855"/>
      <c r="AA28" s="1856"/>
      <c r="AB28" s="1854">
        <f>_xlfn.IFNA(VLOOKUP(AB$18,Application!$J$781:$S$784,6,FALSE), 0)</f>
        <v>1</v>
      </c>
      <c r="AC28" s="1855"/>
      <c r="AD28" s="1855"/>
      <c r="AE28" s="1855"/>
      <c r="AF28" s="1855"/>
      <c r="AG28" s="1856"/>
      <c r="AH28" s="1854">
        <f>_xlfn.IFNA(VLOOKUP(AH$18,Application!$J$781:$S$784,6,FALSE), 0)</f>
        <v>0</v>
      </c>
      <c r="AI28" s="1855"/>
      <c r="AJ28" s="1855"/>
      <c r="AK28" s="1855"/>
      <c r="AL28" s="1855"/>
      <c r="AM28" s="1856"/>
      <c r="AN28" s="1854">
        <f>_xlfn.IFNA(VLOOKUP(AN$18,Application!$J$781:$S$784,6,FALSE), 0)</f>
        <v>0</v>
      </c>
      <c r="AO28" s="1855"/>
      <c r="AP28" s="1855"/>
      <c r="AQ28" s="1855"/>
      <c r="AR28" s="1855"/>
      <c r="AS28" s="1856"/>
      <c r="AT28" s="1857">
        <f t="shared" si="1"/>
        <v>1.1904761904761904E-2</v>
      </c>
      <c r="AU28" s="1858"/>
      <c r="AV28" s="1858"/>
      <c r="AW28" s="1858"/>
      <c r="AX28" s="1858"/>
      <c r="AY28" s="1859"/>
      <c r="AZ28" s="1097"/>
      <c r="BA28" s="1097"/>
      <c r="BB28" s="1097"/>
      <c r="BC28" s="1097"/>
      <c r="BD28" s="1097"/>
      <c r="BE28" s="1101"/>
    </row>
    <row r="29" spans="1:58" thickBot="1">
      <c r="A29" s="1097"/>
      <c r="B29" s="1888" t="s">
        <v>1921</v>
      </c>
      <c r="C29" s="1861"/>
      <c r="D29" s="1861"/>
      <c r="E29" s="1861"/>
      <c r="F29" s="1861"/>
      <c r="G29" s="1861"/>
      <c r="H29" s="1861"/>
      <c r="I29" s="1862"/>
      <c r="J29" s="1860">
        <f>SUM(J19:O28)</f>
        <v>84</v>
      </c>
      <c r="K29" s="1861"/>
      <c r="L29" s="1861"/>
      <c r="M29" s="1861"/>
      <c r="N29" s="1861"/>
      <c r="O29" s="1862"/>
      <c r="P29" s="1860">
        <f>SUM(P19:U28)</f>
        <v>0</v>
      </c>
      <c r="Q29" s="1861"/>
      <c r="R29" s="1861"/>
      <c r="S29" s="1861"/>
      <c r="T29" s="1861"/>
      <c r="U29" s="1862"/>
      <c r="V29" s="1860">
        <f>SUM(V19:AA28)</f>
        <v>70</v>
      </c>
      <c r="W29" s="1861"/>
      <c r="X29" s="1861"/>
      <c r="Y29" s="1861"/>
      <c r="Z29" s="1861"/>
      <c r="AA29" s="1862"/>
      <c r="AB29" s="1860">
        <f>SUM(AB19:AG28)</f>
        <v>14</v>
      </c>
      <c r="AC29" s="1861"/>
      <c r="AD29" s="1861"/>
      <c r="AE29" s="1861"/>
      <c r="AF29" s="1861"/>
      <c r="AG29" s="1862"/>
      <c r="AH29" s="1860">
        <f>SUM(AH19:AM28)</f>
        <v>0</v>
      </c>
      <c r="AI29" s="1861"/>
      <c r="AJ29" s="1861"/>
      <c r="AK29" s="1861"/>
      <c r="AL29" s="1861"/>
      <c r="AM29" s="1862"/>
      <c r="AN29" s="1860">
        <f>SUM(AN19:AS28)</f>
        <v>0</v>
      </c>
      <c r="AO29" s="1861"/>
      <c r="AP29" s="1861"/>
      <c r="AQ29" s="1861"/>
      <c r="AR29" s="1861"/>
      <c r="AS29" s="1862"/>
      <c r="AT29" s="1863">
        <f t="shared" si="1"/>
        <v>1</v>
      </c>
      <c r="AU29" s="1864"/>
      <c r="AV29" s="1864"/>
      <c r="AW29" s="1864"/>
      <c r="AX29" s="1864"/>
      <c r="AY29" s="1865"/>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66" t="s">
        <v>1924</v>
      </c>
      <c r="C31" s="1867"/>
      <c r="D31" s="1867"/>
      <c r="E31" s="1867"/>
      <c r="F31" s="1867"/>
      <c r="G31" s="1867"/>
      <c r="H31" s="1867"/>
      <c r="I31" s="1867"/>
      <c r="J31" s="1867"/>
      <c r="K31" s="1867"/>
      <c r="L31" s="186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67"/>
      <c r="AO31" s="1867"/>
      <c r="AP31" s="1867"/>
      <c r="AQ31" s="1867"/>
      <c r="AR31" s="1867"/>
      <c r="AS31" s="1867"/>
      <c r="AT31" s="1867"/>
      <c r="AU31" s="1867"/>
      <c r="AV31" s="1867"/>
      <c r="AW31" s="1867"/>
      <c r="AX31" s="1867"/>
      <c r="AY31" s="1867"/>
      <c r="AZ31" s="1867"/>
      <c r="BA31" s="1867"/>
      <c r="BB31" s="1867"/>
      <c r="BC31" s="1867"/>
      <c r="BD31" s="1868"/>
      <c r="BE31" s="1101"/>
    </row>
    <row r="32" spans="1:58" thickBot="1">
      <c r="A32" s="1097"/>
      <c r="B32" s="1869" t="s">
        <v>1925</v>
      </c>
      <c r="C32" s="1870"/>
      <c r="D32" s="1870"/>
      <c r="E32" s="1870"/>
      <c r="F32" s="1870"/>
      <c r="G32" s="1870"/>
      <c r="H32" s="1870"/>
      <c r="I32" s="1870"/>
      <c r="J32" s="1873" t="s">
        <v>1926</v>
      </c>
      <c r="K32" s="1874"/>
      <c r="L32" s="1874"/>
      <c r="M32" s="1874"/>
      <c r="N32" s="1873" t="s">
        <v>1927</v>
      </c>
      <c r="O32" s="1874"/>
      <c r="P32" s="1874"/>
      <c r="Q32" s="1876"/>
      <c r="R32" s="1878" t="s">
        <v>1928</v>
      </c>
      <c r="S32" s="1879"/>
      <c r="T32" s="1879"/>
      <c r="U32" s="1879"/>
      <c r="V32" s="1879"/>
      <c r="W32" s="1879"/>
      <c r="X32" s="1879"/>
      <c r="Y32" s="1879"/>
      <c r="Z32" s="1879"/>
      <c r="AA32" s="1879"/>
      <c r="AB32" s="1879"/>
      <c r="AC32" s="1879"/>
      <c r="AD32" s="1879"/>
      <c r="AE32" s="1879"/>
      <c r="AF32" s="1879"/>
      <c r="AG32" s="1879"/>
      <c r="AH32" s="1879"/>
      <c r="AI32" s="1879"/>
      <c r="AJ32" s="1879"/>
      <c r="AK32" s="1879"/>
      <c r="AL32" s="1879"/>
      <c r="AM32" s="1879"/>
      <c r="AN32" s="1879"/>
      <c r="AO32" s="1879"/>
      <c r="AP32" s="1879"/>
      <c r="AQ32" s="1879"/>
      <c r="AR32" s="1879"/>
      <c r="AS32" s="1879"/>
      <c r="AT32" s="1879"/>
      <c r="AU32" s="1879"/>
      <c r="AV32" s="1879"/>
      <c r="AW32" s="1879"/>
      <c r="AX32" s="1879"/>
      <c r="AY32" s="1879"/>
      <c r="AZ32" s="1879"/>
      <c r="BA32" s="1879"/>
      <c r="BB32" s="1879"/>
      <c r="BC32" s="1879"/>
      <c r="BD32" s="1880"/>
      <c r="BE32" s="1101"/>
    </row>
    <row r="33" spans="1:58" ht="15" customHeight="1">
      <c r="A33" s="1097"/>
      <c r="B33" s="1871"/>
      <c r="C33" s="1872"/>
      <c r="D33" s="1872"/>
      <c r="E33" s="1872"/>
      <c r="F33" s="1872"/>
      <c r="G33" s="1872"/>
      <c r="H33" s="1872"/>
      <c r="I33" s="1872"/>
      <c r="J33" s="1875"/>
      <c r="K33" s="1875"/>
      <c r="L33" s="1875"/>
      <c r="M33" s="1875"/>
      <c r="N33" s="1875"/>
      <c r="O33" s="1875"/>
      <c r="P33" s="1875"/>
      <c r="Q33" s="1877"/>
      <c r="R33" s="1881" t="s">
        <v>1929</v>
      </c>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82"/>
      <c r="AO33" s="1882"/>
      <c r="AP33" s="1882"/>
      <c r="AQ33" s="1882"/>
      <c r="AR33" s="1882"/>
      <c r="AS33" s="1882"/>
      <c r="AT33" s="1882"/>
      <c r="AU33" s="1882"/>
      <c r="AV33" s="1882"/>
      <c r="AW33" s="1882"/>
      <c r="AX33" s="1882"/>
      <c r="AY33" s="1882"/>
      <c r="AZ33" s="1882"/>
      <c r="BA33" s="1882"/>
      <c r="BB33" s="1882"/>
      <c r="BC33" s="1882"/>
      <c r="BD33" s="1883"/>
      <c r="BE33" s="1101"/>
    </row>
    <row r="34" spans="1:58" ht="15.75" customHeight="1" thickBot="1">
      <c r="A34" s="1097"/>
      <c r="B34" s="1871"/>
      <c r="C34" s="1872"/>
      <c r="D34" s="1872"/>
      <c r="E34" s="1872"/>
      <c r="F34" s="1872"/>
      <c r="G34" s="1872"/>
      <c r="H34" s="1872"/>
      <c r="I34" s="1872"/>
      <c r="J34" s="1875"/>
      <c r="K34" s="1875"/>
      <c r="L34" s="1875"/>
      <c r="M34" s="1875"/>
      <c r="N34" s="1875"/>
      <c r="O34" s="1875"/>
      <c r="P34" s="1875"/>
      <c r="Q34" s="1877"/>
      <c r="R34" s="1884"/>
      <c r="S34" s="1885"/>
      <c r="T34" s="1885"/>
      <c r="U34" s="1885"/>
      <c r="V34" s="1885"/>
      <c r="W34" s="1885"/>
      <c r="X34" s="1885"/>
      <c r="Y34" s="1885"/>
      <c r="Z34" s="1885"/>
      <c r="AA34" s="1885"/>
      <c r="AB34" s="1885"/>
      <c r="AC34" s="1885"/>
      <c r="AD34" s="1885"/>
      <c r="AE34" s="1885"/>
      <c r="AF34" s="1885"/>
      <c r="AG34" s="1885"/>
      <c r="AH34" s="1885"/>
      <c r="AI34" s="1885"/>
      <c r="AJ34" s="1885"/>
      <c r="AK34" s="1885"/>
      <c r="AL34" s="1885"/>
      <c r="AM34" s="1885"/>
      <c r="AN34" s="1885"/>
      <c r="AO34" s="1885"/>
      <c r="AP34" s="1885"/>
      <c r="AQ34" s="1885"/>
      <c r="AR34" s="1885"/>
      <c r="AS34" s="1885"/>
      <c r="AT34" s="1885"/>
      <c r="AU34" s="1885"/>
      <c r="AV34" s="1885"/>
      <c r="AW34" s="1885"/>
      <c r="AX34" s="1885"/>
      <c r="AY34" s="1885"/>
      <c r="AZ34" s="1885"/>
      <c r="BA34" s="1885"/>
      <c r="BB34" s="1885"/>
      <c r="BC34" s="1885"/>
      <c r="BD34" s="1886"/>
      <c r="BE34" s="1101"/>
    </row>
    <row r="35" spans="1:58" ht="15.75" customHeight="1">
      <c r="A35" s="1097"/>
      <c r="B35" s="1871"/>
      <c r="C35" s="1872"/>
      <c r="D35" s="1872"/>
      <c r="E35" s="1872"/>
      <c r="F35" s="1872"/>
      <c r="G35" s="1872"/>
      <c r="H35" s="1872"/>
      <c r="I35" s="1872"/>
      <c r="J35" s="1875"/>
      <c r="K35" s="1875"/>
      <c r="L35" s="1875"/>
      <c r="M35" s="1875"/>
      <c r="N35" s="1875"/>
      <c r="O35" s="1875"/>
      <c r="P35" s="1875"/>
      <c r="Q35" s="1875"/>
      <c r="R35" s="1887">
        <v>0.3</v>
      </c>
      <c r="S35" s="1887"/>
      <c r="T35" s="1887"/>
      <c r="U35" s="1887"/>
      <c r="V35" s="1887">
        <v>0.4</v>
      </c>
      <c r="W35" s="1887"/>
      <c r="X35" s="1887"/>
      <c r="Y35" s="1887"/>
      <c r="Z35" s="1887">
        <v>0.5</v>
      </c>
      <c r="AA35" s="1887"/>
      <c r="AB35" s="1887"/>
      <c r="AC35" s="1887"/>
      <c r="AD35" s="1887">
        <v>0.6</v>
      </c>
      <c r="AE35" s="1887"/>
      <c r="AF35" s="1887"/>
      <c r="AG35" s="1887"/>
      <c r="AH35" s="1887">
        <v>0.7</v>
      </c>
      <c r="AI35" s="1887"/>
      <c r="AJ35" s="1887"/>
      <c r="AK35" s="1887"/>
      <c r="AL35" s="1892">
        <v>0.8</v>
      </c>
      <c r="AM35" s="1893"/>
      <c r="AN35" s="1893"/>
      <c r="AO35" s="1894"/>
      <c r="AP35" s="1895">
        <v>1.2</v>
      </c>
      <c r="AQ35" s="1896"/>
      <c r="AR35" s="1897"/>
      <c r="AS35" s="1889" t="s">
        <v>1930</v>
      </c>
      <c r="AT35" s="1890"/>
      <c r="AU35" s="1890"/>
      <c r="AV35" s="1890"/>
      <c r="AW35" s="1890"/>
      <c r="AX35" s="1898"/>
      <c r="AY35" s="1889" t="s">
        <v>1931</v>
      </c>
      <c r="AZ35" s="1890"/>
      <c r="BA35" s="1890"/>
      <c r="BB35" s="1890"/>
      <c r="BC35" s="1890"/>
      <c r="BD35" s="1891"/>
      <c r="BE35" s="1101"/>
    </row>
    <row r="36" spans="1:58" ht="15.75" customHeight="1">
      <c r="A36" s="1097"/>
      <c r="B36" s="1908" t="s">
        <v>1932</v>
      </c>
      <c r="C36" s="1909"/>
      <c r="D36" s="1909"/>
      <c r="E36" s="1909"/>
      <c r="F36" s="1909"/>
      <c r="G36" s="1909"/>
      <c r="H36" s="1909"/>
      <c r="I36" s="1909"/>
      <c r="J36" s="1910" t="s">
        <v>1933</v>
      </c>
      <c r="K36" s="1910"/>
      <c r="L36" s="1910"/>
      <c r="M36" s="1910"/>
      <c r="N36" s="1910">
        <v>55</v>
      </c>
      <c r="O36" s="1910"/>
      <c r="P36" s="1910"/>
      <c r="Q36" s="1910"/>
      <c r="R36" s="1911"/>
      <c r="S36" s="1911"/>
      <c r="T36" s="1911"/>
      <c r="U36" s="1911"/>
      <c r="V36" s="1911"/>
      <c r="W36" s="1911"/>
      <c r="X36" s="1911"/>
      <c r="Y36" s="1911"/>
      <c r="Z36" s="1911"/>
      <c r="AA36" s="1911"/>
      <c r="AB36" s="1911"/>
      <c r="AC36" s="1911"/>
      <c r="AD36" s="1911"/>
      <c r="AE36" s="1911"/>
      <c r="AF36" s="1911"/>
      <c r="AG36" s="1911"/>
      <c r="AH36" s="1911"/>
      <c r="AI36" s="1911"/>
      <c r="AJ36" s="1911"/>
      <c r="AK36" s="1911"/>
      <c r="AL36" s="1899"/>
      <c r="AM36" s="1900"/>
      <c r="AN36" s="1900"/>
      <c r="AO36" s="1901"/>
      <c r="AP36" s="1899"/>
      <c r="AQ36" s="1900"/>
      <c r="AR36" s="1901"/>
      <c r="AS36" s="1902">
        <f t="shared" ref="AS36:AS47" si="2">SUM(R36:AR36)</f>
        <v>0</v>
      </c>
      <c r="AT36" s="1903"/>
      <c r="AU36" s="1903"/>
      <c r="AV36" s="1903"/>
      <c r="AW36" s="1903"/>
      <c r="AX36" s="1904"/>
      <c r="AY36" s="1905">
        <f t="shared" ref="AY36:AY47" si="3">AS36/$J$29</f>
        <v>0</v>
      </c>
      <c r="AZ36" s="1906"/>
      <c r="BA36" s="1906"/>
      <c r="BB36" s="1906"/>
      <c r="BC36" s="1906"/>
      <c r="BD36" s="1907"/>
      <c r="BE36" s="1101"/>
    </row>
    <row r="37" spans="1:58" ht="15.75" customHeight="1">
      <c r="A37" s="1097"/>
      <c r="B37" s="1908" t="s">
        <v>1934</v>
      </c>
      <c r="C37" s="1909"/>
      <c r="D37" s="1909"/>
      <c r="E37" s="1909"/>
      <c r="F37" s="1909"/>
      <c r="G37" s="1909"/>
      <c r="H37" s="1909"/>
      <c r="I37" s="1909"/>
      <c r="J37" s="1910" t="s">
        <v>1935</v>
      </c>
      <c r="K37" s="1910"/>
      <c r="L37" s="1910"/>
      <c r="M37" s="1910"/>
      <c r="N37" s="1910">
        <v>55</v>
      </c>
      <c r="O37" s="1910"/>
      <c r="P37" s="1910"/>
      <c r="Q37" s="1910"/>
      <c r="R37" s="1911"/>
      <c r="S37" s="1911"/>
      <c r="T37" s="1911"/>
      <c r="U37" s="1911"/>
      <c r="V37" s="1911"/>
      <c r="W37" s="1911"/>
      <c r="X37" s="1911"/>
      <c r="Y37" s="1911"/>
      <c r="Z37" s="1911"/>
      <c r="AA37" s="1911"/>
      <c r="AB37" s="1911"/>
      <c r="AC37" s="1911"/>
      <c r="AD37" s="1911"/>
      <c r="AE37" s="1911"/>
      <c r="AF37" s="1911"/>
      <c r="AG37" s="1911"/>
      <c r="AH37" s="1911"/>
      <c r="AI37" s="1911"/>
      <c r="AJ37" s="1911"/>
      <c r="AK37" s="1911"/>
      <c r="AL37" s="1899"/>
      <c r="AM37" s="1900"/>
      <c r="AN37" s="1900"/>
      <c r="AO37" s="1901"/>
      <c r="AP37" s="1899"/>
      <c r="AQ37" s="1900"/>
      <c r="AR37" s="1901"/>
      <c r="AS37" s="1902">
        <f t="shared" si="2"/>
        <v>0</v>
      </c>
      <c r="AT37" s="1903"/>
      <c r="AU37" s="1903"/>
      <c r="AV37" s="1903"/>
      <c r="AW37" s="1903"/>
      <c r="AX37" s="1904"/>
      <c r="AY37" s="1905">
        <f t="shared" si="3"/>
        <v>0</v>
      </c>
      <c r="AZ37" s="1906"/>
      <c r="BA37" s="1906"/>
      <c r="BB37" s="1906"/>
      <c r="BC37" s="1906"/>
      <c r="BD37" s="1907"/>
      <c r="BE37" s="1101"/>
    </row>
    <row r="38" spans="1:58" ht="15.75" customHeight="1">
      <c r="A38" s="1097"/>
      <c r="B38" s="1908" t="s">
        <v>1936</v>
      </c>
      <c r="C38" s="1909"/>
      <c r="D38" s="1909"/>
      <c r="E38" s="1909"/>
      <c r="F38" s="1909"/>
      <c r="G38" s="1909"/>
      <c r="H38" s="1909"/>
      <c r="I38" s="1909"/>
      <c r="J38" s="1910" t="s">
        <v>1937</v>
      </c>
      <c r="K38" s="1910"/>
      <c r="L38" s="1910"/>
      <c r="M38" s="1910"/>
      <c r="N38" s="1910">
        <v>55</v>
      </c>
      <c r="O38" s="1910"/>
      <c r="P38" s="1910"/>
      <c r="Q38" s="1910"/>
      <c r="R38" s="1911"/>
      <c r="S38" s="1911"/>
      <c r="T38" s="1911"/>
      <c r="U38" s="1911"/>
      <c r="V38" s="1911"/>
      <c r="W38" s="1911"/>
      <c r="X38" s="1911"/>
      <c r="Y38" s="1911"/>
      <c r="Z38" s="1911"/>
      <c r="AA38" s="1911"/>
      <c r="AB38" s="1911"/>
      <c r="AC38" s="1911"/>
      <c r="AD38" s="1911"/>
      <c r="AE38" s="1911"/>
      <c r="AF38" s="1911"/>
      <c r="AG38" s="1911"/>
      <c r="AH38" s="1911"/>
      <c r="AI38" s="1911"/>
      <c r="AJ38" s="1911"/>
      <c r="AK38" s="1911"/>
      <c r="AL38" s="1899"/>
      <c r="AM38" s="1900"/>
      <c r="AN38" s="1900"/>
      <c r="AO38" s="1901"/>
      <c r="AP38" s="1899"/>
      <c r="AQ38" s="1900"/>
      <c r="AR38" s="1901"/>
      <c r="AS38" s="1902">
        <f t="shared" si="2"/>
        <v>0</v>
      </c>
      <c r="AT38" s="1903"/>
      <c r="AU38" s="1903"/>
      <c r="AV38" s="1903"/>
      <c r="AW38" s="1903"/>
      <c r="AX38" s="1904"/>
      <c r="AY38" s="1905">
        <f t="shared" si="3"/>
        <v>0</v>
      </c>
      <c r="AZ38" s="1906"/>
      <c r="BA38" s="1906"/>
      <c r="BB38" s="1906"/>
      <c r="BC38" s="1906"/>
      <c r="BD38" s="1907"/>
      <c r="BE38" s="1101"/>
    </row>
    <row r="39" spans="1:58" ht="15.75" customHeight="1">
      <c r="A39" s="1097"/>
      <c r="B39" s="1908" t="s">
        <v>1938</v>
      </c>
      <c r="C39" s="1909"/>
      <c r="D39" s="1909"/>
      <c r="E39" s="1909"/>
      <c r="F39" s="1909"/>
      <c r="G39" s="1909"/>
      <c r="H39" s="1909"/>
      <c r="I39" s="1909"/>
      <c r="J39" s="1910"/>
      <c r="K39" s="1910"/>
      <c r="L39" s="1910"/>
      <c r="M39" s="1910"/>
      <c r="N39" s="1910"/>
      <c r="O39" s="1910"/>
      <c r="P39" s="1910"/>
      <c r="Q39" s="1910"/>
      <c r="R39" s="1911"/>
      <c r="S39" s="1911"/>
      <c r="T39" s="1911"/>
      <c r="U39" s="1911"/>
      <c r="V39" s="1911"/>
      <c r="W39" s="1911"/>
      <c r="X39" s="1911"/>
      <c r="Y39" s="1911"/>
      <c r="Z39" s="1911"/>
      <c r="AA39" s="1911"/>
      <c r="AB39" s="1911"/>
      <c r="AC39" s="1911"/>
      <c r="AD39" s="1911"/>
      <c r="AE39" s="1911"/>
      <c r="AF39" s="1911"/>
      <c r="AG39" s="1911"/>
      <c r="AH39" s="1911"/>
      <c r="AI39" s="1911"/>
      <c r="AJ39" s="1911"/>
      <c r="AK39" s="1911"/>
      <c r="AL39" s="1899"/>
      <c r="AM39" s="1900"/>
      <c r="AN39" s="1900"/>
      <c r="AO39" s="1901"/>
      <c r="AP39" s="1899"/>
      <c r="AQ39" s="1900"/>
      <c r="AR39" s="1901"/>
      <c r="AS39" s="1902">
        <f t="shared" si="2"/>
        <v>0</v>
      </c>
      <c r="AT39" s="1903"/>
      <c r="AU39" s="1903"/>
      <c r="AV39" s="1903"/>
      <c r="AW39" s="1903"/>
      <c r="AX39" s="1904"/>
      <c r="AY39" s="1905">
        <f t="shared" si="3"/>
        <v>0</v>
      </c>
      <c r="AZ39" s="1906"/>
      <c r="BA39" s="1906"/>
      <c r="BB39" s="1906"/>
      <c r="BC39" s="1906"/>
      <c r="BD39" s="1907"/>
      <c r="BE39" s="1101"/>
    </row>
    <row r="40" spans="1:58" ht="15.75" customHeight="1">
      <c r="A40" s="1097"/>
      <c r="B40" s="1908" t="s">
        <v>1938</v>
      </c>
      <c r="C40" s="1909"/>
      <c r="D40" s="1909"/>
      <c r="E40" s="1909"/>
      <c r="F40" s="1909"/>
      <c r="G40" s="1909"/>
      <c r="H40" s="1909"/>
      <c r="I40" s="1909"/>
      <c r="J40" s="1910"/>
      <c r="K40" s="1910"/>
      <c r="L40" s="1910"/>
      <c r="M40" s="1910"/>
      <c r="N40" s="1910"/>
      <c r="O40" s="1910"/>
      <c r="P40" s="1910"/>
      <c r="Q40" s="1910"/>
      <c r="R40" s="1911"/>
      <c r="S40" s="1911"/>
      <c r="T40" s="1911"/>
      <c r="U40" s="1911"/>
      <c r="V40" s="1911"/>
      <c r="W40" s="1911"/>
      <c r="X40" s="1911"/>
      <c r="Y40" s="1911"/>
      <c r="Z40" s="1911"/>
      <c r="AA40" s="1911"/>
      <c r="AB40" s="1911"/>
      <c r="AC40" s="1911"/>
      <c r="AD40" s="1911"/>
      <c r="AE40" s="1911"/>
      <c r="AF40" s="1911"/>
      <c r="AG40" s="1911"/>
      <c r="AH40" s="1911"/>
      <c r="AI40" s="1911"/>
      <c r="AJ40" s="1911"/>
      <c r="AK40" s="1911"/>
      <c r="AL40" s="1899"/>
      <c r="AM40" s="1900"/>
      <c r="AN40" s="1900"/>
      <c r="AO40" s="1901"/>
      <c r="AP40" s="1899"/>
      <c r="AQ40" s="1900"/>
      <c r="AR40" s="1901"/>
      <c r="AS40" s="1902">
        <f t="shared" si="2"/>
        <v>0</v>
      </c>
      <c r="AT40" s="1903"/>
      <c r="AU40" s="1903"/>
      <c r="AV40" s="1903"/>
      <c r="AW40" s="1903"/>
      <c r="AX40" s="1904"/>
      <c r="AY40" s="1905">
        <f t="shared" si="3"/>
        <v>0</v>
      </c>
      <c r="AZ40" s="1906"/>
      <c r="BA40" s="1906"/>
      <c r="BB40" s="1906"/>
      <c r="BC40" s="1906"/>
      <c r="BD40" s="1907"/>
      <c r="BE40" s="1101"/>
    </row>
    <row r="41" spans="1:58" ht="15.75" customHeight="1">
      <c r="A41" s="1097"/>
      <c r="B41" s="1908" t="s">
        <v>1939</v>
      </c>
      <c r="C41" s="1909"/>
      <c r="D41" s="1909"/>
      <c r="E41" s="1909"/>
      <c r="F41" s="1909"/>
      <c r="G41" s="1909"/>
      <c r="H41" s="1909"/>
      <c r="I41" s="1909"/>
      <c r="J41" s="1910"/>
      <c r="K41" s="1910"/>
      <c r="L41" s="1910"/>
      <c r="M41" s="1910"/>
      <c r="N41" s="1910"/>
      <c r="O41" s="1910"/>
      <c r="P41" s="1910"/>
      <c r="Q41" s="1910"/>
      <c r="R41" s="1911"/>
      <c r="S41" s="1911"/>
      <c r="T41" s="1911"/>
      <c r="U41" s="1911"/>
      <c r="V41" s="1911"/>
      <c r="W41" s="1911"/>
      <c r="X41" s="1911"/>
      <c r="Y41" s="1911"/>
      <c r="Z41" s="1911"/>
      <c r="AA41" s="1911"/>
      <c r="AB41" s="1911"/>
      <c r="AC41" s="1911"/>
      <c r="AD41" s="1911"/>
      <c r="AE41" s="1911"/>
      <c r="AF41" s="1911"/>
      <c r="AG41" s="1911"/>
      <c r="AH41" s="1911"/>
      <c r="AI41" s="1911"/>
      <c r="AJ41" s="1911"/>
      <c r="AK41" s="1911"/>
      <c r="AL41" s="1899"/>
      <c r="AM41" s="1900"/>
      <c r="AN41" s="1900"/>
      <c r="AO41" s="1901"/>
      <c r="AP41" s="1899"/>
      <c r="AQ41" s="1900"/>
      <c r="AR41" s="1901"/>
      <c r="AS41" s="1902">
        <f t="shared" si="2"/>
        <v>0</v>
      </c>
      <c r="AT41" s="1903"/>
      <c r="AU41" s="1903"/>
      <c r="AV41" s="1903"/>
      <c r="AW41" s="1903"/>
      <c r="AX41" s="1904"/>
      <c r="AY41" s="1905">
        <f t="shared" si="3"/>
        <v>0</v>
      </c>
      <c r="AZ41" s="1906"/>
      <c r="BA41" s="1906"/>
      <c r="BB41" s="1906"/>
      <c r="BC41" s="1906"/>
      <c r="BD41" s="1907"/>
      <c r="BE41" s="1101"/>
    </row>
    <row r="42" spans="1:58" ht="15.75" customHeight="1">
      <c r="A42" s="1097"/>
      <c r="B42" s="1908" t="s">
        <v>1939</v>
      </c>
      <c r="C42" s="1909"/>
      <c r="D42" s="1909"/>
      <c r="E42" s="1909"/>
      <c r="F42" s="1909"/>
      <c r="G42" s="1909"/>
      <c r="H42" s="1909"/>
      <c r="I42" s="1909"/>
      <c r="J42" s="1910"/>
      <c r="K42" s="1910"/>
      <c r="L42" s="1910"/>
      <c r="M42" s="1910"/>
      <c r="N42" s="1910"/>
      <c r="O42" s="1910"/>
      <c r="P42" s="1910"/>
      <c r="Q42" s="1910"/>
      <c r="R42" s="1911"/>
      <c r="S42" s="1911"/>
      <c r="T42" s="1911"/>
      <c r="U42" s="1911"/>
      <c r="V42" s="1911"/>
      <c r="W42" s="1911"/>
      <c r="X42" s="1911"/>
      <c r="Y42" s="1911"/>
      <c r="Z42" s="1911"/>
      <c r="AA42" s="1911"/>
      <c r="AB42" s="1911"/>
      <c r="AC42" s="1911"/>
      <c r="AD42" s="1911"/>
      <c r="AE42" s="1911"/>
      <c r="AF42" s="1911"/>
      <c r="AG42" s="1911"/>
      <c r="AH42" s="1911"/>
      <c r="AI42" s="1911"/>
      <c r="AJ42" s="1911"/>
      <c r="AK42" s="1911"/>
      <c r="AL42" s="1899"/>
      <c r="AM42" s="1900"/>
      <c r="AN42" s="1900"/>
      <c r="AO42" s="1901"/>
      <c r="AP42" s="1899"/>
      <c r="AQ42" s="1900"/>
      <c r="AR42" s="1901"/>
      <c r="AS42" s="1902">
        <f t="shared" si="2"/>
        <v>0</v>
      </c>
      <c r="AT42" s="1903"/>
      <c r="AU42" s="1903"/>
      <c r="AV42" s="1903"/>
      <c r="AW42" s="1903"/>
      <c r="AX42" s="1904"/>
      <c r="AY42" s="1905">
        <f t="shared" si="3"/>
        <v>0</v>
      </c>
      <c r="AZ42" s="1906"/>
      <c r="BA42" s="1906"/>
      <c r="BB42" s="1906"/>
      <c r="BC42" s="1906"/>
      <c r="BD42" s="1907"/>
      <c r="BE42" s="1101"/>
    </row>
    <row r="43" spans="1:58" ht="15.75" customHeight="1">
      <c r="A43" s="1097"/>
      <c r="B43" s="1912" t="s">
        <v>1940</v>
      </c>
      <c r="C43" s="1913"/>
      <c r="D43" s="1913"/>
      <c r="E43" s="1913"/>
      <c r="F43" s="1913"/>
      <c r="G43" s="1913"/>
      <c r="H43" s="1913"/>
      <c r="I43" s="1913"/>
      <c r="J43" s="1910"/>
      <c r="K43" s="1910"/>
      <c r="L43" s="1910"/>
      <c r="M43" s="1910"/>
      <c r="N43" s="1910"/>
      <c r="O43" s="1910"/>
      <c r="P43" s="1910"/>
      <c r="Q43" s="1910"/>
      <c r="R43" s="1911"/>
      <c r="S43" s="1911"/>
      <c r="T43" s="1911"/>
      <c r="U43" s="1911"/>
      <c r="V43" s="1911"/>
      <c r="W43" s="1911"/>
      <c r="X43" s="1911"/>
      <c r="Y43" s="1911"/>
      <c r="Z43" s="1911"/>
      <c r="AA43" s="1911"/>
      <c r="AB43" s="1911"/>
      <c r="AC43" s="1911"/>
      <c r="AD43" s="1911"/>
      <c r="AE43" s="1911"/>
      <c r="AF43" s="1911"/>
      <c r="AG43" s="1911"/>
      <c r="AH43" s="1911"/>
      <c r="AI43" s="1911"/>
      <c r="AJ43" s="1911"/>
      <c r="AK43" s="1911"/>
      <c r="AL43" s="1899"/>
      <c r="AM43" s="1900"/>
      <c r="AN43" s="1900"/>
      <c r="AO43" s="1901"/>
      <c r="AP43" s="1899"/>
      <c r="AQ43" s="1900"/>
      <c r="AR43" s="1901"/>
      <c r="AS43" s="1902">
        <f t="shared" si="2"/>
        <v>0</v>
      </c>
      <c r="AT43" s="1903"/>
      <c r="AU43" s="1903"/>
      <c r="AV43" s="1903"/>
      <c r="AW43" s="1903"/>
      <c r="AX43" s="1904"/>
      <c r="AY43" s="1905">
        <f t="shared" si="3"/>
        <v>0</v>
      </c>
      <c r="AZ43" s="1906"/>
      <c r="BA43" s="1906"/>
      <c r="BB43" s="1906"/>
      <c r="BC43" s="1906"/>
      <c r="BD43" s="1907"/>
      <c r="BE43" s="1101"/>
    </row>
    <row r="44" spans="1:58" ht="15.75" customHeight="1">
      <c r="A44" s="1097"/>
      <c r="B44" s="1912" t="s">
        <v>1941</v>
      </c>
      <c r="C44" s="1913"/>
      <c r="D44" s="1913"/>
      <c r="E44" s="1913"/>
      <c r="F44" s="1913"/>
      <c r="G44" s="1913"/>
      <c r="H44" s="1913"/>
      <c r="I44" s="1913"/>
      <c r="J44" s="1910"/>
      <c r="K44" s="1910"/>
      <c r="L44" s="1910"/>
      <c r="M44" s="1910"/>
      <c r="N44" s="1910"/>
      <c r="O44" s="1910"/>
      <c r="P44" s="1910"/>
      <c r="Q44" s="1910"/>
      <c r="R44" s="1911"/>
      <c r="S44" s="1911"/>
      <c r="T44" s="1911"/>
      <c r="U44" s="1911"/>
      <c r="V44" s="1911"/>
      <c r="W44" s="1911"/>
      <c r="X44" s="1911"/>
      <c r="Y44" s="1911"/>
      <c r="Z44" s="1911"/>
      <c r="AA44" s="1911"/>
      <c r="AB44" s="1911"/>
      <c r="AC44" s="1911"/>
      <c r="AD44" s="1911"/>
      <c r="AE44" s="1911"/>
      <c r="AF44" s="1911"/>
      <c r="AG44" s="1911"/>
      <c r="AH44" s="1911"/>
      <c r="AI44" s="1911"/>
      <c r="AJ44" s="1911"/>
      <c r="AK44" s="1911"/>
      <c r="AL44" s="1899"/>
      <c r="AM44" s="1900"/>
      <c r="AN44" s="1900"/>
      <c r="AO44" s="1901"/>
      <c r="AP44" s="1899"/>
      <c r="AQ44" s="1900"/>
      <c r="AR44" s="1901"/>
      <c r="AS44" s="1902">
        <f t="shared" si="2"/>
        <v>0</v>
      </c>
      <c r="AT44" s="1903"/>
      <c r="AU44" s="1903"/>
      <c r="AV44" s="1903"/>
      <c r="AW44" s="1903"/>
      <c r="AX44" s="1904"/>
      <c r="AY44" s="1905">
        <f t="shared" si="3"/>
        <v>0</v>
      </c>
      <c r="AZ44" s="1906"/>
      <c r="BA44" s="1906"/>
      <c r="BB44" s="1906"/>
      <c r="BC44" s="1906"/>
      <c r="BD44" s="1907"/>
      <c r="BE44" s="1101"/>
    </row>
    <row r="45" spans="1:58" ht="15.75" customHeight="1">
      <c r="A45" s="1097"/>
      <c r="B45" s="1912" t="s">
        <v>1942</v>
      </c>
      <c r="C45" s="1913"/>
      <c r="D45" s="1913"/>
      <c r="E45" s="1913"/>
      <c r="F45" s="1913"/>
      <c r="G45" s="1913"/>
      <c r="H45" s="1913"/>
      <c r="I45" s="1913"/>
      <c r="J45" s="1910"/>
      <c r="K45" s="1910"/>
      <c r="L45" s="1910"/>
      <c r="M45" s="1910"/>
      <c r="N45" s="1910"/>
      <c r="O45" s="1910"/>
      <c r="P45" s="1910"/>
      <c r="Q45" s="1910"/>
      <c r="R45" s="1911"/>
      <c r="S45" s="1911"/>
      <c r="T45" s="1911"/>
      <c r="U45" s="1911"/>
      <c r="V45" s="1911"/>
      <c r="W45" s="1911"/>
      <c r="X45" s="1911"/>
      <c r="Y45" s="1911"/>
      <c r="Z45" s="1911"/>
      <c r="AA45" s="1911"/>
      <c r="AB45" s="1911"/>
      <c r="AC45" s="1911"/>
      <c r="AD45" s="1911"/>
      <c r="AE45" s="1911"/>
      <c r="AF45" s="1911"/>
      <c r="AG45" s="1911"/>
      <c r="AH45" s="1911"/>
      <c r="AI45" s="1911"/>
      <c r="AJ45" s="1911"/>
      <c r="AK45" s="1911"/>
      <c r="AL45" s="1899"/>
      <c r="AM45" s="1900"/>
      <c r="AN45" s="1900"/>
      <c r="AO45" s="1901"/>
      <c r="AP45" s="1899"/>
      <c r="AQ45" s="1900"/>
      <c r="AR45" s="1901"/>
      <c r="AS45" s="1902">
        <f t="shared" si="2"/>
        <v>0</v>
      </c>
      <c r="AT45" s="1903"/>
      <c r="AU45" s="1903"/>
      <c r="AV45" s="1903"/>
      <c r="AW45" s="1903"/>
      <c r="AX45" s="1904"/>
      <c r="AY45" s="1905">
        <f t="shared" si="3"/>
        <v>0</v>
      </c>
      <c r="AZ45" s="1906"/>
      <c r="BA45" s="1906"/>
      <c r="BB45" s="1906"/>
      <c r="BC45" s="1906"/>
      <c r="BD45" s="1907"/>
      <c r="BE45" s="1101"/>
    </row>
    <row r="46" spans="1:58" ht="15.75" customHeight="1">
      <c r="A46" s="1097"/>
      <c r="B46" s="1912" t="s">
        <v>1943</v>
      </c>
      <c r="C46" s="1913"/>
      <c r="D46" s="1913"/>
      <c r="E46" s="1913"/>
      <c r="F46" s="1913"/>
      <c r="G46" s="1913"/>
      <c r="H46" s="1913"/>
      <c r="I46" s="1913"/>
      <c r="J46" s="1910"/>
      <c r="K46" s="1910"/>
      <c r="L46" s="1910"/>
      <c r="M46" s="1910"/>
      <c r="N46" s="1910">
        <v>99</v>
      </c>
      <c r="O46" s="1910"/>
      <c r="P46" s="1910"/>
      <c r="Q46" s="1910"/>
      <c r="R46" s="1911"/>
      <c r="S46" s="1911"/>
      <c r="T46" s="1911"/>
      <c r="U46" s="1911"/>
      <c r="V46" s="1911"/>
      <c r="W46" s="1911"/>
      <c r="X46" s="1911"/>
      <c r="Y46" s="1911"/>
      <c r="Z46" s="1911"/>
      <c r="AA46" s="1911"/>
      <c r="AB46" s="1911"/>
      <c r="AC46" s="1911"/>
      <c r="AD46" s="1911"/>
      <c r="AE46" s="1911"/>
      <c r="AF46" s="1911"/>
      <c r="AG46" s="1911"/>
      <c r="AH46" s="1911"/>
      <c r="AI46" s="1911"/>
      <c r="AJ46" s="1911"/>
      <c r="AK46" s="1911"/>
      <c r="AL46" s="1899"/>
      <c r="AM46" s="1900"/>
      <c r="AN46" s="1900"/>
      <c r="AO46" s="1901"/>
      <c r="AP46" s="1899"/>
      <c r="AQ46" s="1900"/>
      <c r="AR46" s="1901"/>
      <c r="AS46" s="1902">
        <f t="shared" si="2"/>
        <v>0</v>
      </c>
      <c r="AT46" s="1903"/>
      <c r="AU46" s="1903"/>
      <c r="AV46" s="1903"/>
      <c r="AW46" s="1903"/>
      <c r="AX46" s="1904"/>
      <c r="AY46" s="1905">
        <f t="shared" si="3"/>
        <v>0</v>
      </c>
      <c r="AZ46" s="1906"/>
      <c r="BA46" s="1906"/>
      <c r="BB46" s="1906"/>
      <c r="BC46" s="1906"/>
      <c r="BD46" s="1907"/>
      <c r="BE46" s="1101"/>
    </row>
    <row r="47" spans="1:58" ht="15.75" customHeight="1" thickBot="1">
      <c r="A47" s="1097"/>
      <c r="B47" s="1914" t="s">
        <v>1063</v>
      </c>
      <c r="C47" s="1915"/>
      <c r="D47" s="1915"/>
      <c r="E47" s="1915"/>
      <c r="F47" s="1915"/>
      <c r="G47" s="1915"/>
      <c r="H47" s="1915"/>
      <c r="I47" s="1915"/>
      <c r="J47" s="1916"/>
      <c r="K47" s="1916"/>
      <c r="L47" s="1916"/>
      <c r="M47" s="1916"/>
      <c r="N47" s="1916"/>
      <c r="O47" s="1916"/>
      <c r="P47" s="1916"/>
      <c r="Q47" s="1916"/>
      <c r="R47" s="1917"/>
      <c r="S47" s="1917"/>
      <c r="T47" s="1917"/>
      <c r="U47" s="1917"/>
      <c r="V47" s="1917"/>
      <c r="W47" s="1917"/>
      <c r="X47" s="1917"/>
      <c r="Y47" s="1917"/>
      <c r="Z47" s="1917"/>
      <c r="AA47" s="1917"/>
      <c r="AB47" s="1917"/>
      <c r="AC47" s="1917"/>
      <c r="AD47" s="1917"/>
      <c r="AE47" s="1917"/>
      <c r="AF47" s="1917"/>
      <c r="AG47" s="1917"/>
      <c r="AH47" s="1917"/>
      <c r="AI47" s="1917"/>
      <c r="AJ47" s="1917"/>
      <c r="AK47" s="1917"/>
      <c r="AL47" s="1921"/>
      <c r="AM47" s="1922"/>
      <c r="AN47" s="1922"/>
      <c r="AO47" s="1923"/>
      <c r="AP47" s="1921"/>
      <c r="AQ47" s="1922"/>
      <c r="AR47" s="1923"/>
      <c r="AS47" s="1902">
        <f t="shared" si="2"/>
        <v>0</v>
      </c>
      <c r="AT47" s="1903"/>
      <c r="AU47" s="1903"/>
      <c r="AV47" s="1903"/>
      <c r="AW47" s="1903"/>
      <c r="AX47" s="1904"/>
      <c r="AY47" s="1918">
        <f t="shared" si="3"/>
        <v>0</v>
      </c>
      <c r="AZ47" s="1919"/>
      <c r="BA47" s="1919"/>
      <c r="BB47" s="1919"/>
      <c r="BC47" s="1919"/>
      <c r="BD47" s="1920"/>
      <c r="BE47" s="1101"/>
    </row>
    <row r="48" spans="1:58" ht="15.75" customHeight="1">
      <c r="A48" s="1097"/>
      <c r="B48" s="1103" t="s">
        <v>1944</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1945</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24" t="s">
        <v>1946</v>
      </c>
      <c r="C50" s="1925"/>
      <c r="D50" s="1925"/>
      <c r="E50" s="1925"/>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6"/>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27" t="s">
        <v>1947</v>
      </c>
      <c r="C51" s="1928"/>
      <c r="D51" s="1928"/>
      <c r="E51" s="1928"/>
      <c r="F51" s="1928"/>
      <c r="G51" s="1928"/>
      <c r="H51" s="1928"/>
      <c r="I51" s="1928"/>
      <c r="J51" s="1928" t="s">
        <v>1948</v>
      </c>
      <c r="K51" s="1928"/>
      <c r="L51" s="1928"/>
      <c r="M51" s="1928"/>
      <c r="N51" s="1928"/>
      <c r="O51" s="1928"/>
      <c r="P51" s="1928"/>
      <c r="Q51" s="1928"/>
      <c r="R51" s="1929" t="s">
        <v>1949</v>
      </c>
      <c r="S51" s="1929"/>
      <c r="T51" s="1929"/>
      <c r="U51" s="1929"/>
      <c r="V51" s="1929"/>
      <c r="W51" s="1929"/>
      <c r="X51" s="1929"/>
      <c r="Y51" s="1929"/>
      <c r="Z51" s="1929" t="s">
        <v>1950</v>
      </c>
      <c r="AA51" s="1929"/>
      <c r="AB51" s="1929"/>
      <c r="AC51" s="1929"/>
      <c r="AD51" s="1929"/>
      <c r="AE51" s="1929"/>
      <c r="AF51" s="1929"/>
      <c r="AG51" s="1929"/>
      <c r="AH51" s="1929" t="s">
        <v>1951</v>
      </c>
      <c r="AI51" s="1929"/>
      <c r="AJ51" s="1929"/>
      <c r="AK51" s="1929"/>
      <c r="AL51" s="1929"/>
      <c r="AM51" s="1929"/>
      <c r="AN51" s="1929"/>
      <c r="AO51" s="1930"/>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12" t="s">
        <v>1952</v>
      </c>
      <c r="C52" s="1913"/>
      <c r="D52" s="1913"/>
      <c r="E52" s="1913"/>
      <c r="F52" s="1913"/>
      <c r="G52" s="1913"/>
      <c r="H52" s="1913"/>
      <c r="I52" s="1913"/>
      <c r="J52" s="1931">
        <v>0</v>
      </c>
      <c r="K52" s="1931"/>
      <c r="L52" s="1931"/>
      <c r="M52" s="1931"/>
      <c r="N52" s="1931"/>
      <c r="O52" s="1931"/>
      <c r="P52" s="1931"/>
      <c r="Q52" s="1931"/>
      <c r="R52" s="1932">
        <v>0</v>
      </c>
      <c r="S52" s="1932"/>
      <c r="T52" s="1932"/>
      <c r="U52" s="1932"/>
      <c r="V52" s="1932"/>
      <c r="W52" s="1932"/>
      <c r="X52" s="1932"/>
      <c r="Y52" s="1932"/>
      <c r="Z52" s="1933">
        <v>0</v>
      </c>
      <c r="AA52" s="1933"/>
      <c r="AB52" s="1933"/>
      <c r="AC52" s="1933"/>
      <c r="AD52" s="1933"/>
      <c r="AE52" s="1933"/>
      <c r="AF52" s="1933"/>
      <c r="AG52" s="1933"/>
      <c r="AH52" s="1934"/>
      <c r="AI52" s="1934"/>
      <c r="AJ52" s="1934"/>
      <c r="AK52" s="1934"/>
      <c r="AL52" s="1934"/>
      <c r="AM52" s="1934"/>
      <c r="AN52" s="1934"/>
      <c r="AO52" s="1935"/>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12" t="s">
        <v>1953</v>
      </c>
      <c r="C53" s="1913"/>
      <c r="D53" s="1913"/>
      <c r="E53" s="1913"/>
      <c r="F53" s="1913"/>
      <c r="G53" s="1913"/>
      <c r="H53" s="1913"/>
      <c r="I53" s="1913"/>
      <c r="J53" s="1931">
        <v>0</v>
      </c>
      <c r="K53" s="1931"/>
      <c r="L53" s="1931"/>
      <c r="M53" s="1931"/>
      <c r="N53" s="1931"/>
      <c r="O53" s="1931"/>
      <c r="P53" s="1931"/>
      <c r="Q53" s="1931"/>
      <c r="R53" s="1932">
        <v>0</v>
      </c>
      <c r="S53" s="1932"/>
      <c r="T53" s="1932"/>
      <c r="U53" s="1932"/>
      <c r="V53" s="1932"/>
      <c r="W53" s="1932"/>
      <c r="X53" s="1932"/>
      <c r="Y53" s="1932"/>
      <c r="Z53" s="1933">
        <v>0</v>
      </c>
      <c r="AA53" s="1933"/>
      <c r="AB53" s="1933"/>
      <c r="AC53" s="1933"/>
      <c r="AD53" s="1933"/>
      <c r="AE53" s="1933"/>
      <c r="AF53" s="1933"/>
      <c r="AG53" s="1933"/>
      <c r="AH53" s="1934"/>
      <c r="AI53" s="1934"/>
      <c r="AJ53" s="1934"/>
      <c r="AK53" s="1934"/>
      <c r="AL53" s="1934"/>
      <c r="AM53" s="1934"/>
      <c r="AN53" s="1934"/>
      <c r="AO53" s="1935"/>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12"/>
      <c r="C54" s="1913"/>
      <c r="D54" s="1913"/>
      <c r="E54" s="1913"/>
      <c r="F54" s="1913"/>
      <c r="G54" s="1913"/>
      <c r="H54" s="1913"/>
      <c r="I54" s="1913"/>
      <c r="J54" s="1931"/>
      <c r="K54" s="1931"/>
      <c r="L54" s="1931"/>
      <c r="M54" s="1931"/>
      <c r="N54" s="1931"/>
      <c r="O54" s="1931"/>
      <c r="P54" s="1931"/>
      <c r="Q54" s="1931"/>
      <c r="R54" s="1932"/>
      <c r="S54" s="1932"/>
      <c r="T54" s="1932"/>
      <c r="U54" s="1932"/>
      <c r="V54" s="1932"/>
      <c r="W54" s="1932"/>
      <c r="X54" s="1932"/>
      <c r="Y54" s="1932"/>
      <c r="Z54" s="1933"/>
      <c r="AA54" s="1933"/>
      <c r="AB54" s="1933"/>
      <c r="AC54" s="1933"/>
      <c r="AD54" s="1933"/>
      <c r="AE54" s="1933"/>
      <c r="AF54" s="1933"/>
      <c r="AG54" s="1933"/>
      <c r="AH54" s="1934"/>
      <c r="AI54" s="1934"/>
      <c r="AJ54" s="1934"/>
      <c r="AK54" s="1934"/>
      <c r="AL54" s="1934"/>
      <c r="AM54" s="1934"/>
      <c r="AN54" s="1934"/>
      <c r="AO54" s="1935"/>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12"/>
      <c r="C55" s="1913"/>
      <c r="D55" s="1913"/>
      <c r="E55" s="1913"/>
      <c r="F55" s="1913"/>
      <c r="G55" s="1913"/>
      <c r="H55" s="1913"/>
      <c r="I55" s="1913"/>
      <c r="J55" s="1931"/>
      <c r="K55" s="1931"/>
      <c r="L55" s="1931"/>
      <c r="M55" s="1931"/>
      <c r="N55" s="1931"/>
      <c r="O55" s="1931"/>
      <c r="P55" s="1931"/>
      <c r="Q55" s="1931"/>
      <c r="R55" s="1932"/>
      <c r="S55" s="1932"/>
      <c r="T55" s="1932"/>
      <c r="U55" s="1932"/>
      <c r="V55" s="1932"/>
      <c r="W55" s="1932"/>
      <c r="X55" s="1932"/>
      <c r="Y55" s="1932"/>
      <c r="Z55" s="1933"/>
      <c r="AA55" s="1933"/>
      <c r="AB55" s="1933"/>
      <c r="AC55" s="1933"/>
      <c r="AD55" s="1933"/>
      <c r="AE55" s="1933"/>
      <c r="AF55" s="1933"/>
      <c r="AG55" s="1933"/>
      <c r="AH55" s="1934"/>
      <c r="AI55" s="1934"/>
      <c r="AJ55" s="1934"/>
      <c r="AK55" s="1934"/>
      <c r="AL55" s="1934"/>
      <c r="AM55" s="1934"/>
      <c r="AN55" s="1934"/>
      <c r="AO55" s="1935"/>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12"/>
      <c r="C56" s="1913"/>
      <c r="D56" s="1913"/>
      <c r="E56" s="1913"/>
      <c r="F56" s="1913"/>
      <c r="G56" s="1913"/>
      <c r="H56" s="1913"/>
      <c r="I56" s="1913"/>
      <c r="J56" s="1931"/>
      <c r="K56" s="1931"/>
      <c r="L56" s="1931"/>
      <c r="M56" s="1931"/>
      <c r="N56" s="1931"/>
      <c r="O56" s="1931"/>
      <c r="P56" s="1931"/>
      <c r="Q56" s="1931"/>
      <c r="R56" s="1932"/>
      <c r="S56" s="1932"/>
      <c r="T56" s="1932"/>
      <c r="U56" s="1932"/>
      <c r="V56" s="1932"/>
      <c r="W56" s="1932"/>
      <c r="X56" s="1932"/>
      <c r="Y56" s="1932"/>
      <c r="Z56" s="1933"/>
      <c r="AA56" s="1933"/>
      <c r="AB56" s="1933"/>
      <c r="AC56" s="1933"/>
      <c r="AD56" s="1933"/>
      <c r="AE56" s="1933"/>
      <c r="AF56" s="1933"/>
      <c r="AG56" s="1933"/>
      <c r="AH56" s="1934"/>
      <c r="AI56" s="1934"/>
      <c r="AJ56" s="1934"/>
      <c r="AK56" s="1934"/>
      <c r="AL56" s="1934"/>
      <c r="AM56" s="1934"/>
      <c r="AN56" s="1934"/>
      <c r="AO56" s="1935"/>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45" t="s">
        <v>1921</v>
      </c>
      <c r="C57" s="1946"/>
      <c r="D57" s="1946"/>
      <c r="E57" s="1946"/>
      <c r="F57" s="1946"/>
      <c r="G57" s="1946"/>
      <c r="H57" s="1946"/>
      <c r="I57" s="1946"/>
      <c r="J57" s="1946"/>
      <c r="K57" s="1946"/>
      <c r="L57" s="1946"/>
      <c r="M57" s="1946"/>
      <c r="N57" s="1946"/>
      <c r="O57" s="1946"/>
      <c r="P57" s="1946"/>
      <c r="Q57" s="1946"/>
      <c r="R57" s="1947">
        <f>SUM(R52:Y56)</f>
        <v>0</v>
      </c>
      <c r="S57" s="1947"/>
      <c r="T57" s="1947"/>
      <c r="U57" s="1947"/>
      <c r="V57" s="1947"/>
      <c r="W57" s="1947"/>
      <c r="X57" s="1947"/>
      <c r="Y57" s="1947"/>
      <c r="Z57" s="1948">
        <f>SUM(Z52:AG56)</f>
        <v>0</v>
      </c>
      <c r="AA57" s="1948"/>
      <c r="AB57" s="1948"/>
      <c r="AC57" s="1948"/>
      <c r="AD57" s="1948"/>
      <c r="AE57" s="1948"/>
      <c r="AF57" s="1948"/>
      <c r="AG57" s="1948"/>
      <c r="AH57" s="1949"/>
      <c r="AI57" s="1949"/>
      <c r="AJ57" s="1949"/>
      <c r="AK57" s="1949"/>
      <c r="AL57" s="1949"/>
      <c r="AM57" s="1949"/>
      <c r="AN57" s="1949"/>
      <c r="AO57" s="1950"/>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36" t="s">
        <v>1947</v>
      </c>
      <c r="C59" s="1937"/>
      <c r="D59" s="1937"/>
      <c r="E59" s="1937"/>
      <c r="F59" s="1937"/>
      <c r="G59" s="1937"/>
      <c r="H59" s="1937"/>
      <c r="I59" s="1938"/>
      <c r="J59" s="1830" t="s">
        <v>1954</v>
      </c>
      <c r="K59" s="1830"/>
      <c r="L59" s="1830"/>
      <c r="M59" s="1830"/>
      <c r="N59" s="1830"/>
      <c r="O59" s="1830"/>
      <c r="P59" s="1830"/>
      <c r="Q59" s="1830"/>
      <c r="R59" s="1830"/>
      <c r="S59" s="1830"/>
      <c r="T59" s="1830"/>
      <c r="U59" s="1830"/>
      <c r="V59" s="1830"/>
      <c r="W59" s="1830"/>
      <c r="X59" s="1830"/>
      <c r="Y59" s="1830"/>
      <c r="Z59" s="1830"/>
      <c r="AA59" s="1830"/>
      <c r="AB59" s="1830"/>
      <c r="AC59" s="1830"/>
      <c r="AD59" s="1830"/>
      <c r="AE59" s="1830"/>
      <c r="AF59" s="1830"/>
      <c r="AG59" s="1830"/>
      <c r="AH59" s="1830"/>
      <c r="AI59" s="1830"/>
      <c r="AJ59" s="1830"/>
      <c r="AK59" s="1830"/>
      <c r="AL59" s="1830"/>
      <c r="AM59" s="1830"/>
      <c r="AN59" s="1830"/>
      <c r="AO59" s="1830"/>
      <c r="AP59" s="1830"/>
      <c r="AQ59" s="1830"/>
      <c r="AR59" s="1830"/>
      <c r="AS59" s="1830"/>
      <c r="AT59" s="1830"/>
      <c r="AU59" s="1830"/>
      <c r="AV59" s="1830"/>
      <c r="AW59" s="1831"/>
      <c r="AX59" s="1097"/>
      <c r="AY59" s="1097"/>
      <c r="AZ59" s="1097"/>
      <c r="BA59" s="1097"/>
      <c r="BB59" s="1097"/>
      <c r="BC59" s="1097"/>
      <c r="BD59" s="1097"/>
      <c r="BE59" s="1101"/>
    </row>
    <row r="60" spans="1:77" ht="15.75" customHeight="1">
      <c r="A60" s="1097"/>
      <c r="B60" s="1939" t="str">
        <f>IF(B52="", "", B52)</f>
        <v>Services Company 1</v>
      </c>
      <c r="C60" s="1940"/>
      <c r="D60" s="1940"/>
      <c r="E60" s="1940"/>
      <c r="F60" s="1940"/>
      <c r="G60" s="1940"/>
      <c r="H60" s="1940"/>
      <c r="I60" s="1941"/>
      <c r="J60" s="1942"/>
      <c r="K60" s="1943"/>
      <c r="L60" s="1943"/>
      <c r="M60" s="1943"/>
      <c r="N60" s="1943"/>
      <c r="O60" s="1943"/>
      <c r="P60" s="1943"/>
      <c r="Q60" s="1943"/>
      <c r="R60" s="1943"/>
      <c r="S60" s="1943"/>
      <c r="T60" s="1943"/>
      <c r="U60" s="1943"/>
      <c r="V60" s="1943"/>
      <c r="W60" s="1943"/>
      <c r="X60" s="1943"/>
      <c r="Y60" s="1943"/>
      <c r="Z60" s="1943"/>
      <c r="AA60" s="1943"/>
      <c r="AB60" s="1943"/>
      <c r="AC60" s="1943"/>
      <c r="AD60" s="1943"/>
      <c r="AE60" s="1943"/>
      <c r="AF60" s="1943"/>
      <c r="AG60" s="1943"/>
      <c r="AH60" s="1943"/>
      <c r="AI60" s="1943"/>
      <c r="AJ60" s="1943"/>
      <c r="AK60" s="1943"/>
      <c r="AL60" s="1943"/>
      <c r="AM60" s="1943"/>
      <c r="AN60" s="1943"/>
      <c r="AO60" s="1943"/>
      <c r="AP60" s="1943"/>
      <c r="AQ60" s="1943"/>
      <c r="AR60" s="1943"/>
      <c r="AS60" s="1943"/>
      <c r="AT60" s="1943"/>
      <c r="AU60" s="1943"/>
      <c r="AV60" s="1943"/>
      <c r="AW60" s="1944"/>
      <c r="AX60" s="1097"/>
      <c r="AY60" s="1097"/>
      <c r="AZ60" s="1097"/>
      <c r="BA60" s="1097"/>
      <c r="BB60" s="1097"/>
      <c r="BC60" s="1097"/>
      <c r="BD60" s="1097"/>
      <c r="BE60" s="1101"/>
    </row>
    <row r="61" spans="1:77" ht="15.75" customHeight="1">
      <c r="A61" s="1097"/>
      <c r="B61" s="1939" t="str">
        <f>IF(B53="", "", B53)</f>
        <v>Services Company 2</v>
      </c>
      <c r="C61" s="1940"/>
      <c r="D61" s="1940"/>
      <c r="E61" s="1940"/>
      <c r="F61" s="1940"/>
      <c r="G61" s="1940"/>
      <c r="H61" s="1940"/>
      <c r="I61" s="1941"/>
      <c r="J61" s="1942"/>
      <c r="K61" s="1943"/>
      <c r="L61" s="1943"/>
      <c r="M61" s="1943"/>
      <c r="N61" s="1943"/>
      <c r="O61" s="1943"/>
      <c r="P61" s="1943"/>
      <c r="Q61" s="1943"/>
      <c r="R61" s="1943"/>
      <c r="S61" s="1943"/>
      <c r="T61" s="1943"/>
      <c r="U61" s="1943"/>
      <c r="V61" s="1943"/>
      <c r="W61" s="1943"/>
      <c r="X61" s="1943"/>
      <c r="Y61" s="1943"/>
      <c r="Z61" s="1943"/>
      <c r="AA61" s="1943"/>
      <c r="AB61" s="1943"/>
      <c r="AC61" s="1943"/>
      <c r="AD61" s="1943"/>
      <c r="AE61" s="1943"/>
      <c r="AF61" s="1943"/>
      <c r="AG61" s="1943"/>
      <c r="AH61" s="1943"/>
      <c r="AI61" s="1943"/>
      <c r="AJ61" s="1943"/>
      <c r="AK61" s="1943"/>
      <c r="AL61" s="1943"/>
      <c r="AM61" s="1943"/>
      <c r="AN61" s="1943"/>
      <c r="AO61" s="1943"/>
      <c r="AP61" s="1943"/>
      <c r="AQ61" s="1943"/>
      <c r="AR61" s="1943"/>
      <c r="AS61" s="1943"/>
      <c r="AT61" s="1943"/>
      <c r="AU61" s="1943"/>
      <c r="AV61" s="1943"/>
      <c r="AW61" s="1944"/>
      <c r="AX61" s="1097"/>
      <c r="AY61" s="1097"/>
      <c r="AZ61" s="1097"/>
      <c r="BA61" s="1097"/>
      <c r="BB61" s="1097"/>
      <c r="BC61" s="1097"/>
      <c r="BD61" s="1097"/>
      <c r="BE61" s="1101"/>
    </row>
    <row r="62" spans="1:77" ht="15.75" customHeight="1">
      <c r="A62" s="1097"/>
      <c r="B62" s="1939" t="str">
        <f>IF(B54="", "", B54)</f>
        <v/>
      </c>
      <c r="C62" s="1940"/>
      <c r="D62" s="1940"/>
      <c r="E62" s="1940"/>
      <c r="F62" s="1940"/>
      <c r="G62" s="1940"/>
      <c r="H62" s="1940"/>
      <c r="I62" s="1941"/>
      <c r="J62" s="1942"/>
      <c r="K62" s="1943"/>
      <c r="L62" s="1943"/>
      <c r="M62" s="1943"/>
      <c r="N62" s="1943"/>
      <c r="O62" s="1943"/>
      <c r="P62" s="1943"/>
      <c r="Q62" s="1943"/>
      <c r="R62" s="1943"/>
      <c r="S62" s="1943"/>
      <c r="T62" s="1943"/>
      <c r="U62" s="1943"/>
      <c r="V62" s="1943"/>
      <c r="W62" s="1943"/>
      <c r="X62" s="1943"/>
      <c r="Y62" s="1943"/>
      <c r="Z62" s="1943"/>
      <c r="AA62" s="1943"/>
      <c r="AB62" s="1943"/>
      <c r="AC62" s="1943"/>
      <c r="AD62" s="1943"/>
      <c r="AE62" s="1943"/>
      <c r="AF62" s="1943"/>
      <c r="AG62" s="1943"/>
      <c r="AH62" s="1943"/>
      <c r="AI62" s="1943"/>
      <c r="AJ62" s="1943"/>
      <c r="AK62" s="1943"/>
      <c r="AL62" s="1943"/>
      <c r="AM62" s="1943"/>
      <c r="AN62" s="1943"/>
      <c r="AO62" s="1943"/>
      <c r="AP62" s="1943"/>
      <c r="AQ62" s="1943"/>
      <c r="AR62" s="1943"/>
      <c r="AS62" s="1943"/>
      <c r="AT62" s="1943"/>
      <c r="AU62" s="1943"/>
      <c r="AV62" s="1943"/>
      <c r="AW62" s="1944"/>
      <c r="AX62" s="1097"/>
      <c r="AY62" s="1097"/>
      <c r="AZ62" s="1097"/>
      <c r="BA62" s="1097"/>
      <c r="BB62" s="1097"/>
      <c r="BC62" s="1097"/>
      <c r="BD62" s="1097"/>
      <c r="BE62" s="1101"/>
    </row>
    <row r="63" spans="1:77" ht="15.75" customHeight="1">
      <c r="A63" s="1097"/>
      <c r="B63" s="1939" t="str">
        <f>IF(B55="", "", B55)</f>
        <v/>
      </c>
      <c r="C63" s="1940"/>
      <c r="D63" s="1940"/>
      <c r="E63" s="1940"/>
      <c r="F63" s="1940"/>
      <c r="G63" s="1940"/>
      <c r="H63" s="1940"/>
      <c r="I63" s="1941"/>
      <c r="J63" s="1942"/>
      <c r="K63" s="1943"/>
      <c r="L63" s="1943"/>
      <c r="M63" s="1943"/>
      <c r="N63" s="1943"/>
      <c r="O63" s="1943"/>
      <c r="P63" s="1943"/>
      <c r="Q63" s="1943"/>
      <c r="R63" s="1943"/>
      <c r="S63" s="1943"/>
      <c r="T63" s="1943"/>
      <c r="U63" s="1943"/>
      <c r="V63" s="1943"/>
      <c r="W63" s="1943"/>
      <c r="X63" s="1943"/>
      <c r="Y63" s="1943"/>
      <c r="Z63" s="1943"/>
      <c r="AA63" s="1943"/>
      <c r="AB63" s="1943"/>
      <c r="AC63" s="1943"/>
      <c r="AD63" s="1943"/>
      <c r="AE63" s="1943"/>
      <c r="AF63" s="1943"/>
      <c r="AG63" s="1943"/>
      <c r="AH63" s="1943"/>
      <c r="AI63" s="1943"/>
      <c r="AJ63" s="1943"/>
      <c r="AK63" s="1943"/>
      <c r="AL63" s="1943"/>
      <c r="AM63" s="1943"/>
      <c r="AN63" s="1943"/>
      <c r="AO63" s="1943"/>
      <c r="AP63" s="1943"/>
      <c r="AQ63" s="1943"/>
      <c r="AR63" s="1943"/>
      <c r="AS63" s="1943"/>
      <c r="AT63" s="1943"/>
      <c r="AU63" s="1943"/>
      <c r="AV63" s="1943"/>
      <c r="AW63" s="1944"/>
      <c r="AX63" s="1097"/>
      <c r="AY63" s="1097"/>
      <c r="AZ63" s="1097"/>
      <c r="BA63" s="1097"/>
      <c r="BB63" s="1097"/>
      <c r="BC63" s="1097"/>
      <c r="BD63" s="1097"/>
      <c r="BE63" s="1101"/>
    </row>
    <row r="64" spans="1:77" ht="15.75" customHeight="1" thickBot="1">
      <c r="A64" s="1097"/>
      <c r="B64" s="1959" t="str">
        <f>IF(B56="", "", B56)</f>
        <v/>
      </c>
      <c r="C64" s="1960"/>
      <c r="D64" s="1960"/>
      <c r="E64" s="1960"/>
      <c r="F64" s="1960"/>
      <c r="G64" s="1960"/>
      <c r="H64" s="1960"/>
      <c r="I64" s="1961"/>
      <c r="J64" s="1962"/>
      <c r="K64" s="1963"/>
      <c r="L64" s="1963"/>
      <c r="M64" s="1963"/>
      <c r="N64" s="1963"/>
      <c r="O64" s="1963"/>
      <c r="P64" s="1963"/>
      <c r="Q64" s="1963"/>
      <c r="R64" s="1963"/>
      <c r="S64" s="1963"/>
      <c r="T64" s="1963"/>
      <c r="U64" s="1963"/>
      <c r="V64" s="1963"/>
      <c r="W64" s="1963"/>
      <c r="X64" s="1963"/>
      <c r="Y64" s="1963"/>
      <c r="Z64" s="1963"/>
      <c r="AA64" s="1963"/>
      <c r="AB64" s="1963"/>
      <c r="AC64" s="1963"/>
      <c r="AD64" s="1963"/>
      <c r="AE64" s="1963"/>
      <c r="AF64" s="1963"/>
      <c r="AG64" s="1963"/>
      <c r="AH64" s="1963"/>
      <c r="AI64" s="1963"/>
      <c r="AJ64" s="1963"/>
      <c r="AK64" s="1963"/>
      <c r="AL64" s="1963"/>
      <c r="AM64" s="1963"/>
      <c r="AN64" s="1963"/>
      <c r="AO64" s="1963"/>
      <c r="AP64" s="1963"/>
      <c r="AQ64" s="1963"/>
      <c r="AR64" s="1963"/>
      <c r="AS64" s="1963"/>
      <c r="AT64" s="1963"/>
      <c r="AU64" s="1963"/>
      <c r="AV64" s="1963"/>
      <c r="AW64" s="1964"/>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1955</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29" t="s">
        <v>1956</v>
      </c>
      <c r="C68" s="1830"/>
      <c r="D68" s="1830"/>
      <c r="E68" s="1830"/>
      <c r="F68" s="1830"/>
      <c r="G68" s="1830"/>
      <c r="H68" s="1830"/>
      <c r="I68" s="1830"/>
      <c r="J68" s="1830"/>
      <c r="K68" s="1830"/>
      <c r="L68" s="1830"/>
      <c r="M68" s="1830"/>
      <c r="N68" s="1830"/>
      <c r="O68" s="1830"/>
      <c r="P68" s="1830"/>
      <c r="Q68" s="1830"/>
      <c r="R68" s="1830"/>
      <c r="S68" s="1830"/>
      <c r="T68" s="1830"/>
      <c r="U68" s="1830"/>
      <c r="V68" s="1830"/>
      <c r="W68" s="1830"/>
      <c r="X68" s="1830"/>
      <c r="Y68" s="1830"/>
      <c r="Z68" s="1830"/>
      <c r="AA68" s="1831"/>
      <c r="AB68" s="1097"/>
      <c r="AC68" s="1971" t="s">
        <v>1957</v>
      </c>
      <c r="AD68" s="1972"/>
      <c r="AE68" s="1972"/>
      <c r="AF68" s="1972"/>
      <c r="AG68" s="1972"/>
      <c r="AH68" s="1972"/>
      <c r="AI68" s="1972"/>
      <c r="AJ68" s="1972"/>
      <c r="AK68" s="1972"/>
      <c r="AL68" s="1972"/>
      <c r="AM68" s="1972"/>
      <c r="AN68" s="1972"/>
      <c r="AO68" s="1972"/>
      <c r="AP68" s="1972"/>
      <c r="AQ68" s="1972"/>
      <c r="AR68" s="1972"/>
      <c r="AS68" s="1972"/>
      <c r="AT68" s="1972"/>
      <c r="AU68" s="1972"/>
      <c r="AV68" s="1951" t="s">
        <v>700</v>
      </c>
      <c r="AW68" s="1952"/>
      <c r="AX68" s="1952"/>
      <c r="AY68" s="1952"/>
      <c r="AZ68" s="1952"/>
      <c r="BA68" s="1952"/>
      <c r="BB68" s="1952"/>
      <c r="BC68" s="1953"/>
      <c r="BD68" s="1097"/>
      <c r="BE68" s="1101"/>
      <c r="BM68" s="1107" t="s">
        <v>1958</v>
      </c>
    </row>
    <row r="69" spans="1:94" ht="15.75" customHeight="1" thickTop="1" thickBot="1">
      <c r="A69" s="1097"/>
      <c r="B69" s="1954" t="s">
        <v>1959</v>
      </c>
      <c r="C69" s="1955"/>
      <c r="D69" s="1955"/>
      <c r="E69" s="1955"/>
      <c r="F69" s="1955"/>
      <c r="G69" s="1955"/>
      <c r="H69" s="1955"/>
      <c r="I69" s="1955"/>
      <c r="J69" s="1955"/>
      <c r="K69" s="1955"/>
      <c r="L69" s="1955"/>
      <c r="M69" s="1955"/>
      <c r="N69" s="1955"/>
      <c r="O69" s="1802" t="s">
        <v>1960</v>
      </c>
      <c r="P69" s="1803"/>
      <c r="Q69" s="1803"/>
      <c r="R69" s="1803"/>
      <c r="S69" s="1803"/>
      <c r="T69" s="1803"/>
      <c r="U69" s="1803"/>
      <c r="V69" s="1803"/>
      <c r="W69" s="1803"/>
      <c r="X69" s="1803"/>
      <c r="Y69" s="1803"/>
      <c r="Z69" s="1803"/>
      <c r="AA69" s="1956"/>
      <c r="AB69" s="1097"/>
      <c r="AC69" s="1957" t="s">
        <v>1961</v>
      </c>
      <c r="AD69" s="1958"/>
      <c r="AE69" s="1958"/>
      <c r="AF69" s="1958"/>
      <c r="AG69" s="1958"/>
      <c r="AH69" s="1958"/>
      <c r="AI69" s="1958"/>
      <c r="AJ69" s="1958"/>
      <c r="AK69" s="1958"/>
      <c r="AL69" s="1958"/>
      <c r="AM69" s="1958"/>
      <c r="AN69" s="1958"/>
      <c r="AO69" s="1958"/>
      <c r="AP69" s="1958"/>
      <c r="AQ69" s="1958"/>
      <c r="AR69" s="1958"/>
      <c r="AS69" s="1958"/>
      <c r="AT69" s="1958"/>
      <c r="AU69" s="1958"/>
      <c r="AV69" s="1951" t="s">
        <v>700</v>
      </c>
      <c r="AW69" s="1952"/>
      <c r="AX69" s="1952"/>
      <c r="AY69" s="1952"/>
      <c r="AZ69" s="1952"/>
      <c r="BA69" s="1952"/>
      <c r="BB69" s="1952"/>
      <c r="BC69" s="1953"/>
      <c r="BD69" s="1097"/>
      <c r="BE69" s="1101"/>
      <c r="BM69" s="1108" t="s">
        <v>857</v>
      </c>
    </row>
    <row r="70" spans="1:94" ht="15.75" customHeight="1">
      <c r="A70" s="1097"/>
      <c r="B70" s="1908" t="s">
        <v>1962</v>
      </c>
      <c r="C70" s="1909"/>
      <c r="D70" s="1909"/>
      <c r="E70" s="1909"/>
      <c r="F70" s="1909"/>
      <c r="G70" s="1909"/>
      <c r="H70" s="1909"/>
      <c r="I70" s="1909"/>
      <c r="J70" s="1909"/>
      <c r="K70" s="1909"/>
      <c r="L70" s="1909"/>
      <c r="M70" s="1909"/>
      <c r="N70" s="1909"/>
      <c r="O70" s="1965">
        <v>0</v>
      </c>
      <c r="P70" s="1965"/>
      <c r="Q70" s="1965"/>
      <c r="R70" s="1965"/>
      <c r="S70" s="1965"/>
      <c r="T70" s="1965"/>
      <c r="U70" s="1965"/>
      <c r="V70" s="1965"/>
      <c r="W70" s="1965"/>
      <c r="X70" s="1965"/>
      <c r="Y70" s="1965"/>
      <c r="Z70" s="1965"/>
      <c r="AA70" s="1966"/>
      <c r="AB70" s="1097"/>
      <c r="AC70" s="1924" t="s">
        <v>1963</v>
      </c>
      <c r="AD70" s="1925"/>
      <c r="AE70" s="1925"/>
      <c r="AF70" s="1967"/>
      <c r="AG70" s="1967"/>
      <c r="AH70" s="1967"/>
      <c r="AI70" s="1967"/>
      <c r="AJ70" s="1967"/>
      <c r="AK70" s="1967"/>
      <c r="AL70" s="1967"/>
      <c r="AM70" s="1967"/>
      <c r="AN70" s="1967"/>
      <c r="AO70" s="1967"/>
      <c r="AP70" s="1967"/>
      <c r="AQ70" s="1967"/>
      <c r="AR70" s="1967"/>
      <c r="AS70" s="1967"/>
      <c r="AT70" s="1967"/>
      <c r="AU70" s="1968"/>
      <c r="AV70" s="1097"/>
      <c r="AW70" s="1097"/>
      <c r="AX70" s="1097"/>
      <c r="AY70" s="1097"/>
      <c r="AZ70" s="1097"/>
      <c r="BA70" s="1097"/>
      <c r="BB70" s="1097"/>
      <c r="BC70" s="1097"/>
      <c r="BD70" s="1097"/>
      <c r="BE70" s="1101"/>
      <c r="BM70" s="1109" t="s">
        <v>700</v>
      </c>
    </row>
    <row r="71" spans="1:94" ht="15.75" customHeight="1" thickBot="1">
      <c r="A71" s="1097"/>
      <c r="B71" s="1908" t="s">
        <v>1964</v>
      </c>
      <c r="C71" s="1909"/>
      <c r="D71" s="1909"/>
      <c r="E71" s="1909"/>
      <c r="F71" s="1909"/>
      <c r="G71" s="1909"/>
      <c r="H71" s="1909"/>
      <c r="I71" s="1909"/>
      <c r="J71" s="1909"/>
      <c r="K71" s="1909"/>
      <c r="L71" s="1909"/>
      <c r="M71" s="1909"/>
      <c r="N71" s="1909"/>
      <c r="O71" s="1965">
        <v>0</v>
      </c>
      <c r="P71" s="1965"/>
      <c r="Q71" s="1965"/>
      <c r="R71" s="1965"/>
      <c r="S71" s="1965"/>
      <c r="T71" s="1965"/>
      <c r="U71" s="1965"/>
      <c r="V71" s="1965"/>
      <c r="W71" s="1965"/>
      <c r="X71" s="1965"/>
      <c r="Y71" s="1965"/>
      <c r="Z71" s="1965"/>
      <c r="AA71" s="1966"/>
      <c r="AB71" s="1097"/>
      <c r="AC71" s="1969" t="s">
        <v>1965</v>
      </c>
      <c r="AD71" s="1970"/>
      <c r="AE71" s="1970"/>
      <c r="AF71" s="1963"/>
      <c r="AG71" s="1963"/>
      <c r="AH71" s="1963"/>
      <c r="AI71" s="1963"/>
      <c r="AJ71" s="1963"/>
      <c r="AK71" s="1963"/>
      <c r="AL71" s="1963"/>
      <c r="AM71" s="1963"/>
      <c r="AN71" s="1963"/>
      <c r="AO71" s="1963"/>
      <c r="AP71" s="1963"/>
      <c r="AQ71" s="1963"/>
      <c r="AR71" s="1963"/>
      <c r="AS71" s="1963"/>
      <c r="AT71" s="1963"/>
      <c r="AU71" s="1964"/>
      <c r="AV71" s="1097"/>
      <c r="AW71" s="1097"/>
      <c r="AX71" s="1097"/>
      <c r="AY71" s="1097"/>
      <c r="AZ71" s="1097"/>
      <c r="BA71" s="1097"/>
      <c r="BB71" s="1097"/>
      <c r="BC71" s="1097"/>
      <c r="BD71" s="1097"/>
      <c r="BE71" s="1101"/>
      <c r="BM71" s="1093" t="s">
        <v>1966</v>
      </c>
    </row>
    <row r="72" spans="1:94" ht="15.75" customHeight="1">
      <c r="A72" s="1097"/>
      <c r="B72" s="1908" t="s">
        <v>1967</v>
      </c>
      <c r="C72" s="1909"/>
      <c r="D72" s="1909"/>
      <c r="E72" s="1909"/>
      <c r="F72" s="1909"/>
      <c r="G72" s="1909"/>
      <c r="H72" s="1909"/>
      <c r="I72" s="1909"/>
      <c r="J72" s="1909"/>
      <c r="K72" s="1909"/>
      <c r="L72" s="1909"/>
      <c r="M72" s="1909"/>
      <c r="N72" s="1909"/>
      <c r="O72" s="1965">
        <v>0</v>
      </c>
      <c r="P72" s="1965"/>
      <c r="Q72" s="1965"/>
      <c r="R72" s="1965"/>
      <c r="S72" s="1965"/>
      <c r="T72" s="1965"/>
      <c r="U72" s="1965"/>
      <c r="V72" s="1965"/>
      <c r="W72" s="1965"/>
      <c r="X72" s="1965"/>
      <c r="Y72" s="1965"/>
      <c r="Z72" s="1965"/>
      <c r="AA72" s="1966"/>
      <c r="AB72" s="1097"/>
      <c r="AC72" s="1973" t="s">
        <v>1968</v>
      </c>
      <c r="AD72" s="1974"/>
      <c r="AE72" s="1974"/>
      <c r="AF72" s="1974"/>
      <c r="AG72" s="1974"/>
      <c r="AH72" s="1974"/>
      <c r="AI72" s="1974"/>
      <c r="AJ72" s="1974"/>
      <c r="AK72" s="1974"/>
      <c r="AL72" s="1974"/>
      <c r="AM72" s="1974"/>
      <c r="AN72" s="1974"/>
      <c r="AO72" s="1974"/>
      <c r="AP72" s="1974"/>
      <c r="AQ72" s="1974"/>
      <c r="AR72" s="1974"/>
      <c r="AS72" s="1974"/>
      <c r="AT72" s="1974"/>
      <c r="AU72" s="1974"/>
      <c r="AV72" s="1925"/>
      <c r="AW72" s="1925"/>
      <c r="AX72" s="1925"/>
      <c r="AY72" s="1925"/>
      <c r="AZ72" s="1925"/>
      <c r="BA72" s="1925"/>
      <c r="BB72" s="1925"/>
      <c r="BC72" s="1926"/>
      <c r="BD72" s="1097"/>
      <c r="BE72" s="1101"/>
    </row>
    <row r="73" spans="1:94" ht="15.75" customHeight="1">
      <c r="A73" s="1097"/>
      <c r="B73" s="1912" t="s">
        <v>1969</v>
      </c>
      <c r="C73" s="1913"/>
      <c r="D73" s="1913"/>
      <c r="E73" s="1913"/>
      <c r="F73" s="1913"/>
      <c r="G73" s="1913"/>
      <c r="H73" s="1913"/>
      <c r="I73" s="1913"/>
      <c r="J73" s="1913"/>
      <c r="K73" s="1913"/>
      <c r="L73" s="1913"/>
      <c r="M73" s="1913"/>
      <c r="N73" s="1913"/>
      <c r="O73" s="1965">
        <v>0</v>
      </c>
      <c r="P73" s="1965"/>
      <c r="Q73" s="1965"/>
      <c r="R73" s="1965"/>
      <c r="S73" s="1965"/>
      <c r="T73" s="1965"/>
      <c r="U73" s="1965"/>
      <c r="V73" s="1965"/>
      <c r="W73" s="1965"/>
      <c r="X73" s="1965"/>
      <c r="Y73" s="1965"/>
      <c r="Z73" s="1965"/>
      <c r="AA73" s="1966"/>
      <c r="AB73" s="1097"/>
      <c r="AC73" s="1975" t="s">
        <v>1970</v>
      </c>
      <c r="AD73" s="1976"/>
      <c r="AE73" s="1976"/>
      <c r="AF73" s="1976"/>
      <c r="AG73" s="1976"/>
      <c r="AH73" s="1976"/>
      <c r="AI73" s="1976"/>
      <c r="AJ73" s="1976"/>
      <c r="AK73" s="1976"/>
      <c r="AL73" s="1976"/>
      <c r="AM73" s="1976"/>
      <c r="AN73" s="1976"/>
      <c r="AO73" s="1976"/>
      <c r="AP73" s="1976"/>
      <c r="AQ73" s="1976"/>
      <c r="AR73" s="1976"/>
      <c r="AS73" s="1976"/>
      <c r="AT73" s="1976"/>
      <c r="AU73" s="1976"/>
      <c r="AV73" s="1976"/>
      <c r="AW73" s="1976"/>
      <c r="AX73" s="1976"/>
      <c r="AY73" s="1976"/>
      <c r="AZ73" s="1976"/>
      <c r="BA73" s="1976"/>
      <c r="BB73" s="1976"/>
      <c r="BC73" s="1977"/>
      <c r="BD73" s="1097"/>
      <c r="BE73" s="1101"/>
      <c r="CK73" s="1095"/>
      <c r="CL73" s="1095"/>
      <c r="CM73" s="1095"/>
      <c r="CN73" s="1095"/>
      <c r="CO73" s="1095"/>
      <c r="CP73" s="1095"/>
    </row>
    <row r="74" spans="1:94" ht="15.75" customHeight="1">
      <c r="A74" s="1097"/>
      <c r="B74" s="1981"/>
      <c r="C74" s="1931"/>
      <c r="D74" s="1931"/>
      <c r="E74" s="1931"/>
      <c r="F74" s="1931"/>
      <c r="G74" s="1931"/>
      <c r="H74" s="1931"/>
      <c r="I74" s="1931"/>
      <c r="J74" s="1931"/>
      <c r="K74" s="1931"/>
      <c r="L74" s="1931"/>
      <c r="M74" s="1931"/>
      <c r="N74" s="1931"/>
      <c r="O74" s="1965"/>
      <c r="P74" s="1965"/>
      <c r="Q74" s="1965"/>
      <c r="R74" s="1965"/>
      <c r="S74" s="1965"/>
      <c r="T74" s="1965"/>
      <c r="U74" s="1965"/>
      <c r="V74" s="1965"/>
      <c r="W74" s="1965"/>
      <c r="X74" s="1965"/>
      <c r="Y74" s="1965"/>
      <c r="Z74" s="1965"/>
      <c r="AA74" s="1966"/>
      <c r="AB74" s="1097"/>
      <c r="AC74" s="1975"/>
      <c r="AD74" s="1976"/>
      <c r="AE74" s="1976"/>
      <c r="AF74" s="1976"/>
      <c r="AG74" s="1976"/>
      <c r="AH74" s="1976"/>
      <c r="AI74" s="1976"/>
      <c r="AJ74" s="1976"/>
      <c r="AK74" s="1976"/>
      <c r="AL74" s="1976"/>
      <c r="AM74" s="1976"/>
      <c r="AN74" s="1976"/>
      <c r="AO74" s="1976"/>
      <c r="AP74" s="1976"/>
      <c r="AQ74" s="1976"/>
      <c r="AR74" s="1976"/>
      <c r="AS74" s="1976"/>
      <c r="AT74" s="1976"/>
      <c r="AU74" s="1976"/>
      <c r="AV74" s="1976"/>
      <c r="AW74" s="1976"/>
      <c r="AX74" s="1976"/>
      <c r="AY74" s="1976"/>
      <c r="AZ74" s="1976"/>
      <c r="BA74" s="1976"/>
      <c r="BB74" s="1976"/>
      <c r="BC74" s="1977"/>
      <c r="BD74" s="1097"/>
      <c r="BE74" s="1101"/>
      <c r="CK74" s="1095"/>
      <c r="CL74" s="1095"/>
      <c r="CM74" s="1095"/>
      <c r="CN74" s="1095"/>
      <c r="CO74" s="1095"/>
      <c r="CP74" s="1095"/>
    </row>
    <row r="75" spans="1:94" ht="15.75" customHeight="1" thickBot="1">
      <c r="A75" s="1097"/>
      <c r="B75" s="1982" t="s">
        <v>1478</v>
      </c>
      <c r="C75" s="1983"/>
      <c r="D75" s="1983"/>
      <c r="E75" s="1983"/>
      <c r="F75" s="1983"/>
      <c r="G75" s="1983"/>
      <c r="H75" s="1983"/>
      <c r="I75" s="1983"/>
      <c r="J75" s="1983"/>
      <c r="K75" s="1983"/>
      <c r="L75" s="1983"/>
      <c r="M75" s="1983"/>
      <c r="N75" s="1983"/>
      <c r="O75" s="1984">
        <f>SUM(O70:AA74)</f>
        <v>0</v>
      </c>
      <c r="P75" s="1984"/>
      <c r="Q75" s="1984"/>
      <c r="R75" s="1984"/>
      <c r="S75" s="1984"/>
      <c r="T75" s="1984"/>
      <c r="U75" s="1984"/>
      <c r="V75" s="1984"/>
      <c r="W75" s="1984"/>
      <c r="X75" s="1984"/>
      <c r="Y75" s="1984"/>
      <c r="Z75" s="1984"/>
      <c r="AA75" s="1985"/>
      <c r="AB75" s="1097"/>
      <c r="AC75" s="1975"/>
      <c r="AD75" s="1976"/>
      <c r="AE75" s="1976"/>
      <c r="AF75" s="1976"/>
      <c r="AG75" s="1976"/>
      <c r="AH75" s="1976"/>
      <c r="AI75" s="1976"/>
      <c r="AJ75" s="1976"/>
      <c r="AK75" s="1976"/>
      <c r="AL75" s="1976"/>
      <c r="AM75" s="1976"/>
      <c r="AN75" s="1976"/>
      <c r="AO75" s="1976"/>
      <c r="AP75" s="1976"/>
      <c r="AQ75" s="1976"/>
      <c r="AR75" s="1976"/>
      <c r="AS75" s="1976"/>
      <c r="AT75" s="1976"/>
      <c r="AU75" s="1976"/>
      <c r="AV75" s="1976"/>
      <c r="AW75" s="1976"/>
      <c r="AX75" s="1976"/>
      <c r="AY75" s="1976"/>
      <c r="AZ75" s="1976"/>
      <c r="BA75" s="1976"/>
      <c r="BB75" s="1976"/>
      <c r="BC75" s="1977"/>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5"/>
      <c r="AD76" s="1976"/>
      <c r="AE76" s="1976"/>
      <c r="AF76" s="1976"/>
      <c r="AG76" s="1976"/>
      <c r="AH76" s="1976"/>
      <c r="AI76" s="1976"/>
      <c r="AJ76" s="1976"/>
      <c r="AK76" s="1976"/>
      <c r="AL76" s="1976"/>
      <c r="AM76" s="1976"/>
      <c r="AN76" s="1976"/>
      <c r="AO76" s="1976"/>
      <c r="AP76" s="1976"/>
      <c r="AQ76" s="1976"/>
      <c r="AR76" s="1976"/>
      <c r="AS76" s="1976"/>
      <c r="AT76" s="1976"/>
      <c r="AU76" s="1976"/>
      <c r="AV76" s="1976"/>
      <c r="AW76" s="1976"/>
      <c r="AX76" s="1976"/>
      <c r="AY76" s="1976"/>
      <c r="AZ76" s="1976"/>
      <c r="BA76" s="1976"/>
      <c r="BB76" s="1976"/>
      <c r="BC76" s="1977"/>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78"/>
      <c r="AD77" s="1979"/>
      <c r="AE77" s="1979"/>
      <c r="AF77" s="1979"/>
      <c r="AG77" s="1979"/>
      <c r="AH77" s="1979"/>
      <c r="AI77" s="1979"/>
      <c r="AJ77" s="1979"/>
      <c r="AK77" s="1979"/>
      <c r="AL77" s="1979"/>
      <c r="AM77" s="1979"/>
      <c r="AN77" s="1979"/>
      <c r="AO77" s="1979"/>
      <c r="AP77" s="1979"/>
      <c r="AQ77" s="1979"/>
      <c r="AR77" s="1979"/>
      <c r="AS77" s="1979"/>
      <c r="AT77" s="1979"/>
      <c r="AU77" s="1979"/>
      <c r="AV77" s="1979"/>
      <c r="AW77" s="1979"/>
      <c r="AX77" s="1979"/>
      <c r="AY77" s="1979"/>
      <c r="AZ77" s="1979"/>
      <c r="BA77" s="1979"/>
      <c r="BB77" s="1979"/>
      <c r="BC77" s="1980"/>
      <c r="BD77" s="1097"/>
      <c r="BE77" s="1101"/>
      <c r="CK77" s="1095"/>
      <c r="CL77" s="1095"/>
      <c r="CM77" s="1095"/>
      <c r="CN77" s="1095"/>
      <c r="CO77" s="1095"/>
      <c r="CP77" s="1095"/>
    </row>
    <row r="78" spans="1:94" ht="15.75" customHeight="1" thickBot="1">
      <c r="A78" s="1097"/>
      <c r="B78" s="1110" t="s">
        <v>1971</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1972</v>
      </c>
      <c r="C79" s="1114"/>
      <c r="D79" s="1114"/>
      <c r="E79" s="1115"/>
      <c r="F79" s="1986"/>
      <c r="G79" s="1987"/>
      <c r="H79" s="1987"/>
      <c r="I79" s="1987"/>
      <c r="J79" s="1987"/>
      <c r="K79" s="1987"/>
      <c r="L79" s="1987"/>
      <c r="M79" s="1987"/>
      <c r="N79" s="1987"/>
      <c r="O79" s="1987"/>
      <c r="P79" s="1987"/>
      <c r="Q79" s="1987"/>
      <c r="R79" s="1987"/>
      <c r="S79" s="1987"/>
      <c r="T79" s="1988"/>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1989" t="s">
        <v>1973</v>
      </c>
      <c r="C81" s="1990"/>
      <c r="D81" s="1990"/>
      <c r="E81" s="1990"/>
      <c r="F81" s="1990"/>
      <c r="G81" s="1990"/>
      <c r="H81" s="1990"/>
      <c r="I81" s="1990"/>
      <c r="J81" s="1990"/>
      <c r="K81" s="1990"/>
      <c r="L81" s="1990"/>
      <c r="M81" s="1990"/>
      <c r="N81" s="1990"/>
      <c r="O81" s="1990"/>
      <c r="P81" s="1990"/>
      <c r="Q81" s="1990"/>
      <c r="R81" s="1990"/>
      <c r="S81" s="1990"/>
      <c r="T81" s="1990"/>
      <c r="U81" s="1990"/>
      <c r="V81" s="1990"/>
      <c r="W81" s="1990"/>
      <c r="X81" s="1990"/>
      <c r="Y81" s="1990"/>
      <c r="Z81" s="1990"/>
      <c r="AA81" s="1990"/>
      <c r="AB81" s="1990"/>
      <c r="AC81" s="1990"/>
      <c r="AD81" s="1990"/>
      <c r="AE81" s="1990"/>
      <c r="AF81" s="1990"/>
      <c r="AG81" s="1990"/>
      <c r="AH81" s="1991"/>
      <c r="AI81" s="1097"/>
      <c r="AJ81" s="1992" t="s">
        <v>1974</v>
      </c>
      <c r="AK81" s="1993"/>
      <c r="AL81" s="1993"/>
      <c r="AM81" s="1993"/>
      <c r="AN81" s="1993"/>
      <c r="AO81" s="1993"/>
      <c r="AP81" s="1993"/>
      <c r="AQ81" s="1993"/>
      <c r="AR81" s="1993"/>
      <c r="AS81" s="1993"/>
      <c r="AT81" s="1993"/>
      <c r="AU81" s="1993"/>
      <c r="AV81" s="1993"/>
      <c r="AW81" s="1993"/>
      <c r="AX81" s="1993"/>
      <c r="AY81" s="1996" t="s">
        <v>857</v>
      </c>
      <c r="AZ81" s="1996"/>
      <c r="BA81" s="1996"/>
      <c r="BB81" s="1997"/>
      <c r="BC81" s="1097"/>
      <c r="BD81" s="1097"/>
      <c r="BE81" s="1101"/>
      <c r="CK81" s="1095"/>
      <c r="CL81" s="1095"/>
      <c r="CM81" s="1095"/>
      <c r="CN81" s="1095"/>
      <c r="CO81" s="1095"/>
      <c r="CP81" s="1095"/>
    </row>
    <row r="82" spans="1:94" ht="15.75" customHeight="1">
      <c r="A82" s="1097"/>
      <c r="B82" s="1927"/>
      <c r="C82" s="1928"/>
      <c r="D82" s="1928"/>
      <c r="E82" s="1928"/>
      <c r="F82" s="1928"/>
      <c r="G82" s="1928"/>
      <c r="H82" s="1928"/>
      <c r="I82" s="1928" t="s">
        <v>1975</v>
      </c>
      <c r="J82" s="1928"/>
      <c r="K82" s="1928"/>
      <c r="L82" s="1928"/>
      <c r="M82" s="1928"/>
      <c r="N82" s="1928"/>
      <c r="O82" s="1928" t="s">
        <v>1976</v>
      </c>
      <c r="P82" s="1928"/>
      <c r="Q82" s="1928"/>
      <c r="R82" s="1928"/>
      <c r="S82" s="1928"/>
      <c r="T82" s="1928"/>
      <c r="U82" s="1928"/>
      <c r="V82" s="2000" t="s">
        <v>1977</v>
      </c>
      <c r="W82" s="2000"/>
      <c r="X82" s="2000"/>
      <c r="Y82" s="2000"/>
      <c r="Z82" s="2000"/>
      <c r="AA82" s="2000"/>
      <c r="AB82" s="2001" t="s">
        <v>1978</v>
      </c>
      <c r="AC82" s="2001"/>
      <c r="AD82" s="2001"/>
      <c r="AE82" s="2001"/>
      <c r="AF82" s="2001"/>
      <c r="AG82" s="2001"/>
      <c r="AH82" s="2002"/>
      <c r="AI82" s="1097"/>
      <c r="AJ82" s="1994"/>
      <c r="AK82" s="1995"/>
      <c r="AL82" s="1995"/>
      <c r="AM82" s="1995"/>
      <c r="AN82" s="1995"/>
      <c r="AO82" s="1995"/>
      <c r="AP82" s="1995"/>
      <c r="AQ82" s="1995"/>
      <c r="AR82" s="1995"/>
      <c r="AS82" s="1995"/>
      <c r="AT82" s="1995"/>
      <c r="AU82" s="1995"/>
      <c r="AV82" s="1995"/>
      <c r="AW82" s="1995"/>
      <c r="AX82" s="1995"/>
      <c r="AY82" s="1998"/>
      <c r="AZ82" s="1998"/>
      <c r="BA82" s="1998"/>
      <c r="BB82" s="1999"/>
      <c r="BC82" s="1097"/>
      <c r="BD82" s="1097"/>
      <c r="BE82" s="1101"/>
      <c r="CK82" s="1095"/>
      <c r="CL82" s="1095"/>
      <c r="CM82" s="1095"/>
      <c r="CN82" s="1095"/>
      <c r="CO82" s="1095"/>
      <c r="CP82" s="1095"/>
    </row>
    <row r="83" spans="1:94" ht="15.75" customHeight="1">
      <c r="A83" s="1097"/>
      <c r="B83" s="1927"/>
      <c r="C83" s="1928"/>
      <c r="D83" s="1928"/>
      <c r="E83" s="1928"/>
      <c r="F83" s="1928"/>
      <c r="G83" s="1928"/>
      <c r="H83" s="1928"/>
      <c r="I83" s="1928"/>
      <c r="J83" s="1928"/>
      <c r="K83" s="1928"/>
      <c r="L83" s="1928"/>
      <c r="M83" s="1928"/>
      <c r="N83" s="1928"/>
      <c r="O83" s="1928"/>
      <c r="P83" s="1928"/>
      <c r="Q83" s="1928"/>
      <c r="R83" s="1928"/>
      <c r="S83" s="1928"/>
      <c r="T83" s="1928"/>
      <c r="U83" s="1928"/>
      <c r="V83" s="2000"/>
      <c r="W83" s="2000"/>
      <c r="X83" s="2000"/>
      <c r="Y83" s="2000"/>
      <c r="Z83" s="2000"/>
      <c r="AA83" s="2000"/>
      <c r="AB83" s="2001"/>
      <c r="AC83" s="2001"/>
      <c r="AD83" s="2001"/>
      <c r="AE83" s="2001"/>
      <c r="AF83" s="2001"/>
      <c r="AG83" s="2001"/>
      <c r="AH83" s="2002"/>
      <c r="AI83" s="1097"/>
      <c r="AJ83" s="1994"/>
      <c r="AK83" s="1995"/>
      <c r="AL83" s="1995"/>
      <c r="AM83" s="1995"/>
      <c r="AN83" s="1995"/>
      <c r="AO83" s="1995"/>
      <c r="AP83" s="1995"/>
      <c r="AQ83" s="1995"/>
      <c r="AR83" s="1995"/>
      <c r="AS83" s="1995"/>
      <c r="AT83" s="1995"/>
      <c r="AU83" s="1995"/>
      <c r="AV83" s="1995"/>
      <c r="AW83" s="1995"/>
      <c r="AX83" s="1995"/>
      <c r="AY83" s="1998"/>
      <c r="AZ83" s="1998"/>
      <c r="BA83" s="1998"/>
      <c r="BB83" s="1999"/>
      <c r="BC83" s="1097"/>
      <c r="BD83" s="1097"/>
      <c r="BE83" s="1101"/>
      <c r="CK83" s="1095"/>
      <c r="CL83" s="1095"/>
      <c r="CM83" s="1095"/>
      <c r="CN83" s="1095"/>
      <c r="CO83" s="1095"/>
      <c r="CP83" s="1095"/>
    </row>
    <row r="84" spans="1:94" ht="15.75" customHeight="1">
      <c r="A84" s="1097"/>
      <c r="B84" s="1927" t="s">
        <v>1979</v>
      </c>
      <c r="C84" s="1928"/>
      <c r="D84" s="1928"/>
      <c r="E84" s="1928"/>
      <c r="F84" s="1928"/>
      <c r="G84" s="1928"/>
      <c r="H84" s="1928"/>
      <c r="I84" s="2005">
        <v>0</v>
      </c>
      <c r="J84" s="2005"/>
      <c r="K84" s="2005"/>
      <c r="L84" s="2005"/>
      <c r="M84" s="2005"/>
      <c r="N84" s="2005"/>
      <c r="O84" s="2005">
        <v>0</v>
      </c>
      <c r="P84" s="2005"/>
      <c r="Q84" s="2005"/>
      <c r="R84" s="2005"/>
      <c r="S84" s="2005"/>
      <c r="T84" s="2005"/>
      <c r="U84" s="2005"/>
      <c r="V84" s="2005">
        <v>0</v>
      </c>
      <c r="W84" s="2005"/>
      <c r="X84" s="2005"/>
      <c r="Y84" s="2005"/>
      <c r="Z84" s="2005"/>
      <c r="AA84" s="2005"/>
      <c r="AB84" s="2005">
        <v>0</v>
      </c>
      <c r="AC84" s="2005"/>
      <c r="AD84" s="2005"/>
      <c r="AE84" s="2005"/>
      <c r="AF84" s="2005"/>
      <c r="AG84" s="2005"/>
      <c r="AH84" s="2006"/>
      <c r="AI84" s="1097"/>
      <c r="AJ84" s="1994"/>
      <c r="AK84" s="1995"/>
      <c r="AL84" s="1995"/>
      <c r="AM84" s="1995"/>
      <c r="AN84" s="1995"/>
      <c r="AO84" s="1995"/>
      <c r="AP84" s="1995"/>
      <c r="AQ84" s="1995"/>
      <c r="AR84" s="1995"/>
      <c r="AS84" s="1995"/>
      <c r="AT84" s="1995"/>
      <c r="AU84" s="1995"/>
      <c r="AV84" s="1995"/>
      <c r="AW84" s="1995"/>
      <c r="AX84" s="1995"/>
      <c r="AY84" s="1998"/>
      <c r="AZ84" s="1998"/>
      <c r="BA84" s="1998"/>
      <c r="BB84" s="1999"/>
      <c r="BC84" s="1097"/>
      <c r="BD84" s="1097"/>
      <c r="BE84" s="1101"/>
      <c r="CK84" s="1095"/>
      <c r="CL84" s="1095"/>
      <c r="CM84" s="1095"/>
      <c r="CN84" s="1095"/>
      <c r="CO84" s="1095"/>
      <c r="CP84" s="1095"/>
    </row>
    <row r="85" spans="1:94" ht="15.75" customHeight="1">
      <c r="A85" s="1097"/>
      <c r="B85" s="1927" t="s">
        <v>1980</v>
      </c>
      <c r="C85" s="1928"/>
      <c r="D85" s="1928"/>
      <c r="E85" s="1928"/>
      <c r="F85" s="1928"/>
      <c r="G85" s="1928"/>
      <c r="H85" s="1928"/>
      <c r="I85" s="2005">
        <v>0</v>
      </c>
      <c r="J85" s="2005"/>
      <c r="K85" s="2005"/>
      <c r="L85" s="2005"/>
      <c r="M85" s="2005"/>
      <c r="N85" s="2005"/>
      <c r="O85" s="2005">
        <v>0</v>
      </c>
      <c r="P85" s="2005"/>
      <c r="Q85" s="2005"/>
      <c r="R85" s="2005"/>
      <c r="S85" s="2005"/>
      <c r="T85" s="2005"/>
      <c r="U85" s="2005"/>
      <c r="V85" s="2005">
        <v>0</v>
      </c>
      <c r="W85" s="2005"/>
      <c r="X85" s="2005"/>
      <c r="Y85" s="2005"/>
      <c r="Z85" s="2005"/>
      <c r="AA85" s="2005"/>
      <c r="AB85" s="2005">
        <v>0</v>
      </c>
      <c r="AC85" s="2005"/>
      <c r="AD85" s="2005"/>
      <c r="AE85" s="2005"/>
      <c r="AF85" s="2005"/>
      <c r="AG85" s="2005"/>
      <c r="AH85" s="2006"/>
      <c r="AI85" s="1097"/>
      <c r="AJ85" s="1975" t="s">
        <v>1981</v>
      </c>
      <c r="AK85" s="1976"/>
      <c r="AL85" s="1976"/>
      <c r="AM85" s="1976"/>
      <c r="AN85" s="1976"/>
      <c r="AO85" s="1976"/>
      <c r="AP85" s="1976"/>
      <c r="AQ85" s="1976"/>
      <c r="AR85" s="1976"/>
      <c r="AS85" s="1976"/>
      <c r="AT85" s="1976"/>
      <c r="AU85" s="1976"/>
      <c r="AV85" s="1976"/>
      <c r="AW85" s="1976"/>
      <c r="AX85" s="1976"/>
      <c r="AY85" s="1976"/>
      <c r="AZ85" s="1976"/>
      <c r="BA85" s="1976"/>
      <c r="BB85" s="1977"/>
      <c r="BC85" s="1097"/>
      <c r="BD85" s="1097"/>
      <c r="BE85" s="1101"/>
      <c r="CK85" s="1095"/>
      <c r="CL85" s="1095"/>
      <c r="CM85" s="1095"/>
      <c r="CN85" s="1095"/>
      <c r="CO85" s="1095"/>
      <c r="CP85" s="1095"/>
    </row>
    <row r="86" spans="1:94" ht="15.75" customHeight="1" thickBot="1">
      <c r="A86" s="1097"/>
      <c r="B86" s="1945" t="s">
        <v>1982</v>
      </c>
      <c r="C86" s="1946"/>
      <c r="D86" s="1946"/>
      <c r="E86" s="1946"/>
      <c r="F86" s="1946"/>
      <c r="G86" s="1946"/>
      <c r="H86" s="1946"/>
      <c r="I86" s="2003">
        <v>0</v>
      </c>
      <c r="J86" s="2003"/>
      <c r="K86" s="2003"/>
      <c r="L86" s="2003"/>
      <c r="M86" s="2003"/>
      <c r="N86" s="2003"/>
      <c r="O86" s="2003">
        <v>0</v>
      </c>
      <c r="P86" s="2003"/>
      <c r="Q86" s="2003"/>
      <c r="R86" s="2003"/>
      <c r="S86" s="2003"/>
      <c r="T86" s="2003"/>
      <c r="U86" s="2003"/>
      <c r="V86" s="2003">
        <v>0</v>
      </c>
      <c r="W86" s="2003"/>
      <c r="X86" s="2003"/>
      <c r="Y86" s="2003"/>
      <c r="Z86" s="2003"/>
      <c r="AA86" s="2003"/>
      <c r="AB86" s="2003">
        <v>0</v>
      </c>
      <c r="AC86" s="2003"/>
      <c r="AD86" s="2003"/>
      <c r="AE86" s="2003"/>
      <c r="AF86" s="2003"/>
      <c r="AG86" s="2003"/>
      <c r="AH86" s="2004"/>
      <c r="AI86" s="1097"/>
      <c r="AJ86" s="1978"/>
      <c r="AK86" s="1979"/>
      <c r="AL86" s="1979"/>
      <c r="AM86" s="1979"/>
      <c r="AN86" s="1979"/>
      <c r="AO86" s="1979"/>
      <c r="AP86" s="1979"/>
      <c r="AQ86" s="1979"/>
      <c r="AR86" s="1979"/>
      <c r="AS86" s="1979"/>
      <c r="AT86" s="1979"/>
      <c r="AU86" s="1979"/>
      <c r="AV86" s="1979"/>
      <c r="AW86" s="1979"/>
      <c r="AX86" s="1979"/>
      <c r="AY86" s="1979"/>
      <c r="AZ86" s="1979"/>
      <c r="BA86" s="1979"/>
      <c r="BB86" s="1980"/>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1983</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1972</v>
      </c>
      <c r="C90" s="1120"/>
      <c r="D90" s="1121"/>
      <c r="E90" s="1122"/>
      <c r="F90" s="1986"/>
      <c r="G90" s="1987"/>
      <c r="H90" s="1987"/>
      <c r="I90" s="1987"/>
      <c r="J90" s="1987"/>
      <c r="K90" s="1987"/>
      <c r="L90" s="1987"/>
      <c r="M90" s="1987"/>
      <c r="N90" s="1987"/>
      <c r="O90" s="1987"/>
      <c r="P90" s="1987"/>
      <c r="Q90" s="1987"/>
      <c r="R90" s="1987"/>
      <c r="S90" s="1987"/>
      <c r="T90" s="1988"/>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1989" t="s">
        <v>1984</v>
      </c>
      <c r="C92" s="1990"/>
      <c r="D92" s="1990"/>
      <c r="E92" s="1990"/>
      <c r="F92" s="1990"/>
      <c r="G92" s="1990"/>
      <c r="H92" s="1990"/>
      <c r="I92" s="1990"/>
      <c r="J92" s="1990"/>
      <c r="K92" s="1990"/>
      <c r="L92" s="1990"/>
      <c r="M92" s="1990"/>
      <c r="N92" s="1990"/>
      <c r="O92" s="1990"/>
      <c r="P92" s="1990"/>
      <c r="Q92" s="1990"/>
      <c r="R92" s="1990"/>
      <c r="S92" s="1990"/>
      <c r="T92" s="1990"/>
      <c r="U92" s="1990"/>
      <c r="V92" s="1990"/>
      <c r="W92" s="1990"/>
      <c r="X92" s="1990"/>
      <c r="Y92" s="1990"/>
      <c r="Z92" s="1990"/>
      <c r="AA92" s="1990"/>
      <c r="AB92" s="1990"/>
      <c r="AC92" s="1990"/>
      <c r="AD92" s="1990"/>
      <c r="AE92" s="1990"/>
      <c r="AF92" s="1990"/>
      <c r="AG92" s="1990"/>
      <c r="AH92" s="1991"/>
      <c r="AI92" s="1097"/>
      <c r="AJ92" s="1992" t="s">
        <v>1985</v>
      </c>
      <c r="AK92" s="1993"/>
      <c r="AL92" s="1993"/>
      <c r="AM92" s="1993"/>
      <c r="AN92" s="1993"/>
      <c r="AO92" s="1993"/>
      <c r="AP92" s="1993"/>
      <c r="AQ92" s="1993"/>
      <c r="AR92" s="1993"/>
      <c r="AS92" s="1993"/>
      <c r="AT92" s="1993"/>
      <c r="AU92" s="1993"/>
      <c r="AV92" s="1993"/>
      <c r="AW92" s="1993"/>
      <c r="AX92" s="1993"/>
      <c r="AY92" s="1996" t="s">
        <v>857</v>
      </c>
      <c r="AZ92" s="1996"/>
      <c r="BA92" s="1996"/>
      <c r="BB92" s="1997"/>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27"/>
      <c r="C93" s="1928"/>
      <c r="D93" s="1928"/>
      <c r="E93" s="1928"/>
      <c r="F93" s="1928"/>
      <c r="G93" s="1928"/>
      <c r="H93" s="1928"/>
      <c r="I93" s="1928" t="s">
        <v>1975</v>
      </c>
      <c r="J93" s="1928"/>
      <c r="K93" s="1928"/>
      <c r="L93" s="1928"/>
      <c r="M93" s="1928"/>
      <c r="N93" s="1928"/>
      <c r="O93" s="1928" t="s">
        <v>1976</v>
      </c>
      <c r="P93" s="1928"/>
      <c r="Q93" s="1928"/>
      <c r="R93" s="1928"/>
      <c r="S93" s="1928"/>
      <c r="T93" s="1928"/>
      <c r="U93" s="1928"/>
      <c r="V93" s="2000" t="s">
        <v>1977</v>
      </c>
      <c r="W93" s="2000"/>
      <c r="X93" s="2000"/>
      <c r="Y93" s="2000"/>
      <c r="Z93" s="2000"/>
      <c r="AA93" s="2000"/>
      <c r="AB93" s="2001" t="s">
        <v>1978</v>
      </c>
      <c r="AC93" s="2001"/>
      <c r="AD93" s="2001"/>
      <c r="AE93" s="2001"/>
      <c r="AF93" s="2001"/>
      <c r="AG93" s="2001"/>
      <c r="AH93" s="2002"/>
      <c r="AI93" s="1097"/>
      <c r="AJ93" s="1994"/>
      <c r="AK93" s="1995"/>
      <c r="AL93" s="1995"/>
      <c r="AM93" s="1995"/>
      <c r="AN93" s="1995"/>
      <c r="AO93" s="1995"/>
      <c r="AP93" s="1995"/>
      <c r="AQ93" s="1995"/>
      <c r="AR93" s="1995"/>
      <c r="AS93" s="1995"/>
      <c r="AT93" s="1995"/>
      <c r="AU93" s="1995"/>
      <c r="AV93" s="1995"/>
      <c r="AW93" s="1995"/>
      <c r="AX93" s="1995"/>
      <c r="AY93" s="1998"/>
      <c r="AZ93" s="1998"/>
      <c r="BA93" s="1998"/>
      <c r="BB93" s="1999"/>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27"/>
      <c r="C94" s="1928"/>
      <c r="D94" s="1928"/>
      <c r="E94" s="1928"/>
      <c r="F94" s="1928"/>
      <c r="G94" s="1928"/>
      <c r="H94" s="1928"/>
      <c r="I94" s="1928"/>
      <c r="J94" s="1928"/>
      <c r="K94" s="1928"/>
      <c r="L94" s="1928"/>
      <c r="M94" s="1928"/>
      <c r="N94" s="1928"/>
      <c r="O94" s="1928"/>
      <c r="P94" s="1928"/>
      <c r="Q94" s="1928"/>
      <c r="R94" s="1928"/>
      <c r="S94" s="1928"/>
      <c r="T94" s="1928"/>
      <c r="U94" s="1928"/>
      <c r="V94" s="2000"/>
      <c r="W94" s="2000"/>
      <c r="X94" s="2000"/>
      <c r="Y94" s="2000"/>
      <c r="Z94" s="2000"/>
      <c r="AA94" s="2000"/>
      <c r="AB94" s="2001"/>
      <c r="AC94" s="2001"/>
      <c r="AD94" s="2001"/>
      <c r="AE94" s="2001"/>
      <c r="AF94" s="2001"/>
      <c r="AG94" s="2001"/>
      <c r="AH94" s="2002"/>
      <c r="AI94" s="1097"/>
      <c r="AJ94" s="1994"/>
      <c r="AK94" s="1995"/>
      <c r="AL94" s="1995"/>
      <c r="AM94" s="1995"/>
      <c r="AN94" s="1995"/>
      <c r="AO94" s="1995"/>
      <c r="AP94" s="1995"/>
      <c r="AQ94" s="1995"/>
      <c r="AR94" s="1995"/>
      <c r="AS94" s="1995"/>
      <c r="AT94" s="1995"/>
      <c r="AU94" s="1995"/>
      <c r="AV94" s="1995"/>
      <c r="AW94" s="1995"/>
      <c r="AX94" s="1995"/>
      <c r="AY94" s="1998"/>
      <c r="AZ94" s="1998"/>
      <c r="BA94" s="1998"/>
      <c r="BB94" s="1999"/>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27" t="s">
        <v>1979</v>
      </c>
      <c r="C95" s="1928"/>
      <c r="D95" s="1928"/>
      <c r="E95" s="1928"/>
      <c r="F95" s="1928"/>
      <c r="G95" s="1928"/>
      <c r="H95" s="1928"/>
      <c r="I95" s="2005">
        <v>0</v>
      </c>
      <c r="J95" s="2005"/>
      <c r="K95" s="2005"/>
      <c r="L95" s="2005"/>
      <c r="M95" s="2005"/>
      <c r="N95" s="2005"/>
      <c r="O95" s="2005">
        <v>0</v>
      </c>
      <c r="P95" s="2005"/>
      <c r="Q95" s="2005"/>
      <c r="R95" s="2005"/>
      <c r="S95" s="2005"/>
      <c r="T95" s="2005"/>
      <c r="U95" s="2005"/>
      <c r="V95" s="2005">
        <v>0</v>
      </c>
      <c r="W95" s="2005"/>
      <c r="X95" s="2005"/>
      <c r="Y95" s="2005"/>
      <c r="Z95" s="2005"/>
      <c r="AA95" s="2005"/>
      <c r="AB95" s="2005">
        <v>0</v>
      </c>
      <c r="AC95" s="2005"/>
      <c r="AD95" s="2005"/>
      <c r="AE95" s="2005"/>
      <c r="AF95" s="2005"/>
      <c r="AG95" s="2005"/>
      <c r="AH95" s="2006"/>
      <c r="AI95" s="1097"/>
      <c r="AJ95" s="1994"/>
      <c r="AK95" s="1995"/>
      <c r="AL95" s="1995"/>
      <c r="AM95" s="1995"/>
      <c r="AN95" s="1995"/>
      <c r="AO95" s="1995"/>
      <c r="AP95" s="1995"/>
      <c r="AQ95" s="1995"/>
      <c r="AR95" s="1995"/>
      <c r="AS95" s="1995"/>
      <c r="AT95" s="1995"/>
      <c r="AU95" s="1995"/>
      <c r="AV95" s="1995"/>
      <c r="AW95" s="1995"/>
      <c r="AX95" s="1995"/>
      <c r="AY95" s="1998"/>
      <c r="AZ95" s="1998"/>
      <c r="BA95" s="1998"/>
      <c r="BB95" s="1999"/>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27" t="s">
        <v>1980</v>
      </c>
      <c r="C96" s="1928"/>
      <c r="D96" s="1928"/>
      <c r="E96" s="1928"/>
      <c r="F96" s="1928"/>
      <c r="G96" s="1928"/>
      <c r="H96" s="1928"/>
      <c r="I96" s="2005">
        <v>0</v>
      </c>
      <c r="J96" s="2005"/>
      <c r="K96" s="2005"/>
      <c r="L96" s="2005"/>
      <c r="M96" s="2005"/>
      <c r="N96" s="2005"/>
      <c r="O96" s="2005">
        <v>0</v>
      </c>
      <c r="P96" s="2005"/>
      <c r="Q96" s="2005"/>
      <c r="R96" s="2005"/>
      <c r="S96" s="2005"/>
      <c r="T96" s="2005"/>
      <c r="U96" s="2005"/>
      <c r="V96" s="2005">
        <v>0</v>
      </c>
      <c r="W96" s="2005"/>
      <c r="X96" s="2005"/>
      <c r="Y96" s="2005"/>
      <c r="Z96" s="2005"/>
      <c r="AA96" s="2005"/>
      <c r="AB96" s="2005">
        <v>0</v>
      </c>
      <c r="AC96" s="2005"/>
      <c r="AD96" s="2005"/>
      <c r="AE96" s="2005"/>
      <c r="AF96" s="2005"/>
      <c r="AG96" s="2005"/>
      <c r="AH96" s="2006"/>
      <c r="AI96" s="1097"/>
      <c r="AJ96" s="1975" t="s">
        <v>1981</v>
      </c>
      <c r="AK96" s="1976"/>
      <c r="AL96" s="1976"/>
      <c r="AM96" s="1976"/>
      <c r="AN96" s="1976"/>
      <c r="AO96" s="1976"/>
      <c r="AP96" s="1976"/>
      <c r="AQ96" s="1976"/>
      <c r="AR96" s="1976"/>
      <c r="AS96" s="1976"/>
      <c r="AT96" s="1976"/>
      <c r="AU96" s="1976"/>
      <c r="AV96" s="1976"/>
      <c r="AW96" s="1976"/>
      <c r="AX96" s="1976"/>
      <c r="AY96" s="1976"/>
      <c r="AZ96" s="1976"/>
      <c r="BA96" s="1976"/>
      <c r="BB96" s="1977"/>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45" t="s">
        <v>1982</v>
      </c>
      <c r="C97" s="1946"/>
      <c r="D97" s="1946"/>
      <c r="E97" s="1946"/>
      <c r="F97" s="1946"/>
      <c r="G97" s="1946"/>
      <c r="H97" s="1946"/>
      <c r="I97" s="2003">
        <v>0</v>
      </c>
      <c r="J97" s="2003"/>
      <c r="K97" s="2003"/>
      <c r="L97" s="2003"/>
      <c r="M97" s="2003"/>
      <c r="N97" s="2003"/>
      <c r="O97" s="2003">
        <v>0</v>
      </c>
      <c r="P97" s="2003"/>
      <c r="Q97" s="2003"/>
      <c r="R97" s="2003"/>
      <c r="S97" s="2003"/>
      <c r="T97" s="2003"/>
      <c r="U97" s="2003"/>
      <c r="V97" s="2003">
        <v>0</v>
      </c>
      <c r="W97" s="2003"/>
      <c r="X97" s="2003"/>
      <c r="Y97" s="2003"/>
      <c r="Z97" s="2003"/>
      <c r="AA97" s="2003"/>
      <c r="AB97" s="2003">
        <v>0</v>
      </c>
      <c r="AC97" s="2003"/>
      <c r="AD97" s="2003"/>
      <c r="AE97" s="2003"/>
      <c r="AF97" s="2003"/>
      <c r="AG97" s="2003"/>
      <c r="AH97" s="2004"/>
      <c r="AI97" s="1097"/>
      <c r="AJ97" s="1978"/>
      <c r="AK97" s="1979"/>
      <c r="AL97" s="1979"/>
      <c r="AM97" s="1979"/>
      <c r="AN97" s="1979"/>
      <c r="AO97" s="1979"/>
      <c r="AP97" s="1979"/>
      <c r="AQ97" s="1979"/>
      <c r="AR97" s="1979"/>
      <c r="AS97" s="1979"/>
      <c r="AT97" s="1979"/>
      <c r="AU97" s="1979"/>
      <c r="AV97" s="1979"/>
      <c r="AW97" s="1979"/>
      <c r="AX97" s="1979"/>
      <c r="AY97" s="1979"/>
      <c r="AZ97" s="1979"/>
      <c r="BA97" s="1979"/>
      <c r="BB97" s="1980"/>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1986</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1972</v>
      </c>
      <c r="C100" s="1120"/>
      <c r="D100" s="1127"/>
      <c r="E100" s="1128"/>
      <c r="F100" s="2007"/>
      <c r="G100" s="2008"/>
      <c r="H100" s="2008"/>
      <c r="I100" s="2008"/>
      <c r="J100" s="2008"/>
      <c r="K100" s="2008"/>
      <c r="L100" s="2008"/>
      <c r="M100" s="2008"/>
      <c r="N100" s="2008"/>
      <c r="O100" s="2008"/>
      <c r="P100" s="2008"/>
      <c r="Q100" s="2008"/>
      <c r="R100" s="2009"/>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71" t="s">
        <v>1987</v>
      </c>
      <c r="C102" s="1972"/>
      <c r="D102" s="1972"/>
      <c r="E102" s="1972"/>
      <c r="F102" s="1972"/>
      <c r="G102" s="1972"/>
      <c r="H102" s="1972"/>
      <c r="I102" s="1972"/>
      <c r="J102" s="1972"/>
      <c r="K102" s="1972"/>
      <c r="L102" s="1972"/>
      <c r="M102" s="1972"/>
      <c r="N102" s="1972"/>
      <c r="O102" s="1972"/>
      <c r="P102" s="1972"/>
      <c r="Q102" s="1972"/>
      <c r="R102" s="1972"/>
      <c r="S102" s="1972"/>
      <c r="T102" s="1972"/>
      <c r="U102" s="1972"/>
      <c r="V102" s="1972"/>
      <c r="W102" s="1972"/>
      <c r="X102" s="1972"/>
      <c r="Y102" s="1972"/>
      <c r="Z102" s="1972"/>
      <c r="AA102" s="1972"/>
      <c r="AB102" s="1972"/>
      <c r="AC102" s="1972"/>
      <c r="AD102" s="1972"/>
      <c r="AE102" s="1972"/>
      <c r="AF102" s="1972"/>
      <c r="AG102" s="1972"/>
      <c r="AH102" s="2010"/>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27"/>
      <c r="C103" s="1928"/>
      <c r="D103" s="1928"/>
      <c r="E103" s="1928"/>
      <c r="F103" s="1928"/>
      <c r="G103" s="1928"/>
      <c r="H103" s="1928"/>
      <c r="I103" s="1928" t="s">
        <v>1975</v>
      </c>
      <c r="J103" s="1928"/>
      <c r="K103" s="1928"/>
      <c r="L103" s="1928"/>
      <c r="M103" s="1928"/>
      <c r="N103" s="1928"/>
      <c r="O103" s="1928" t="s">
        <v>1976</v>
      </c>
      <c r="P103" s="1928"/>
      <c r="Q103" s="1928"/>
      <c r="R103" s="1928"/>
      <c r="S103" s="1928"/>
      <c r="T103" s="1928"/>
      <c r="U103" s="1928"/>
      <c r="V103" s="2000" t="s">
        <v>1977</v>
      </c>
      <c r="W103" s="2000"/>
      <c r="X103" s="2000"/>
      <c r="Y103" s="2000"/>
      <c r="Z103" s="2000"/>
      <c r="AA103" s="2000"/>
      <c r="AB103" s="2001" t="s">
        <v>1978</v>
      </c>
      <c r="AC103" s="2001"/>
      <c r="AD103" s="2001"/>
      <c r="AE103" s="2001"/>
      <c r="AF103" s="2001"/>
      <c r="AG103" s="2001"/>
      <c r="AH103" s="2002"/>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27"/>
      <c r="C104" s="1928"/>
      <c r="D104" s="1928"/>
      <c r="E104" s="1928"/>
      <c r="F104" s="1928"/>
      <c r="G104" s="1928"/>
      <c r="H104" s="1928"/>
      <c r="I104" s="1928"/>
      <c r="J104" s="1928"/>
      <c r="K104" s="1928"/>
      <c r="L104" s="1928"/>
      <c r="M104" s="1928"/>
      <c r="N104" s="1928"/>
      <c r="O104" s="1928"/>
      <c r="P104" s="1928"/>
      <c r="Q104" s="1928"/>
      <c r="R104" s="1928"/>
      <c r="S104" s="1928"/>
      <c r="T104" s="1928"/>
      <c r="U104" s="1928"/>
      <c r="V104" s="2000"/>
      <c r="W104" s="2000"/>
      <c r="X104" s="2000"/>
      <c r="Y104" s="2000"/>
      <c r="Z104" s="2000"/>
      <c r="AA104" s="2000"/>
      <c r="AB104" s="2001"/>
      <c r="AC104" s="2001"/>
      <c r="AD104" s="2001"/>
      <c r="AE104" s="2001"/>
      <c r="AF104" s="2001"/>
      <c r="AG104" s="2001"/>
      <c r="AH104" s="2002"/>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27" t="s">
        <v>1979</v>
      </c>
      <c r="C105" s="1928"/>
      <c r="D105" s="1928"/>
      <c r="E105" s="1928"/>
      <c r="F105" s="1928"/>
      <c r="G105" s="1928"/>
      <c r="H105" s="1928"/>
      <c r="I105" s="2005">
        <v>0</v>
      </c>
      <c r="J105" s="2005"/>
      <c r="K105" s="2005"/>
      <c r="L105" s="2005"/>
      <c r="M105" s="2005"/>
      <c r="N105" s="2005"/>
      <c r="O105" s="2005">
        <v>0</v>
      </c>
      <c r="P105" s="2005"/>
      <c r="Q105" s="2005"/>
      <c r="R105" s="2005"/>
      <c r="S105" s="2005"/>
      <c r="T105" s="2005"/>
      <c r="U105" s="2005"/>
      <c r="V105" s="2005">
        <v>0</v>
      </c>
      <c r="W105" s="2005"/>
      <c r="X105" s="2005"/>
      <c r="Y105" s="2005"/>
      <c r="Z105" s="2005"/>
      <c r="AA105" s="2005"/>
      <c r="AB105" s="2005">
        <v>0</v>
      </c>
      <c r="AC105" s="2005"/>
      <c r="AD105" s="2005"/>
      <c r="AE105" s="2005"/>
      <c r="AF105" s="2005"/>
      <c r="AG105" s="2005"/>
      <c r="AH105" s="2006"/>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27" t="s">
        <v>1980</v>
      </c>
      <c r="C106" s="1928"/>
      <c r="D106" s="1928"/>
      <c r="E106" s="1928"/>
      <c r="F106" s="1928"/>
      <c r="G106" s="1928"/>
      <c r="H106" s="1928"/>
      <c r="I106" s="2005">
        <v>0</v>
      </c>
      <c r="J106" s="2005"/>
      <c r="K106" s="2005"/>
      <c r="L106" s="2005"/>
      <c r="M106" s="2005"/>
      <c r="N106" s="2005"/>
      <c r="O106" s="2005">
        <v>0</v>
      </c>
      <c r="P106" s="2005"/>
      <c r="Q106" s="2005"/>
      <c r="R106" s="2005"/>
      <c r="S106" s="2005"/>
      <c r="T106" s="2005"/>
      <c r="U106" s="2005"/>
      <c r="V106" s="2005">
        <v>0</v>
      </c>
      <c r="W106" s="2005"/>
      <c r="X106" s="2005"/>
      <c r="Y106" s="2005"/>
      <c r="Z106" s="2005"/>
      <c r="AA106" s="2005"/>
      <c r="AB106" s="2005">
        <v>0</v>
      </c>
      <c r="AC106" s="2005"/>
      <c r="AD106" s="2005"/>
      <c r="AE106" s="2005"/>
      <c r="AF106" s="2005"/>
      <c r="AG106" s="2005"/>
      <c r="AH106" s="2006"/>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45" t="s">
        <v>1982</v>
      </c>
      <c r="C107" s="1946"/>
      <c r="D107" s="1946"/>
      <c r="E107" s="1946"/>
      <c r="F107" s="1946"/>
      <c r="G107" s="1946"/>
      <c r="H107" s="1946"/>
      <c r="I107" s="2003">
        <v>0</v>
      </c>
      <c r="J107" s="2003"/>
      <c r="K107" s="2003"/>
      <c r="L107" s="2003"/>
      <c r="M107" s="2003"/>
      <c r="N107" s="2003"/>
      <c r="O107" s="2003">
        <v>0</v>
      </c>
      <c r="P107" s="2003"/>
      <c r="Q107" s="2003"/>
      <c r="R107" s="2003"/>
      <c r="S107" s="2003"/>
      <c r="T107" s="2003"/>
      <c r="U107" s="2003"/>
      <c r="V107" s="2003">
        <v>0</v>
      </c>
      <c r="W107" s="2003"/>
      <c r="X107" s="2003"/>
      <c r="Y107" s="2003"/>
      <c r="Z107" s="2003"/>
      <c r="AA107" s="2003"/>
      <c r="AB107" s="2003">
        <v>0</v>
      </c>
      <c r="AC107" s="2003"/>
      <c r="AD107" s="2003"/>
      <c r="AE107" s="2003"/>
      <c r="AF107" s="2003"/>
      <c r="AG107" s="2003"/>
      <c r="AH107" s="2004"/>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1988</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1972</v>
      </c>
      <c r="C110" s="1120"/>
      <c r="D110" s="1127"/>
      <c r="E110" s="1128"/>
      <c r="F110" s="2007"/>
      <c r="G110" s="2008"/>
      <c r="H110" s="2008"/>
      <c r="I110" s="2008"/>
      <c r="J110" s="2008"/>
      <c r="K110" s="2008"/>
      <c r="L110" s="2008"/>
      <c r="M110" s="2008"/>
      <c r="N110" s="2008"/>
      <c r="O110" s="2008"/>
      <c r="P110" s="2008"/>
      <c r="Q110" s="2008"/>
      <c r="R110" s="2009"/>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1" t="s">
        <v>1989</v>
      </c>
      <c r="C112" s="2012"/>
      <c r="D112" s="2012"/>
      <c r="E112" s="2012"/>
      <c r="F112" s="2012"/>
      <c r="G112" s="2012"/>
      <c r="H112" s="2012"/>
      <c r="I112" s="2012"/>
      <c r="J112" s="2012"/>
      <c r="K112" s="2012"/>
      <c r="L112" s="2012"/>
      <c r="M112" s="2012"/>
      <c r="N112" s="2012"/>
      <c r="O112" s="2012"/>
      <c r="P112" s="2012"/>
      <c r="Q112" s="2012"/>
      <c r="R112" s="2012"/>
      <c r="S112" s="2012"/>
      <c r="T112" s="2012"/>
      <c r="U112" s="2015" t="s">
        <v>857</v>
      </c>
      <c r="V112" s="2015"/>
      <c r="W112" s="2015"/>
      <c r="X112" s="2016"/>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13"/>
      <c r="C113" s="2014"/>
      <c r="D113" s="2014"/>
      <c r="E113" s="2014"/>
      <c r="F113" s="2014"/>
      <c r="G113" s="2014"/>
      <c r="H113" s="2014"/>
      <c r="I113" s="2014"/>
      <c r="J113" s="2014"/>
      <c r="K113" s="2014"/>
      <c r="L113" s="2014"/>
      <c r="M113" s="2014"/>
      <c r="N113" s="2014"/>
      <c r="O113" s="2014"/>
      <c r="P113" s="2014"/>
      <c r="Q113" s="2014"/>
      <c r="R113" s="2014"/>
      <c r="S113" s="2014"/>
      <c r="T113" s="2014"/>
      <c r="U113" s="2017"/>
      <c r="V113" s="2017"/>
      <c r="W113" s="2017"/>
      <c r="X113" s="2018"/>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13"/>
      <c r="C114" s="2014"/>
      <c r="D114" s="2014"/>
      <c r="E114" s="2014"/>
      <c r="F114" s="2014"/>
      <c r="G114" s="2014"/>
      <c r="H114" s="2014"/>
      <c r="I114" s="2014"/>
      <c r="J114" s="2014"/>
      <c r="K114" s="2014"/>
      <c r="L114" s="2014"/>
      <c r="M114" s="2014"/>
      <c r="N114" s="2014"/>
      <c r="O114" s="2014"/>
      <c r="P114" s="2014"/>
      <c r="Q114" s="2014"/>
      <c r="R114" s="2014"/>
      <c r="S114" s="2014"/>
      <c r="T114" s="2014"/>
      <c r="U114" s="2017"/>
      <c r="V114" s="2017"/>
      <c r="W114" s="2017"/>
      <c r="X114" s="2018"/>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13"/>
      <c r="C115" s="2014"/>
      <c r="D115" s="2014"/>
      <c r="E115" s="2014"/>
      <c r="F115" s="2014"/>
      <c r="G115" s="2014"/>
      <c r="H115" s="2014"/>
      <c r="I115" s="2014"/>
      <c r="J115" s="2014"/>
      <c r="K115" s="2014"/>
      <c r="L115" s="2014"/>
      <c r="M115" s="2014"/>
      <c r="N115" s="2014"/>
      <c r="O115" s="2014"/>
      <c r="P115" s="2014"/>
      <c r="Q115" s="2014"/>
      <c r="R115" s="2014"/>
      <c r="S115" s="2014"/>
      <c r="T115" s="2014"/>
      <c r="U115" s="2017"/>
      <c r="V115" s="2017"/>
      <c r="W115" s="2017"/>
      <c r="X115" s="2018"/>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19" t="s">
        <v>1989</v>
      </c>
      <c r="C116" s="2020"/>
      <c r="D116" s="2020"/>
      <c r="E116" s="2020"/>
      <c r="F116" s="2020"/>
      <c r="G116" s="2020"/>
      <c r="H116" s="2020"/>
      <c r="I116" s="2020"/>
      <c r="J116" s="2020"/>
      <c r="K116" s="2020"/>
      <c r="L116" s="2020"/>
      <c r="M116" s="2020"/>
      <c r="N116" s="2020"/>
      <c r="O116" s="2020"/>
      <c r="P116" s="2020"/>
      <c r="Q116" s="2020"/>
      <c r="R116" s="2020"/>
      <c r="S116" s="2020"/>
      <c r="T116" s="2020"/>
      <c r="U116" s="2023" t="s">
        <v>857</v>
      </c>
      <c r="V116" s="2023"/>
      <c r="W116" s="2023"/>
      <c r="X116" s="2024"/>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1"/>
      <c r="C117" s="2022"/>
      <c r="D117" s="2022"/>
      <c r="E117" s="2022"/>
      <c r="F117" s="2022"/>
      <c r="G117" s="2022"/>
      <c r="H117" s="2022"/>
      <c r="I117" s="2022"/>
      <c r="J117" s="2022"/>
      <c r="K117" s="2022"/>
      <c r="L117" s="2022"/>
      <c r="M117" s="2022"/>
      <c r="N117" s="2022"/>
      <c r="O117" s="2022"/>
      <c r="P117" s="2022"/>
      <c r="Q117" s="2022"/>
      <c r="R117" s="2022"/>
      <c r="S117" s="2022"/>
      <c r="T117" s="2022"/>
      <c r="U117" s="2025"/>
      <c r="V117" s="2025"/>
      <c r="W117" s="2025"/>
      <c r="X117" s="2026"/>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1990</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1992" t="s">
        <v>1991</v>
      </c>
      <c r="Y120" s="1993"/>
      <c r="Z120" s="1993"/>
      <c r="AA120" s="1993"/>
      <c r="AB120" s="1993"/>
      <c r="AC120" s="1993"/>
      <c r="AD120" s="1993"/>
      <c r="AE120" s="1993"/>
      <c r="AF120" s="1993"/>
      <c r="AG120" s="1993"/>
      <c r="AH120" s="1993"/>
      <c r="AI120" s="1993"/>
      <c r="AJ120" s="1993"/>
      <c r="AK120" s="1993"/>
      <c r="AL120" s="1993"/>
      <c r="AM120" s="1993"/>
      <c r="AN120" s="1993"/>
      <c r="AO120" s="1993"/>
      <c r="AP120" s="1993"/>
      <c r="AQ120" s="1993"/>
      <c r="AR120" s="1993"/>
      <c r="AS120" s="1993"/>
      <c r="AT120" s="1993"/>
      <c r="AU120" s="1993"/>
      <c r="AV120" s="1993"/>
      <c r="AW120" s="1993"/>
      <c r="AX120" s="1993"/>
      <c r="AY120" s="1993"/>
      <c r="AZ120" s="1993"/>
      <c r="BA120" s="1993"/>
      <c r="BB120" s="1993"/>
      <c r="BC120" s="1993"/>
      <c r="BD120" s="2033"/>
      <c r="BE120" s="1101"/>
    </row>
    <row r="121" spans="1:57" ht="15.75" customHeight="1">
      <c r="A121" s="1097"/>
      <c r="B121" s="2035" t="s">
        <v>1992</v>
      </c>
      <c r="C121" s="2036"/>
      <c r="D121" s="2036"/>
      <c r="E121" s="2036"/>
      <c r="F121" s="2036"/>
      <c r="G121" s="2036"/>
      <c r="H121" s="2036"/>
      <c r="I121" s="2036"/>
      <c r="J121" s="2036"/>
      <c r="K121" s="2036"/>
      <c r="L121" s="2036"/>
      <c r="M121" s="2036"/>
      <c r="N121" s="2036"/>
      <c r="O121" s="2036"/>
      <c r="P121" s="2036"/>
      <c r="Q121" s="2036"/>
      <c r="R121" s="2036"/>
      <c r="S121" s="2036"/>
      <c r="T121" s="2036"/>
      <c r="U121" s="2037"/>
      <c r="V121" s="1097"/>
      <c r="W121" s="1097"/>
      <c r="X121" s="1994"/>
      <c r="Y121" s="1995"/>
      <c r="Z121" s="1995"/>
      <c r="AA121" s="1995"/>
      <c r="AB121" s="1995"/>
      <c r="AC121" s="1995"/>
      <c r="AD121" s="1995"/>
      <c r="AE121" s="1995"/>
      <c r="AF121" s="1995"/>
      <c r="AG121" s="1995"/>
      <c r="AH121" s="1995"/>
      <c r="AI121" s="1995"/>
      <c r="AJ121" s="1995"/>
      <c r="AK121" s="1995"/>
      <c r="AL121" s="1995"/>
      <c r="AM121" s="1995"/>
      <c r="AN121" s="1995"/>
      <c r="AO121" s="1995"/>
      <c r="AP121" s="1995"/>
      <c r="AQ121" s="1995"/>
      <c r="AR121" s="1995"/>
      <c r="AS121" s="1995"/>
      <c r="AT121" s="1995"/>
      <c r="AU121" s="1995"/>
      <c r="AV121" s="1995"/>
      <c r="AW121" s="1995"/>
      <c r="AX121" s="1995"/>
      <c r="AY121" s="1995"/>
      <c r="AZ121" s="1995"/>
      <c r="BA121" s="1995"/>
      <c r="BB121" s="1995"/>
      <c r="BC121" s="1995"/>
      <c r="BD121" s="2034"/>
      <c r="BE121" s="1101"/>
    </row>
    <row r="122" spans="1:57" ht="15.75" customHeight="1">
      <c r="A122" s="1097"/>
      <c r="B122" s="2053"/>
      <c r="C122" s="2054"/>
      <c r="D122" s="2054"/>
      <c r="E122" s="2054"/>
      <c r="F122" s="2054"/>
      <c r="G122" s="2054"/>
      <c r="H122" s="2054"/>
      <c r="I122" s="1928" t="s">
        <v>1993</v>
      </c>
      <c r="J122" s="1928"/>
      <c r="K122" s="1928"/>
      <c r="L122" s="1928"/>
      <c r="M122" s="1928"/>
      <c r="N122" s="1928"/>
      <c r="O122" s="2057" t="s">
        <v>1994</v>
      </c>
      <c r="P122" s="2057"/>
      <c r="Q122" s="2057"/>
      <c r="R122" s="2057"/>
      <c r="S122" s="2057"/>
      <c r="T122" s="2057"/>
      <c r="U122" s="2058"/>
      <c r="V122" s="1097"/>
      <c r="W122" s="1097"/>
      <c r="X122" s="1975" t="s">
        <v>1970</v>
      </c>
      <c r="Y122" s="1976"/>
      <c r="Z122" s="1976"/>
      <c r="AA122" s="1976"/>
      <c r="AB122" s="1976"/>
      <c r="AC122" s="1976"/>
      <c r="AD122" s="1976"/>
      <c r="AE122" s="1976"/>
      <c r="AF122" s="1976"/>
      <c r="AG122" s="1976"/>
      <c r="AH122" s="1976"/>
      <c r="AI122" s="1976"/>
      <c r="AJ122" s="1976"/>
      <c r="AK122" s="1976"/>
      <c r="AL122" s="1976"/>
      <c r="AM122" s="1976"/>
      <c r="AN122" s="1976"/>
      <c r="AO122" s="1976"/>
      <c r="AP122" s="1976"/>
      <c r="AQ122" s="1976"/>
      <c r="AR122" s="1976"/>
      <c r="AS122" s="1976"/>
      <c r="AT122" s="1976"/>
      <c r="AU122" s="1976"/>
      <c r="AV122" s="1976"/>
      <c r="AW122" s="1976"/>
      <c r="AX122" s="1976"/>
      <c r="AY122" s="1976"/>
      <c r="AZ122" s="1976"/>
      <c r="BA122" s="1976"/>
      <c r="BB122" s="1976"/>
      <c r="BC122" s="1976"/>
      <c r="BD122" s="1977"/>
      <c r="BE122" s="1101"/>
    </row>
    <row r="123" spans="1:57" ht="15.75" customHeight="1">
      <c r="A123" s="1097"/>
      <c r="B123" s="2027" t="s">
        <v>1995</v>
      </c>
      <c r="C123" s="2028"/>
      <c r="D123" s="2028"/>
      <c r="E123" s="2028"/>
      <c r="F123" s="2028"/>
      <c r="G123" s="2028"/>
      <c r="H123" s="2028"/>
      <c r="I123" s="2005">
        <v>0</v>
      </c>
      <c r="J123" s="2005"/>
      <c r="K123" s="2005"/>
      <c r="L123" s="2005"/>
      <c r="M123" s="2005"/>
      <c r="N123" s="2005"/>
      <c r="O123" s="2005">
        <v>0</v>
      </c>
      <c r="P123" s="2005"/>
      <c r="Q123" s="2005"/>
      <c r="R123" s="2005"/>
      <c r="S123" s="2005"/>
      <c r="T123" s="2005"/>
      <c r="U123" s="2006"/>
      <c r="V123" s="1097"/>
      <c r="W123" s="1097"/>
      <c r="X123" s="1975"/>
      <c r="Y123" s="1976"/>
      <c r="Z123" s="1976"/>
      <c r="AA123" s="1976"/>
      <c r="AB123" s="1976"/>
      <c r="AC123" s="1976"/>
      <c r="AD123" s="1976"/>
      <c r="AE123" s="1976"/>
      <c r="AF123" s="1976"/>
      <c r="AG123" s="1976"/>
      <c r="AH123" s="1976"/>
      <c r="AI123" s="1976"/>
      <c r="AJ123" s="1976"/>
      <c r="AK123" s="1976"/>
      <c r="AL123" s="1976"/>
      <c r="AM123" s="1976"/>
      <c r="AN123" s="1976"/>
      <c r="AO123" s="1976"/>
      <c r="AP123" s="1976"/>
      <c r="AQ123" s="1976"/>
      <c r="AR123" s="1976"/>
      <c r="AS123" s="1976"/>
      <c r="AT123" s="1976"/>
      <c r="AU123" s="1976"/>
      <c r="AV123" s="1976"/>
      <c r="AW123" s="1976"/>
      <c r="AX123" s="1976"/>
      <c r="AY123" s="1976"/>
      <c r="AZ123" s="1976"/>
      <c r="BA123" s="1976"/>
      <c r="BB123" s="1976"/>
      <c r="BC123" s="1976"/>
      <c r="BD123" s="1977"/>
      <c r="BE123" s="1101"/>
    </row>
    <row r="124" spans="1:57" ht="15.75" customHeight="1" thickBot="1">
      <c r="A124" s="1097"/>
      <c r="B124" s="2029" t="s">
        <v>1996</v>
      </c>
      <c r="C124" s="2030"/>
      <c r="D124" s="2030"/>
      <c r="E124" s="2030"/>
      <c r="F124" s="2030"/>
      <c r="G124" s="2030"/>
      <c r="H124" s="2030"/>
      <c r="I124" s="2003">
        <v>0</v>
      </c>
      <c r="J124" s="2003"/>
      <c r="K124" s="2003"/>
      <c r="L124" s="2003"/>
      <c r="M124" s="2003"/>
      <c r="N124" s="2003"/>
      <c r="O124" s="2031"/>
      <c r="P124" s="2031"/>
      <c r="Q124" s="2031"/>
      <c r="R124" s="2031"/>
      <c r="S124" s="2031"/>
      <c r="T124" s="2031"/>
      <c r="U124" s="2032"/>
      <c r="V124" s="1097"/>
      <c r="W124" s="1097"/>
      <c r="X124" s="1975"/>
      <c r="Y124" s="1976"/>
      <c r="Z124" s="1976"/>
      <c r="AA124" s="1976"/>
      <c r="AB124" s="1976"/>
      <c r="AC124" s="1976"/>
      <c r="AD124" s="1976"/>
      <c r="AE124" s="1976"/>
      <c r="AF124" s="1976"/>
      <c r="AG124" s="1976"/>
      <c r="AH124" s="1976"/>
      <c r="AI124" s="1976"/>
      <c r="AJ124" s="1976"/>
      <c r="AK124" s="1976"/>
      <c r="AL124" s="1976"/>
      <c r="AM124" s="1976"/>
      <c r="AN124" s="1976"/>
      <c r="AO124" s="1976"/>
      <c r="AP124" s="1976"/>
      <c r="AQ124" s="1976"/>
      <c r="AR124" s="1976"/>
      <c r="AS124" s="1976"/>
      <c r="AT124" s="1976"/>
      <c r="AU124" s="1976"/>
      <c r="AV124" s="1976"/>
      <c r="AW124" s="1976"/>
      <c r="AX124" s="1976"/>
      <c r="AY124" s="1976"/>
      <c r="AZ124" s="1976"/>
      <c r="BA124" s="1976"/>
      <c r="BB124" s="1976"/>
      <c r="BC124" s="1976"/>
      <c r="BD124" s="1977"/>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5"/>
      <c r="Y125" s="1976"/>
      <c r="Z125" s="1976"/>
      <c r="AA125" s="1976"/>
      <c r="AB125" s="1976"/>
      <c r="AC125" s="1976"/>
      <c r="AD125" s="1976"/>
      <c r="AE125" s="1976"/>
      <c r="AF125" s="1976"/>
      <c r="AG125" s="1976"/>
      <c r="AH125" s="1976"/>
      <c r="AI125" s="1976"/>
      <c r="AJ125" s="1976"/>
      <c r="AK125" s="1976"/>
      <c r="AL125" s="1976"/>
      <c r="AM125" s="1976"/>
      <c r="AN125" s="1976"/>
      <c r="AO125" s="1976"/>
      <c r="AP125" s="1976"/>
      <c r="AQ125" s="1976"/>
      <c r="AR125" s="1976"/>
      <c r="AS125" s="1976"/>
      <c r="AT125" s="1976"/>
      <c r="AU125" s="1976"/>
      <c r="AV125" s="1976"/>
      <c r="AW125" s="1976"/>
      <c r="AX125" s="1976"/>
      <c r="AY125" s="1976"/>
      <c r="AZ125" s="1976"/>
      <c r="BA125" s="1976"/>
      <c r="BB125" s="1976"/>
      <c r="BC125" s="1976"/>
      <c r="BD125" s="1977"/>
      <c r="BE125" s="1101"/>
    </row>
    <row r="126" spans="1:57" ht="15.75" customHeight="1" thickBot="1">
      <c r="A126" s="1097"/>
      <c r="B126" s="1117" t="s">
        <v>1997</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5"/>
      <c r="Y126" s="1976"/>
      <c r="Z126" s="1976"/>
      <c r="AA126" s="1976"/>
      <c r="AB126" s="1976"/>
      <c r="AC126" s="1976"/>
      <c r="AD126" s="1976"/>
      <c r="AE126" s="1976"/>
      <c r="AF126" s="1976"/>
      <c r="AG126" s="1976"/>
      <c r="AH126" s="1976"/>
      <c r="AI126" s="1976"/>
      <c r="AJ126" s="1976"/>
      <c r="AK126" s="1976"/>
      <c r="AL126" s="1976"/>
      <c r="AM126" s="1976"/>
      <c r="AN126" s="1976"/>
      <c r="AO126" s="1976"/>
      <c r="AP126" s="1976"/>
      <c r="AQ126" s="1976"/>
      <c r="AR126" s="1976"/>
      <c r="AS126" s="1976"/>
      <c r="AT126" s="1976"/>
      <c r="AU126" s="1976"/>
      <c r="AV126" s="1976"/>
      <c r="AW126" s="1976"/>
      <c r="AX126" s="1976"/>
      <c r="AY126" s="1976"/>
      <c r="AZ126" s="1976"/>
      <c r="BA126" s="1976"/>
      <c r="BB126" s="1976"/>
      <c r="BC126" s="1976"/>
      <c r="BD126" s="1977"/>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5"/>
      <c r="Y127" s="1976"/>
      <c r="Z127" s="1976"/>
      <c r="AA127" s="1976"/>
      <c r="AB127" s="1976"/>
      <c r="AC127" s="1976"/>
      <c r="AD127" s="1976"/>
      <c r="AE127" s="1976"/>
      <c r="AF127" s="1976"/>
      <c r="AG127" s="1976"/>
      <c r="AH127" s="1976"/>
      <c r="AI127" s="1976"/>
      <c r="AJ127" s="1976"/>
      <c r="AK127" s="1976"/>
      <c r="AL127" s="1976"/>
      <c r="AM127" s="1976"/>
      <c r="AN127" s="1976"/>
      <c r="AO127" s="1976"/>
      <c r="AP127" s="1976"/>
      <c r="AQ127" s="1976"/>
      <c r="AR127" s="1976"/>
      <c r="AS127" s="1976"/>
      <c r="AT127" s="1976"/>
      <c r="AU127" s="1976"/>
      <c r="AV127" s="1976"/>
      <c r="AW127" s="1976"/>
      <c r="AX127" s="1976"/>
      <c r="AY127" s="1976"/>
      <c r="AZ127" s="1976"/>
      <c r="BA127" s="1976"/>
      <c r="BB127" s="1976"/>
      <c r="BC127" s="1976"/>
      <c r="BD127" s="1977"/>
      <c r="BE127" s="1101"/>
    </row>
    <row r="128" spans="1:57" ht="15.75" customHeight="1">
      <c r="A128" s="1097"/>
      <c r="B128" s="1829" t="s">
        <v>1998</v>
      </c>
      <c r="C128" s="1830"/>
      <c r="D128" s="1830"/>
      <c r="E128" s="1830"/>
      <c r="F128" s="1830"/>
      <c r="G128" s="1830"/>
      <c r="H128" s="1830"/>
      <c r="I128" s="1830"/>
      <c r="J128" s="1830"/>
      <c r="K128" s="1830"/>
      <c r="L128" s="1830"/>
      <c r="M128" s="1830"/>
      <c r="N128" s="1830"/>
      <c r="O128" s="1830"/>
      <c r="P128" s="1830"/>
      <c r="Q128" s="1830"/>
      <c r="R128" s="1830"/>
      <c r="S128" s="1830"/>
      <c r="T128" s="1830"/>
      <c r="U128" s="1831"/>
      <c r="V128" s="1097"/>
      <c r="W128" s="1097"/>
      <c r="X128" s="1975"/>
      <c r="Y128" s="1976"/>
      <c r="Z128" s="1976"/>
      <c r="AA128" s="1976"/>
      <c r="AB128" s="1976"/>
      <c r="AC128" s="1976"/>
      <c r="AD128" s="1976"/>
      <c r="AE128" s="1976"/>
      <c r="AF128" s="1976"/>
      <c r="AG128" s="1976"/>
      <c r="AH128" s="1976"/>
      <c r="AI128" s="1976"/>
      <c r="AJ128" s="1976"/>
      <c r="AK128" s="1976"/>
      <c r="AL128" s="1976"/>
      <c r="AM128" s="1976"/>
      <c r="AN128" s="1976"/>
      <c r="AO128" s="1976"/>
      <c r="AP128" s="1976"/>
      <c r="AQ128" s="1976"/>
      <c r="AR128" s="1976"/>
      <c r="AS128" s="1976"/>
      <c r="AT128" s="1976"/>
      <c r="AU128" s="1976"/>
      <c r="AV128" s="1976"/>
      <c r="AW128" s="1976"/>
      <c r="AX128" s="1976"/>
      <c r="AY128" s="1976"/>
      <c r="AZ128" s="1976"/>
      <c r="BA128" s="1976"/>
      <c r="BB128" s="1976"/>
      <c r="BC128" s="1976"/>
      <c r="BD128" s="1977"/>
      <c r="BE128" s="1101"/>
    </row>
    <row r="129" spans="1:57" ht="15.75" customHeight="1">
      <c r="A129" s="1097"/>
      <c r="B129" s="2053"/>
      <c r="C129" s="2054"/>
      <c r="D129" s="2054"/>
      <c r="E129" s="2054"/>
      <c r="F129" s="2054"/>
      <c r="G129" s="2054"/>
      <c r="H129" s="2054"/>
      <c r="I129" s="2055" t="s">
        <v>1976</v>
      </c>
      <c r="J129" s="2055"/>
      <c r="K129" s="2055"/>
      <c r="L129" s="2055"/>
      <c r="M129" s="2055"/>
      <c r="N129" s="2055"/>
      <c r="O129" s="2055"/>
      <c r="P129" s="2055" t="s">
        <v>1977</v>
      </c>
      <c r="Q129" s="2055"/>
      <c r="R129" s="2055"/>
      <c r="S129" s="2055"/>
      <c r="T129" s="2055"/>
      <c r="U129" s="2056"/>
      <c r="V129" s="1097"/>
      <c r="W129" s="1097"/>
      <c r="X129" s="1975"/>
      <c r="Y129" s="1976"/>
      <c r="Z129" s="1976"/>
      <c r="AA129" s="1976"/>
      <c r="AB129" s="1976"/>
      <c r="AC129" s="1976"/>
      <c r="AD129" s="1976"/>
      <c r="AE129" s="1976"/>
      <c r="AF129" s="1976"/>
      <c r="AG129" s="1976"/>
      <c r="AH129" s="1976"/>
      <c r="AI129" s="1976"/>
      <c r="AJ129" s="1976"/>
      <c r="AK129" s="1976"/>
      <c r="AL129" s="1976"/>
      <c r="AM129" s="1976"/>
      <c r="AN129" s="1976"/>
      <c r="AO129" s="1976"/>
      <c r="AP129" s="1976"/>
      <c r="AQ129" s="1976"/>
      <c r="AR129" s="1976"/>
      <c r="AS129" s="1976"/>
      <c r="AT129" s="1976"/>
      <c r="AU129" s="1976"/>
      <c r="AV129" s="1976"/>
      <c r="AW129" s="1976"/>
      <c r="AX129" s="1976"/>
      <c r="AY129" s="1976"/>
      <c r="AZ129" s="1976"/>
      <c r="BA129" s="1976"/>
      <c r="BB129" s="1976"/>
      <c r="BC129" s="1976"/>
      <c r="BD129" s="1977"/>
      <c r="BE129" s="1101"/>
    </row>
    <row r="130" spans="1:57" ht="15.75" customHeight="1">
      <c r="A130" s="1097"/>
      <c r="B130" s="2053"/>
      <c r="C130" s="2054"/>
      <c r="D130" s="2054"/>
      <c r="E130" s="2054"/>
      <c r="F130" s="2054"/>
      <c r="G130" s="2054"/>
      <c r="H130" s="2054"/>
      <c r="I130" s="2055"/>
      <c r="J130" s="2055"/>
      <c r="K130" s="2055"/>
      <c r="L130" s="2055"/>
      <c r="M130" s="2055"/>
      <c r="N130" s="2055"/>
      <c r="O130" s="2055"/>
      <c r="P130" s="2055"/>
      <c r="Q130" s="2055"/>
      <c r="R130" s="2055"/>
      <c r="S130" s="2055"/>
      <c r="T130" s="2055"/>
      <c r="U130" s="2056"/>
      <c r="V130" s="1097"/>
      <c r="W130" s="1097"/>
      <c r="X130" s="1975"/>
      <c r="Y130" s="1976"/>
      <c r="Z130" s="1976"/>
      <c r="AA130" s="1976"/>
      <c r="AB130" s="1976"/>
      <c r="AC130" s="1976"/>
      <c r="AD130" s="1976"/>
      <c r="AE130" s="1976"/>
      <c r="AF130" s="1976"/>
      <c r="AG130" s="1976"/>
      <c r="AH130" s="1976"/>
      <c r="AI130" s="1976"/>
      <c r="AJ130" s="1976"/>
      <c r="AK130" s="1976"/>
      <c r="AL130" s="1976"/>
      <c r="AM130" s="1976"/>
      <c r="AN130" s="1976"/>
      <c r="AO130" s="1976"/>
      <c r="AP130" s="1976"/>
      <c r="AQ130" s="1976"/>
      <c r="AR130" s="1976"/>
      <c r="AS130" s="1976"/>
      <c r="AT130" s="1976"/>
      <c r="AU130" s="1976"/>
      <c r="AV130" s="1976"/>
      <c r="AW130" s="1976"/>
      <c r="AX130" s="1976"/>
      <c r="AY130" s="1976"/>
      <c r="AZ130" s="1976"/>
      <c r="BA130" s="1976"/>
      <c r="BB130" s="1976"/>
      <c r="BC130" s="1976"/>
      <c r="BD130" s="1977"/>
      <c r="BE130" s="1101"/>
    </row>
    <row r="131" spans="1:57" ht="15.75" customHeight="1">
      <c r="A131" s="1097"/>
      <c r="B131" s="2027" t="s">
        <v>1995</v>
      </c>
      <c r="C131" s="2028"/>
      <c r="D131" s="2028"/>
      <c r="E131" s="2028"/>
      <c r="F131" s="2028"/>
      <c r="G131" s="2028"/>
      <c r="H131" s="2028"/>
      <c r="I131" s="2005">
        <v>0</v>
      </c>
      <c r="J131" s="2005"/>
      <c r="K131" s="2005"/>
      <c r="L131" s="2005"/>
      <c r="M131" s="2005"/>
      <c r="N131" s="2005"/>
      <c r="O131" s="2005"/>
      <c r="P131" s="2005">
        <v>0</v>
      </c>
      <c r="Q131" s="2005"/>
      <c r="R131" s="2005"/>
      <c r="S131" s="2005"/>
      <c r="T131" s="2005"/>
      <c r="U131" s="2006"/>
      <c r="V131" s="1097"/>
      <c r="W131" s="1097"/>
      <c r="X131" s="1975"/>
      <c r="Y131" s="1976"/>
      <c r="Z131" s="1976"/>
      <c r="AA131" s="1976"/>
      <c r="AB131" s="1976"/>
      <c r="AC131" s="1976"/>
      <c r="AD131" s="1976"/>
      <c r="AE131" s="1976"/>
      <c r="AF131" s="1976"/>
      <c r="AG131" s="1976"/>
      <c r="AH131" s="1976"/>
      <c r="AI131" s="1976"/>
      <c r="AJ131" s="1976"/>
      <c r="AK131" s="1976"/>
      <c r="AL131" s="1976"/>
      <c r="AM131" s="1976"/>
      <c r="AN131" s="1976"/>
      <c r="AO131" s="1976"/>
      <c r="AP131" s="1976"/>
      <c r="AQ131" s="1976"/>
      <c r="AR131" s="1976"/>
      <c r="AS131" s="1976"/>
      <c r="AT131" s="1976"/>
      <c r="AU131" s="1976"/>
      <c r="AV131" s="1976"/>
      <c r="AW131" s="1976"/>
      <c r="AX131" s="1976"/>
      <c r="AY131" s="1976"/>
      <c r="AZ131" s="1976"/>
      <c r="BA131" s="1976"/>
      <c r="BB131" s="1976"/>
      <c r="BC131" s="1976"/>
      <c r="BD131" s="1977"/>
      <c r="BE131" s="1101"/>
    </row>
    <row r="132" spans="1:57" ht="15.75" customHeight="1" thickBot="1">
      <c r="A132" s="1097"/>
      <c r="B132" s="2029" t="s">
        <v>1996</v>
      </c>
      <c r="C132" s="2030"/>
      <c r="D132" s="2030"/>
      <c r="E132" s="2030"/>
      <c r="F132" s="2030"/>
      <c r="G132" s="2030"/>
      <c r="H132" s="2030"/>
      <c r="I132" s="2003">
        <v>0</v>
      </c>
      <c r="J132" s="2003"/>
      <c r="K132" s="2003"/>
      <c r="L132" s="2003"/>
      <c r="M132" s="2003"/>
      <c r="N132" s="2003"/>
      <c r="O132" s="2003"/>
      <c r="P132" s="2003">
        <v>0</v>
      </c>
      <c r="Q132" s="2003"/>
      <c r="R132" s="2003"/>
      <c r="S132" s="2003"/>
      <c r="T132" s="2003"/>
      <c r="U132" s="2004"/>
      <c r="V132" s="1097"/>
      <c r="W132" s="1097"/>
      <c r="X132" s="1978"/>
      <c r="Y132" s="1979"/>
      <c r="Z132" s="1979"/>
      <c r="AA132" s="1979"/>
      <c r="AB132" s="1979"/>
      <c r="AC132" s="1979"/>
      <c r="AD132" s="1979"/>
      <c r="AE132" s="1979"/>
      <c r="AF132" s="1979"/>
      <c r="AG132" s="1979"/>
      <c r="AH132" s="1979"/>
      <c r="AI132" s="1979"/>
      <c r="AJ132" s="1979"/>
      <c r="AK132" s="1979"/>
      <c r="AL132" s="1979"/>
      <c r="AM132" s="1979"/>
      <c r="AN132" s="1979"/>
      <c r="AO132" s="1979"/>
      <c r="AP132" s="1979"/>
      <c r="AQ132" s="1979"/>
      <c r="AR132" s="1979"/>
      <c r="AS132" s="1979"/>
      <c r="AT132" s="1979"/>
      <c r="AU132" s="1979"/>
      <c r="AV132" s="1979"/>
      <c r="AW132" s="1979"/>
      <c r="AX132" s="1979"/>
      <c r="AY132" s="1979"/>
      <c r="AZ132" s="1979"/>
      <c r="BA132" s="1979"/>
      <c r="BB132" s="1979"/>
      <c r="BC132" s="1979"/>
      <c r="BD132" s="1980"/>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51" t="s">
        <v>1999</v>
      </c>
      <c r="C134" s="2052"/>
      <c r="D134" s="2052"/>
      <c r="E134" s="2052"/>
      <c r="F134" s="2052"/>
      <c r="G134" s="2052"/>
      <c r="H134" s="2052"/>
      <c r="I134" s="2052"/>
      <c r="J134" s="2052"/>
      <c r="K134" s="2052"/>
      <c r="L134" s="2052"/>
      <c r="M134" s="2052"/>
      <c r="N134" s="2052"/>
      <c r="O134" s="2052"/>
      <c r="P134" s="2052"/>
      <c r="Q134" s="2052"/>
      <c r="R134" s="2052"/>
      <c r="S134" s="2052"/>
      <c r="T134" s="2052"/>
      <c r="U134" s="2052"/>
      <c r="V134" s="2052"/>
      <c r="W134" s="2052"/>
      <c r="X134" s="2052"/>
      <c r="Y134" s="2052"/>
      <c r="Z134" s="2052"/>
      <c r="AA134" s="2052"/>
      <c r="AB134" s="2052"/>
      <c r="AC134" s="2052"/>
      <c r="AD134" s="2052"/>
      <c r="AE134" s="2052"/>
      <c r="AF134" s="2052"/>
      <c r="AG134" s="2052"/>
      <c r="AH134" s="1952" t="s">
        <v>857</v>
      </c>
      <c r="AI134" s="1952"/>
      <c r="AJ134" s="1952"/>
      <c r="AK134" s="1952"/>
      <c r="AL134" s="1952"/>
      <c r="AM134" s="1952"/>
      <c r="AN134" s="1952"/>
      <c r="AO134" s="1952"/>
      <c r="AP134" s="1952"/>
      <c r="AQ134" s="1952"/>
      <c r="AR134" s="1952"/>
      <c r="AS134" s="1952"/>
      <c r="AT134" s="1952"/>
      <c r="AU134" s="1952"/>
      <c r="AV134" s="1952"/>
      <c r="AW134" s="1952"/>
      <c r="AX134" s="1953"/>
      <c r="AY134" s="1097"/>
      <c r="AZ134" s="1097"/>
      <c r="BA134" s="1097"/>
      <c r="BB134" s="1097"/>
      <c r="BC134" s="1097"/>
      <c r="BD134" s="1097"/>
      <c r="BE134" s="1101"/>
    </row>
    <row r="135" spans="1:57" ht="15.75" customHeight="1" thickBot="1">
      <c r="A135" s="1097"/>
      <c r="B135" s="2038" t="s">
        <v>2000</v>
      </c>
      <c r="C135" s="2039"/>
      <c r="D135" s="2039"/>
      <c r="E135" s="2039"/>
      <c r="F135" s="2039"/>
      <c r="G135" s="2039"/>
      <c r="H135" s="2039"/>
      <c r="I135" s="2039"/>
      <c r="J135" s="2039"/>
      <c r="K135" s="2039"/>
      <c r="L135" s="2039"/>
      <c r="M135" s="2039"/>
      <c r="N135" s="2039"/>
      <c r="O135" s="2039"/>
      <c r="P135" s="2039"/>
      <c r="Q135" s="2039"/>
      <c r="R135" s="2039"/>
      <c r="S135" s="2039"/>
      <c r="T135" s="2039"/>
      <c r="U135" s="2039"/>
      <c r="V135" s="2039"/>
      <c r="W135" s="2039"/>
      <c r="X135" s="2039"/>
      <c r="Y135" s="2039"/>
      <c r="Z135" s="2039"/>
      <c r="AA135" s="2039"/>
      <c r="AB135" s="2039"/>
      <c r="AC135" s="2039"/>
      <c r="AD135" s="2039"/>
      <c r="AE135" s="2039"/>
      <c r="AF135" s="2039"/>
      <c r="AG135" s="2040"/>
      <c r="AH135" s="2007"/>
      <c r="AI135" s="2008"/>
      <c r="AJ135" s="2008"/>
      <c r="AK135" s="2008"/>
      <c r="AL135" s="2008"/>
      <c r="AM135" s="2008"/>
      <c r="AN135" s="2008"/>
      <c r="AO135" s="2008"/>
      <c r="AP135" s="2008"/>
      <c r="AQ135" s="2008"/>
      <c r="AR135" s="2008"/>
      <c r="AS135" s="2008"/>
      <c r="AT135" s="2008"/>
      <c r="AU135" s="2008"/>
      <c r="AV135" s="2008"/>
      <c r="AW135" s="2008"/>
      <c r="AX135" s="2009"/>
      <c r="AY135" s="1097"/>
      <c r="AZ135" s="1097"/>
      <c r="BA135" s="1097"/>
      <c r="BB135" s="1097"/>
      <c r="BC135" s="1097"/>
      <c r="BD135" s="1097"/>
      <c r="BE135" s="1101"/>
    </row>
    <row r="136" spans="1:57" ht="15.75" customHeight="1">
      <c r="A136" s="1097"/>
      <c r="B136" s="2038" t="s">
        <v>2001</v>
      </c>
      <c r="C136" s="2039"/>
      <c r="D136" s="2039"/>
      <c r="E136" s="2039"/>
      <c r="F136" s="2039"/>
      <c r="G136" s="2039"/>
      <c r="H136" s="2039"/>
      <c r="I136" s="2039"/>
      <c r="J136" s="2039"/>
      <c r="K136" s="2039"/>
      <c r="L136" s="2039"/>
      <c r="M136" s="2039"/>
      <c r="N136" s="2039"/>
      <c r="O136" s="2039"/>
      <c r="P136" s="2039"/>
      <c r="Q136" s="2039"/>
      <c r="R136" s="2039"/>
      <c r="S136" s="2039"/>
      <c r="T136" s="2039"/>
      <c r="U136" s="2039"/>
      <c r="V136" s="2039"/>
      <c r="W136" s="2039"/>
      <c r="X136" s="2039"/>
      <c r="Y136" s="2039"/>
      <c r="Z136" s="2039"/>
      <c r="AA136" s="2039"/>
      <c r="AB136" s="2039"/>
      <c r="AC136" s="2039"/>
      <c r="AD136" s="2039"/>
      <c r="AE136" s="2039"/>
      <c r="AF136" s="2039"/>
      <c r="AG136" s="2040"/>
      <c r="AH136" s="1952" t="s">
        <v>857</v>
      </c>
      <c r="AI136" s="1952"/>
      <c r="AJ136" s="1952"/>
      <c r="AK136" s="1952"/>
      <c r="AL136" s="1952"/>
      <c r="AM136" s="1952"/>
      <c r="AN136" s="1952"/>
      <c r="AO136" s="1952"/>
      <c r="AP136" s="1952"/>
      <c r="AQ136" s="1952"/>
      <c r="AR136" s="1952"/>
      <c r="AS136" s="1952"/>
      <c r="AT136" s="1952"/>
      <c r="AU136" s="1952"/>
      <c r="AV136" s="1952"/>
      <c r="AW136" s="1952"/>
      <c r="AX136" s="1953"/>
      <c r="AY136" s="1097"/>
      <c r="AZ136" s="1097"/>
      <c r="BA136" s="1097"/>
      <c r="BB136" s="1097"/>
      <c r="BC136" s="1097"/>
      <c r="BD136" s="1097"/>
      <c r="BE136" s="1101"/>
    </row>
    <row r="137" spans="1:57" ht="15.75" customHeight="1">
      <c r="A137" s="1097"/>
      <c r="B137" s="2041" t="s">
        <v>2002</v>
      </c>
      <c r="C137" s="2042"/>
      <c r="D137" s="2042"/>
      <c r="E137" s="2042"/>
      <c r="F137" s="2042"/>
      <c r="G137" s="2042"/>
      <c r="H137" s="2042"/>
      <c r="I137" s="2042"/>
      <c r="J137" s="2042"/>
      <c r="K137" s="2042"/>
      <c r="L137" s="2042"/>
      <c r="M137" s="2042"/>
      <c r="N137" s="2042"/>
      <c r="O137" s="2042"/>
      <c r="P137" s="2042"/>
      <c r="Q137" s="2042"/>
      <c r="R137" s="2043" t="s">
        <v>2003</v>
      </c>
      <c r="S137" s="2043"/>
      <c r="T137" s="2043"/>
      <c r="U137" s="2043"/>
      <c r="V137" s="2043"/>
      <c r="W137" s="2043"/>
      <c r="X137" s="2043"/>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4"/>
      <c r="AY137" s="1097"/>
      <c r="AZ137" s="1097"/>
      <c r="BA137" s="1097"/>
      <c r="BB137" s="1097"/>
      <c r="BC137" s="1097" t="s">
        <v>254</v>
      </c>
      <c r="BD137" s="1097"/>
      <c r="BE137" s="1101"/>
    </row>
    <row r="138" spans="1:57" ht="15.75" customHeight="1">
      <c r="A138" s="1097"/>
      <c r="B138" s="2045" t="s">
        <v>2004</v>
      </c>
      <c r="C138" s="2046"/>
      <c r="D138" s="2046"/>
      <c r="E138" s="2046"/>
      <c r="F138" s="2046"/>
      <c r="G138" s="2046"/>
      <c r="H138" s="2046"/>
      <c r="I138" s="2046"/>
      <c r="J138" s="2046"/>
      <c r="K138" s="2046"/>
      <c r="L138" s="2046"/>
      <c r="M138" s="2046"/>
      <c r="N138" s="2046"/>
      <c r="O138" s="2046"/>
      <c r="P138" s="2046"/>
      <c r="Q138" s="2046"/>
      <c r="R138" s="2046"/>
      <c r="S138" s="2046"/>
      <c r="T138" s="2046"/>
      <c r="U138" s="2046"/>
      <c r="V138" s="2046"/>
      <c r="W138" s="2046"/>
      <c r="X138" s="2046"/>
      <c r="Y138" s="2046"/>
      <c r="Z138" s="2046"/>
      <c r="AA138" s="2046"/>
      <c r="AB138" s="2046"/>
      <c r="AC138" s="2046"/>
      <c r="AD138" s="2046"/>
      <c r="AE138" s="2046"/>
      <c r="AF138" s="2046"/>
      <c r="AG138" s="2046"/>
      <c r="AH138" s="2046"/>
      <c r="AI138" s="2046"/>
      <c r="AJ138" s="2046"/>
      <c r="AK138" s="2046"/>
      <c r="AL138" s="2046"/>
      <c r="AM138" s="2046"/>
      <c r="AN138" s="2046"/>
      <c r="AO138" s="2046"/>
      <c r="AP138" s="2046"/>
      <c r="AQ138" s="2046"/>
      <c r="AR138" s="2046"/>
      <c r="AS138" s="2046"/>
      <c r="AT138" s="2046"/>
      <c r="AU138" s="2046"/>
      <c r="AV138" s="2046"/>
      <c r="AW138" s="2046"/>
      <c r="AX138" s="2047"/>
      <c r="AY138" s="1097"/>
      <c r="AZ138" s="1097"/>
      <c r="BA138" s="1097"/>
      <c r="BB138" s="1097"/>
      <c r="BC138" s="1097"/>
      <c r="BD138" s="1097"/>
      <c r="BE138" s="1101"/>
    </row>
    <row r="139" spans="1:57" ht="15.75" customHeight="1">
      <c r="A139" s="1097"/>
      <c r="B139" s="2045"/>
      <c r="C139" s="2046"/>
      <c r="D139" s="2046"/>
      <c r="E139" s="2046"/>
      <c r="F139" s="2046"/>
      <c r="G139" s="2046"/>
      <c r="H139" s="2046"/>
      <c r="I139" s="2046"/>
      <c r="J139" s="2046"/>
      <c r="K139" s="2046"/>
      <c r="L139" s="2046"/>
      <c r="M139" s="2046"/>
      <c r="N139" s="2046"/>
      <c r="O139" s="2046"/>
      <c r="P139" s="2046"/>
      <c r="Q139" s="2046"/>
      <c r="R139" s="2046"/>
      <c r="S139" s="2046"/>
      <c r="T139" s="2046"/>
      <c r="U139" s="2046"/>
      <c r="V139" s="2046"/>
      <c r="W139" s="2046"/>
      <c r="X139" s="2046"/>
      <c r="Y139" s="2046"/>
      <c r="Z139" s="2046"/>
      <c r="AA139" s="2046"/>
      <c r="AB139" s="2046"/>
      <c r="AC139" s="2046"/>
      <c r="AD139" s="2046"/>
      <c r="AE139" s="2046"/>
      <c r="AF139" s="2046"/>
      <c r="AG139" s="2046"/>
      <c r="AH139" s="2046"/>
      <c r="AI139" s="2046"/>
      <c r="AJ139" s="2046"/>
      <c r="AK139" s="2046"/>
      <c r="AL139" s="2046"/>
      <c r="AM139" s="2046"/>
      <c r="AN139" s="2046"/>
      <c r="AO139" s="2046"/>
      <c r="AP139" s="2046"/>
      <c r="AQ139" s="2046"/>
      <c r="AR139" s="2046"/>
      <c r="AS139" s="2046"/>
      <c r="AT139" s="2046"/>
      <c r="AU139" s="2046"/>
      <c r="AV139" s="2046"/>
      <c r="AW139" s="2046"/>
      <c r="AX139" s="2047"/>
      <c r="AY139" s="1097"/>
      <c r="AZ139" s="1097"/>
      <c r="BA139" s="1097"/>
      <c r="BB139" s="1097"/>
      <c r="BC139" s="1097"/>
      <c r="BD139" s="1097"/>
      <c r="BE139" s="1101"/>
    </row>
    <row r="140" spans="1:57" ht="15.75" customHeight="1">
      <c r="A140" s="1097"/>
      <c r="B140" s="2045"/>
      <c r="C140" s="2046"/>
      <c r="D140" s="2046"/>
      <c r="E140" s="2046"/>
      <c r="F140" s="2046"/>
      <c r="G140" s="2046"/>
      <c r="H140" s="2046"/>
      <c r="I140" s="2046"/>
      <c r="J140" s="2046"/>
      <c r="K140" s="2046"/>
      <c r="L140" s="2046"/>
      <c r="M140" s="2046"/>
      <c r="N140" s="2046"/>
      <c r="O140" s="2046"/>
      <c r="P140" s="2046"/>
      <c r="Q140" s="2046"/>
      <c r="R140" s="2046"/>
      <c r="S140" s="2046"/>
      <c r="T140" s="2046"/>
      <c r="U140" s="2046"/>
      <c r="V140" s="2046"/>
      <c r="W140" s="2046"/>
      <c r="X140" s="2046"/>
      <c r="Y140" s="2046"/>
      <c r="Z140" s="2046"/>
      <c r="AA140" s="2046"/>
      <c r="AB140" s="2046"/>
      <c r="AC140" s="2046"/>
      <c r="AD140" s="2046"/>
      <c r="AE140" s="2046"/>
      <c r="AF140" s="2046"/>
      <c r="AG140" s="2046"/>
      <c r="AH140" s="2046"/>
      <c r="AI140" s="2046"/>
      <c r="AJ140" s="2046"/>
      <c r="AK140" s="2046"/>
      <c r="AL140" s="2046"/>
      <c r="AM140" s="2046"/>
      <c r="AN140" s="2046"/>
      <c r="AO140" s="2046"/>
      <c r="AP140" s="2046"/>
      <c r="AQ140" s="2046"/>
      <c r="AR140" s="2046"/>
      <c r="AS140" s="2046"/>
      <c r="AT140" s="2046"/>
      <c r="AU140" s="2046"/>
      <c r="AV140" s="2046"/>
      <c r="AW140" s="2046"/>
      <c r="AX140" s="2047"/>
      <c r="AY140" s="1097"/>
      <c r="AZ140" s="1097"/>
      <c r="BA140" s="1097"/>
      <c r="BB140" s="1097"/>
      <c r="BC140" s="1097"/>
      <c r="BD140" s="1097"/>
      <c r="BE140" s="1101"/>
    </row>
    <row r="141" spans="1:57" ht="15.75" customHeight="1">
      <c r="A141" s="1097"/>
      <c r="B141" s="2045"/>
      <c r="C141" s="2046"/>
      <c r="D141" s="2046"/>
      <c r="E141" s="2046"/>
      <c r="F141" s="2046"/>
      <c r="G141" s="2046"/>
      <c r="H141" s="2046"/>
      <c r="I141" s="2046"/>
      <c r="J141" s="2046"/>
      <c r="K141" s="2046"/>
      <c r="L141" s="2046"/>
      <c r="M141" s="2046"/>
      <c r="N141" s="2046"/>
      <c r="O141" s="2046"/>
      <c r="P141" s="2046"/>
      <c r="Q141" s="2046"/>
      <c r="R141" s="2046"/>
      <c r="S141" s="2046"/>
      <c r="T141" s="2046"/>
      <c r="U141" s="2046"/>
      <c r="V141" s="2046"/>
      <c r="W141" s="2046"/>
      <c r="X141" s="2046"/>
      <c r="Y141" s="2046"/>
      <c r="Z141" s="2046"/>
      <c r="AA141" s="2046"/>
      <c r="AB141" s="2046"/>
      <c r="AC141" s="2046"/>
      <c r="AD141" s="2046"/>
      <c r="AE141" s="2046"/>
      <c r="AF141" s="2046"/>
      <c r="AG141" s="2046"/>
      <c r="AH141" s="2046"/>
      <c r="AI141" s="2046"/>
      <c r="AJ141" s="2046"/>
      <c r="AK141" s="2046"/>
      <c r="AL141" s="2046"/>
      <c r="AM141" s="2046"/>
      <c r="AN141" s="2046"/>
      <c r="AO141" s="2046"/>
      <c r="AP141" s="2046"/>
      <c r="AQ141" s="2046"/>
      <c r="AR141" s="2046"/>
      <c r="AS141" s="2046"/>
      <c r="AT141" s="2046"/>
      <c r="AU141" s="2046"/>
      <c r="AV141" s="2046"/>
      <c r="AW141" s="2046"/>
      <c r="AX141" s="2047"/>
      <c r="AY141" s="1097"/>
      <c r="AZ141" s="1097"/>
      <c r="BA141" s="1097"/>
      <c r="BB141" s="1097"/>
      <c r="BC141" s="1097"/>
      <c r="BD141" s="1097"/>
      <c r="BE141" s="1101"/>
    </row>
    <row r="142" spans="1:57" ht="15.75" customHeight="1">
      <c r="A142" s="1097"/>
      <c r="B142" s="2045"/>
      <c r="C142" s="2046"/>
      <c r="D142" s="2046"/>
      <c r="E142" s="2046"/>
      <c r="F142" s="2046"/>
      <c r="G142" s="2046"/>
      <c r="H142" s="2046"/>
      <c r="I142" s="2046"/>
      <c r="J142" s="2046"/>
      <c r="K142" s="2046"/>
      <c r="L142" s="2046"/>
      <c r="M142" s="2046"/>
      <c r="N142" s="2046"/>
      <c r="O142" s="2046"/>
      <c r="P142" s="2046"/>
      <c r="Q142" s="2046"/>
      <c r="R142" s="2046"/>
      <c r="S142" s="2046"/>
      <c r="T142" s="2046"/>
      <c r="U142" s="2046"/>
      <c r="V142" s="2046"/>
      <c r="W142" s="2046"/>
      <c r="X142" s="2046"/>
      <c r="Y142" s="2046"/>
      <c r="Z142" s="2046"/>
      <c r="AA142" s="2046"/>
      <c r="AB142" s="2046"/>
      <c r="AC142" s="2046"/>
      <c r="AD142" s="2046"/>
      <c r="AE142" s="2046"/>
      <c r="AF142" s="2046"/>
      <c r="AG142" s="2046"/>
      <c r="AH142" s="2046"/>
      <c r="AI142" s="2046"/>
      <c r="AJ142" s="2046"/>
      <c r="AK142" s="2046"/>
      <c r="AL142" s="2046"/>
      <c r="AM142" s="2046"/>
      <c r="AN142" s="2046"/>
      <c r="AO142" s="2046"/>
      <c r="AP142" s="2046"/>
      <c r="AQ142" s="2046"/>
      <c r="AR142" s="2046"/>
      <c r="AS142" s="2046"/>
      <c r="AT142" s="2046"/>
      <c r="AU142" s="2046"/>
      <c r="AV142" s="2046"/>
      <c r="AW142" s="2046"/>
      <c r="AX142" s="2047"/>
      <c r="AY142" s="1097"/>
      <c r="AZ142" s="1097"/>
      <c r="BA142" s="1097"/>
      <c r="BB142" s="1097"/>
      <c r="BC142" s="1097"/>
      <c r="BD142" s="1097"/>
      <c r="BE142" s="1101"/>
    </row>
    <row r="143" spans="1:57" ht="15.75" customHeight="1">
      <c r="A143" s="1097"/>
      <c r="B143" s="2045"/>
      <c r="C143" s="2046"/>
      <c r="D143" s="2046"/>
      <c r="E143" s="2046"/>
      <c r="F143" s="2046"/>
      <c r="G143" s="2046"/>
      <c r="H143" s="2046"/>
      <c r="I143" s="2046"/>
      <c r="J143" s="2046"/>
      <c r="K143" s="2046"/>
      <c r="L143" s="2046"/>
      <c r="M143" s="2046"/>
      <c r="N143" s="2046"/>
      <c r="O143" s="2046"/>
      <c r="P143" s="2046"/>
      <c r="Q143" s="2046"/>
      <c r="R143" s="2046"/>
      <c r="S143" s="2046"/>
      <c r="T143" s="2046"/>
      <c r="U143" s="2046"/>
      <c r="V143" s="2046"/>
      <c r="W143" s="2046"/>
      <c r="X143" s="2046"/>
      <c r="Y143" s="2046"/>
      <c r="Z143" s="2046"/>
      <c r="AA143" s="2046"/>
      <c r="AB143" s="2046"/>
      <c r="AC143" s="2046"/>
      <c r="AD143" s="2046"/>
      <c r="AE143" s="2046"/>
      <c r="AF143" s="2046"/>
      <c r="AG143" s="2046"/>
      <c r="AH143" s="2046"/>
      <c r="AI143" s="2046"/>
      <c r="AJ143" s="2046"/>
      <c r="AK143" s="2046"/>
      <c r="AL143" s="2046"/>
      <c r="AM143" s="2046"/>
      <c r="AN143" s="2046"/>
      <c r="AO143" s="2046"/>
      <c r="AP143" s="2046"/>
      <c r="AQ143" s="2046"/>
      <c r="AR143" s="2046"/>
      <c r="AS143" s="2046"/>
      <c r="AT143" s="2046"/>
      <c r="AU143" s="2046"/>
      <c r="AV143" s="2046"/>
      <c r="AW143" s="2046"/>
      <c r="AX143" s="2047"/>
      <c r="AY143" s="1097"/>
      <c r="AZ143" s="1097"/>
      <c r="BA143" s="1097"/>
      <c r="BB143" s="1097"/>
      <c r="BC143" s="1097"/>
      <c r="BD143" s="1097"/>
      <c r="BE143" s="1101"/>
    </row>
    <row r="144" spans="1:57" ht="15.75" customHeight="1">
      <c r="A144" s="1097"/>
      <c r="B144" s="2045"/>
      <c r="C144" s="2046"/>
      <c r="D144" s="2046"/>
      <c r="E144" s="2046"/>
      <c r="F144" s="2046"/>
      <c r="G144" s="2046"/>
      <c r="H144" s="2046"/>
      <c r="I144" s="2046"/>
      <c r="J144" s="2046"/>
      <c r="K144" s="2046"/>
      <c r="L144" s="2046"/>
      <c r="M144" s="2046"/>
      <c r="N144" s="2046"/>
      <c r="O144" s="2046"/>
      <c r="P144" s="2046"/>
      <c r="Q144" s="2046"/>
      <c r="R144" s="2046"/>
      <c r="S144" s="2046"/>
      <c r="T144" s="2046"/>
      <c r="U144" s="2046"/>
      <c r="V144" s="2046"/>
      <c r="W144" s="2046"/>
      <c r="X144" s="2046"/>
      <c r="Y144" s="2046"/>
      <c r="Z144" s="2046"/>
      <c r="AA144" s="2046"/>
      <c r="AB144" s="2046"/>
      <c r="AC144" s="2046"/>
      <c r="AD144" s="2046"/>
      <c r="AE144" s="2046"/>
      <c r="AF144" s="2046"/>
      <c r="AG144" s="2046"/>
      <c r="AH144" s="2046"/>
      <c r="AI144" s="2046"/>
      <c r="AJ144" s="2046"/>
      <c r="AK144" s="2046"/>
      <c r="AL144" s="2046"/>
      <c r="AM144" s="2046"/>
      <c r="AN144" s="2046"/>
      <c r="AO144" s="2046"/>
      <c r="AP144" s="2046"/>
      <c r="AQ144" s="2046"/>
      <c r="AR144" s="2046"/>
      <c r="AS144" s="2046"/>
      <c r="AT144" s="2046"/>
      <c r="AU144" s="2046"/>
      <c r="AV144" s="2046"/>
      <c r="AW144" s="2046"/>
      <c r="AX144" s="2047"/>
      <c r="AY144" s="1097"/>
      <c r="AZ144" s="1097"/>
      <c r="BA144" s="1097"/>
      <c r="BB144" s="1097"/>
      <c r="BC144" s="1097"/>
      <c r="BD144" s="1097"/>
      <c r="BE144" s="1101"/>
    </row>
    <row r="145" spans="1:57" ht="15.75" customHeight="1">
      <c r="A145" s="1097"/>
      <c r="B145" s="2045"/>
      <c r="C145" s="2046"/>
      <c r="D145" s="2046"/>
      <c r="E145" s="2046"/>
      <c r="F145" s="2046"/>
      <c r="G145" s="2046"/>
      <c r="H145" s="2046"/>
      <c r="I145" s="2046"/>
      <c r="J145" s="2046"/>
      <c r="K145" s="2046"/>
      <c r="L145" s="2046"/>
      <c r="M145" s="2046"/>
      <c r="N145" s="2046"/>
      <c r="O145" s="2046"/>
      <c r="P145" s="2046"/>
      <c r="Q145" s="2046"/>
      <c r="R145" s="2046"/>
      <c r="S145" s="2046"/>
      <c r="T145" s="2046"/>
      <c r="U145" s="2046"/>
      <c r="V145" s="2046"/>
      <c r="W145" s="2046"/>
      <c r="X145" s="2046"/>
      <c r="Y145" s="2046"/>
      <c r="Z145" s="2046"/>
      <c r="AA145" s="2046"/>
      <c r="AB145" s="2046"/>
      <c r="AC145" s="2046"/>
      <c r="AD145" s="2046"/>
      <c r="AE145" s="2046"/>
      <c r="AF145" s="2046"/>
      <c r="AG145" s="2046"/>
      <c r="AH145" s="2046"/>
      <c r="AI145" s="2046"/>
      <c r="AJ145" s="2046"/>
      <c r="AK145" s="2046"/>
      <c r="AL145" s="2046"/>
      <c r="AM145" s="2046"/>
      <c r="AN145" s="2046"/>
      <c r="AO145" s="2046"/>
      <c r="AP145" s="2046"/>
      <c r="AQ145" s="2046"/>
      <c r="AR145" s="2046"/>
      <c r="AS145" s="2046"/>
      <c r="AT145" s="2046"/>
      <c r="AU145" s="2046"/>
      <c r="AV145" s="2046"/>
      <c r="AW145" s="2046"/>
      <c r="AX145" s="2047"/>
      <c r="AY145" s="1097"/>
      <c r="AZ145" s="1097"/>
      <c r="BA145" s="1097"/>
      <c r="BB145" s="1097"/>
      <c r="BC145" s="1097"/>
      <c r="BD145" s="1097"/>
      <c r="BE145" s="1101"/>
    </row>
    <row r="146" spans="1:57" ht="15.75" customHeight="1">
      <c r="A146" s="1097"/>
      <c r="B146" s="2045"/>
      <c r="C146" s="2046"/>
      <c r="D146" s="2046"/>
      <c r="E146" s="2046"/>
      <c r="F146" s="2046"/>
      <c r="G146" s="2046"/>
      <c r="H146" s="2046"/>
      <c r="I146" s="2046"/>
      <c r="J146" s="2046"/>
      <c r="K146" s="2046"/>
      <c r="L146" s="2046"/>
      <c r="M146" s="2046"/>
      <c r="N146" s="2046"/>
      <c r="O146" s="2046"/>
      <c r="P146" s="2046"/>
      <c r="Q146" s="2046"/>
      <c r="R146" s="2046"/>
      <c r="S146" s="2046"/>
      <c r="T146" s="2046"/>
      <c r="U146" s="2046"/>
      <c r="V146" s="2046"/>
      <c r="W146" s="2046"/>
      <c r="X146" s="2046"/>
      <c r="Y146" s="2046"/>
      <c r="Z146" s="2046"/>
      <c r="AA146" s="2046"/>
      <c r="AB146" s="2046"/>
      <c r="AC146" s="2046"/>
      <c r="AD146" s="2046"/>
      <c r="AE146" s="2046"/>
      <c r="AF146" s="2046"/>
      <c r="AG146" s="2046"/>
      <c r="AH146" s="2046"/>
      <c r="AI146" s="2046"/>
      <c r="AJ146" s="2046"/>
      <c r="AK146" s="2046"/>
      <c r="AL146" s="2046"/>
      <c r="AM146" s="2046"/>
      <c r="AN146" s="2046"/>
      <c r="AO146" s="2046"/>
      <c r="AP146" s="2046"/>
      <c r="AQ146" s="2046"/>
      <c r="AR146" s="2046"/>
      <c r="AS146" s="2046"/>
      <c r="AT146" s="2046"/>
      <c r="AU146" s="2046"/>
      <c r="AV146" s="2046"/>
      <c r="AW146" s="2046"/>
      <c r="AX146" s="2047"/>
      <c r="AY146" s="1097"/>
      <c r="AZ146" s="1097"/>
      <c r="BA146" s="1097"/>
      <c r="BB146" s="1097"/>
      <c r="BC146" s="1097"/>
      <c r="BD146" s="1097"/>
      <c r="BE146" s="1101"/>
    </row>
    <row r="147" spans="1:57" ht="15.75" customHeight="1" thickBot="1">
      <c r="A147" s="1097"/>
      <c r="B147" s="2048"/>
      <c r="C147" s="2049"/>
      <c r="D147" s="2049"/>
      <c r="E147" s="2049"/>
      <c r="F147" s="2049"/>
      <c r="G147" s="2049"/>
      <c r="H147" s="2049"/>
      <c r="I147" s="2049"/>
      <c r="J147" s="2049"/>
      <c r="K147" s="2049"/>
      <c r="L147" s="2049"/>
      <c r="M147" s="2049"/>
      <c r="N147" s="2049"/>
      <c r="O147" s="2049"/>
      <c r="P147" s="2049"/>
      <c r="Q147" s="2049"/>
      <c r="R147" s="2049"/>
      <c r="S147" s="2049"/>
      <c r="T147" s="2049"/>
      <c r="U147" s="2049"/>
      <c r="V147" s="2049"/>
      <c r="W147" s="2049"/>
      <c r="X147" s="2049"/>
      <c r="Y147" s="2049"/>
      <c r="Z147" s="2049"/>
      <c r="AA147" s="2049"/>
      <c r="AB147" s="2049"/>
      <c r="AC147" s="2049"/>
      <c r="AD147" s="2049"/>
      <c r="AE147" s="2049"/>
      <c r="AF147" s="2049"/>
      <c r="AG147" s="2049"/>
      <c r="AH147" s="2049"/>
      <c r="AI147" s="2049"/>
      <c r="AJ147" s="2049"/>
      <c r="AK147" s="2049"/>
      <c r="AL147" s="2049"/>
      <c r="AM147" s="2049"/>
      <c r="AN147" s="2049"/>
      <c r="AO147" s="2049"/>
      <c r="AP147" s="2049"/>
      <c r="AQ147" s="2049"/>
      <c r="AR147" s="2049"/>
      <c r="AS147" s="2049"/>
      <c r="AT147" s="2049"/>
      <c r="AU147" s="2049"/>
      <c r="AV147" s="2049"/>
      <c r="AW147" s="2049"/>
      <c r="AX147" s="2050"/>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2005</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2006</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24" t="s">
        <v>2007</v>
      </c>
      <c r="C151" s="1925"/>
      <c r="D151" s="1925"/>
      <c r="E151" s="1925"/>
      <c r="F151" s="1925"/>
      <c r="G151" s="1925"/>
      <c r="H151" s="1925"/>
      <c r="I151" s="1925"/>
      <c r="J151" s="1925"/>
      <c r="K151" s="1925"/>
      <c r="L151" s="1925"/>
      <c r="M151" s="1925"/>
      <c r="N151" s="1925"/>
      <c r="O151" s="1925"/>
      <c r="P151" s="1925"/>
      <c r="Q151" s="1925"/>
      <c r="R151" s="1925"/>
      <c r="S151" s="1925"/>
      <c r="T151" s="1925"/>
      <c r="U151" s="1926"/>
      <c r="V151" s="1097"/>
      <c r="W151" s="1098"/>
      <c r="X151" s="1924" t="s">
        <v>2008</v>
      </c>
      <c r="Y151" s="1925"/>
      <c r="Z151" s="1925"/>
      <c r="AA151" s="1925"/>
      <c r="AB151" s="1925"/>
      <c r="AC151" s="1925"/>
      <c r="AD151" s="1925"/>
      <c r="AE151" s="1925"/>
      <c r="AF151" s="1925"/>
      <c r="AG151" s="1925"/>
      <c r="AH151" s="1925"/>
      <c r="AI151" s="1925"/>
      <c r="AJ151" s="1925"/>
      <c r="AK151" s="1925"/>
      <c r="AL151" s="1925"/>
      <c r="AM151" s="1925"/>
      <c r="AN151" s="1925"/>
      <c r="AO151" s="1925"/>
      <c r="AP151" s="1925"/>
      <c r="AQ151" s="1926"/>
      <c r="AR151" s="1097"/>
      <c r="AS151" s="1097"/>
      <c r="AT151" s="1097"/>
      <c r="AU151" s="1097"/>
      <c r="AV151" s="1097"/>
      <c r="AW151" s="1097"/>
      <c r="AX151" s="1097"/>
      <c r="AY151" s="1097"/>
      <c r="AZ151" s="1097"/>
      <c r="BA151" s="1097"/>
      <c r="BB151" s="1097"/>
      <c r="BC151" s="1097"/>
      <c r="BD151" s="1097"/>
      <c r="BE151" s="1101"/>
    </row>
    <row r="152" spans="1:57" ht="15.75" customHeight="1">
      <c r="A152" s="1097"/>
      <c r="B152" s="2053"/>
      <c r="C152" s="2054"/>
      <c r="D152" s="2054"/>
      <c r="E152" s="2054"/>
      <c r="F152" s="2054"/>
      <c r="G152" s="2054"/>
      <c r="H152" s="2054"/>
      <c r="I152" s="2055" t="s">
        <v>1976</v>
      </c>
      <c r="J152" s="2055"/>
      <c r="K152" s="2055"/>
      <c r="L152" s="2055"/>
      <c r="M152" s="2055"/>
      <c r="N152" s="2055"/>
      <c r="O152" s="2055"/>
      <c r="P152" s="2055" t="s">
        <v>2009</v>
      </c>
      <c r="Q152" s="2055"/>
      <c r="R152" s="2055"/>
      <c r="S152" s="2055"/>
      <c r="T152" s="2055"/>
      <c r="U152" s="2056"/>
      <c r="V152" s="1097"/>
      <c r="W152" s="1097"/>
      <c r="X152" s="2053"/>
      <c r="Y152" s="2054"/>
      <c r="Z152" s="2054"/>
      <c r="AA152" s="2054"/>
      <c r="AB152" s="2054"/>
      <c r="AC152" s="2054"/>
      <c r="AD152" s="2054"/>
      <c r="AE152" s="2055" t="s">
        <v>1976</v>
      </c>
      <c r="AF152" s="2055"/>
      <c r="AG152" s="2055"/>
      <c r="AH152" s="2055"/>
      <c r="AI152" s="2055"/>
      <c r="AJ152" s="2055"/>
      <c r="AK152" s="2055"/>
      <c r="AL152" s="2055" t="s">
        <v>1977</v>
      </c>
      <c r="AM152" s="2055"/>
      <c r="AN152" s="2055"/>
      <c r="AO152" s="2055"/>
      <c r="AP152" s="2055"/>
      <c r="AQ152" s="2056"/>
      <c r="AR152" s="1097"/>
      <c r="AS152" s="1097"/>
      <c r="AT152" s="1097"/>
      <c r="AU152" s="1097"/>
      <c r="AV152" s="1097"/>
      <c r="AW152" s="1097"/>
      <c r="AX152" s="1097"/>
      <c r="AY152" s="1097"/>
      <c r="AZ152" s="1097"/>
      <c r="BA152" s="1097"/>
      <c r="BB152" s="1097"/>
      <c r="BC152" s="1097"/>
      <c r="BD152" s="1097"/>
      <c r="BE152" s="1101"/>
    </row>
    <row r="153" spans="1:57" ht="15.75" customHeight="1">
      <c r="A153" s="1097"/>
      <c r="B153" s="2053"/>
      <c r="C153" s="2054"/>
      <c r="D153" s="2054"/>
      <c r="E153" s="2054"/>
      <c r="F153" s="2054"/>
      <c r="G153" s="2054"/>
      <c r="H153" s="2054"/>
      <c r="I153" s="2055"/>
      <c r="J153" s="2055"/>
      <c r="K153" s="2055"/>
      <c r="L153" s="2055"/>
      <c r="M153" s="2055"/>
      <c r="N153" s="2055"/>
      <c r="O153" s="2055"/>
      <c r="P153" s="2055"/>
      <c r="Q153" s="2055"/>
      <c r="R153" s="2055"/>
      <c r="S153" s="2055"/>
      <c r="T153" s="2055"/>
      <c r="U153" s="2056"/>
      <c r="V153" s="1097"/>
      <c r="W153" s="1097"/>
      <c r="X153" s="2053"/>
      <c r="Y153" s="2054"/>
      <c r="Z153" s="2054"/>
      <c r="AA153" s="2054"/>
      <c r="AB153" s="2054"/>
      <c r="AC153" s="2054"/>
      <c r="AD153" s="2054"/>
      <c r="AE153" s="2055"/>
      <c r="AF153" s="2055"/>
      <c r="AG153" s="2055"/>
      <c r="AH153" s="2055"/>
      <c r="AI153" s="2055"/>
      <c r="AJ153" s="2055"/>
      <c r="AK153" s="2055"/>
      <c r="AL153" s="2055"/>
      <c r="AM153" s="2055"/>
      <c r="AN153" s="2055"/>
      <c r="AO153" s="2055"/>
      <c r="AP153" s="2055"/>
      <c r="AQ153" s="2056"/>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27" t="s">
        <v>1995</v>
      </c>
      <c r="C154" s="2028"/>
      <c r="D154" s="2028"/>
      <c r="E154" s="2028"/>
      <c r="F154" s="2028"/>
      <c r="G154" s="2028"/>
      <c r="H154" s="2028"/>
      <c r="I154" s="2005">
        <v>0</v>
      </c>
      <c r="J154" s="2005"/>
      <c r="K154" s="2005"/>
      <c r="L154" s="2005"/>
      <c r="M154" s="2005"/>
      <c r="N154" s="2005"/>
      <c r="O154" s="2005"/>
      <c r="P154" s="2005">
        <v>0</v>
      </c>
      <c r="Q154" s="2005"/>
      <c r="R154" s="2005"/>
      <c r="S154" s="2005"/>
      <c r="T154" s="2005"/>
      <c r="U154" s="2006"/>
      <c r="V154" s="1097"/>
      <c r="W154" s="1097"/>
      <c r="X154" s="2029" t="s">
        <v>1995</v>
      </c>
      <c r="Y154" s="2030"/>
      <c r="Z154" s="2030"/>
      <c r="AA154" s="2030"/>
      <c r="AB154" s="2030"/>
      <c r="AC154" s="2030"/>
      <c r="AD154" s="2030"/>
      <c r="AE154" s="2003">
        <v>0</v>
      </c>
      <c r="AF154" s="2003"/>
      <c r="AG154" s="2003"/>
      <c r="AH154" s="2003"/>
      <c r="AI154" s="2003"/>
      <c r="AJ154" s="2003"/>
      <c r="AK154" s="2003"/>
      <c r="AL154" s="2003">
        <v>0</v>
      </c>
      <c r="AM154" s="2003"/>
      <c r="AN154" s="2003"/>
      <c r="AO154" s="2003"/>
      <c r="AP154" s="2003"/>
      <c r="AQ154" s="2004"/>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29" t="s">
        <v>1996</v>
      </c>
      <c r="C155" s="2030"/>
      <c r="D155" s="2030"/>
      <c r="E155" s="2030"/>
      <c r="F155" s="2030"/>
      <c r="G155" s="2030"/>
      <c r="H155" s="2030"/>
      <c r="I155" s="2003">
        <v>0</v>
      </c>
      <c r="J155" s="2003"/>
      <c r="K155" s="2003"/>
      <c r="L155" s="2003"/>
      <c r="M155" s="2003"/>
      <c r="N155" s="2003"/>
      <c r="O155" s="2003"/>
      <c r="P155" s="2003">
        <v>0</v>
      </c>
      <c r="Q155" s="2003"/>
      <c r="R155" s="2003"/>
      <c r="S155" s="2003"/>
      <c r="T155" s="2003"/>
      <c r="U155" s="2004"/>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24" t="s">
        <v>2010</v>
      </c>
      <c r="D157" s="1925"/>
      <c r="E157" s="1925"/>
      <c r="F157" s="1925"/>
      <c r="G157" s="1925"/>
      <c r="H157" s="1925"/>
      <c r="I157" s="1925"/>
      <c r="J157" s="1925"/>
      <c r="K157" s="1925"/>
      <c r="L157" s="1925"/>
      <c r="M157" s="1925"/>
      <c r="N157" s="1925"/>
      <c r="O157" s="1925"/>
      <c r="P157" s="1925"/>
      <c r="Q157" s="1925"/>
      <c r="R157" s="1925"/>
      <c r="S157" s="1925"/>
      <c r="T157" s="1925"/>
      <c r="U157" s="1925"/>
      <c r="V157" s="1925"/>
      <c r="W157" s="1925"/>
      <c r="X157" s="1925"/>
      <c r="Y157" s="1925"/>
      <c r="Z157" s="1925"/>
      <c r="AA157" s="1925"/>
      <c r="AB157" s="1925"/>
      <c r="AC157" s="1925"/>
      <c r="AD157" s="1925"/>
      <c r="AE157" s="1925"/>
      <c r="AF157" s="1925"/>
      <c r="AG157" s="1926"/>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53" t="s">
        <v>2011</v>
      </c>
      <c r="D158" s="2054"/>
      <c r="E158" s="2054"/>
      <c r="F158" s="2054"/>
      <c r="G158" s="2054"/>
      <c r="H158" s="2054"/>
      <c r="I158" s="2054"/>
      <c r="J158" s="2054"/>
      <c r="K158" s="2054"/>
      <c r="L158" s="2054"/>
      <c r="M158" s="2054"/>
      <c r="N158" s="2054"/>
      <c r="O158" s="2054"/>
      <c r="P158" s="2054"/>
      <c r="Q158" s="2054" t="s">
        <v>2012</v>
      </c>
      <c r="R158" s="2054"/>
      <c r="S158" s="2054"/>
      <c r="T158" s="2001" t="s">
        <v>2013</v>
      </c>
      <c r="U158" s="2001"/>
      <c r="V158" s="2001"/>
      <c r="W158" s="2001"/>
      <c r="X158" s="2001"/>
      <c r="Y158" s="2001"/>
      <c r="Z158" s="2001"/>
      <c r="AA158" s="2001"/>
      <c r="AB158" s="2054" t="s">
        <v>2014</v>
      </c>
      <c r="AC158" s="2054"/>
      <c r="AD158" s="2054"/>
      <c r="AE158" s="2054"/>
      <c r="AF158" s="2054"/>
      <c r="AG158" s="2064"/>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59" t="s">
        <v>2015</v>
      </c>
      <c r="D159" s="2060"/>
      <c r="E159" s="2060"/>
      <c r="F159" s="2060"/>
      <c r="G159" s="2060"/>
      <c r="H159" s="2060"/>
      <c r="I159" s="2060"/>
      <c r="J159" s="2060"/>
      <c r="K159" s="2060"/>
      <c r="L159" s="2060"/>
      <c r="M159" s="2060"/>
      <c r="N159" s="2060"/>
      <c r="O159" s="2060"/>
      <c r="P159" s="2060"/>
      <c r="Q159" s="2061">
        <v>55</v>
      </c>
      <c r="R159" s="2061"/>
      <c r="S159" s="2061"/>
      <c r="T159" s="2062"/>
      <c r="U159" s="2062"/>
      <c r="V159" s="2062"/>
      <c r="W159" s="2062"/>
      <c r="X159" s="2062"/>
      <c r="Y159" s="2062"/>
      <c r="Z159" s="2062"/>
      <c r="AA159" s="2062"/>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59" t="s">
        <v>2016</v>
      </c>
      <c r="D160" s="2060"/>
      <c r="E160" s="2060"/>
      <c r="F160" s="2060"/>
      <c r="G160" s="2060"/>
      <c r="H160" s="2060"/>
      <c r="I160" s="2060"/>
      <c r="J160" s="2060"/>
      <c r="K160" s="2060"/>
      <c r="L160" s="2060"/>
      <c r="M160" s="2060"/>
      <c r="N160" s="2060"/>
      <c r="O160" s="2060"/>
      <c r="P160" s="2060"/>
      <c r="Q160" s="2061">
        <v>55</v>
      </c>
      <c r="R160" s="2061"/>
      <c r="S160" s="2061"/>
      <c r="T160" s="2063"/>
      <c r="U160" s="2063"/>
      <c r="V160" s="2063"/>
      <c r="W160" s="2063"/>
      <c r="X160" s="2063"/>
      <c r="Y160" s="2063"/>
      <c r="Z160" s="2063"/>
      <c r="AA160" s="2063"/>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59" t="s">
        <v>2017</v>
      </c>
      <c r="D161" s="2060"/>
      <c r="E161" s="2060"/>
      <c r="F161" s="2060"/>
      <c r="G161" s="2060"/>
      <c r="H161" s="2060"/>
      <c r="I161" s="2060"/>
      <c r="J161" s="2060"/>
      <c r="K161" s="2060"/>
      <c r="L161" s="2060"/>
      <c r="M161" s="2060"/>
      <c r="N161" s="2060"/>
      <c r="O161" s="2060"/>
      <c r="P161" s="2060"/>
      <c r="Q161" s="2061">
        <v>55</v>
      </c>
      <c r="R161" s="2061"/>
      <c r="S161" s="2061"/>
      <c r="T161" s="2062"/>
      <c r="U161" s="2062"/>
      <c r="V161" s="2062"/>
      <c r="W161" s="2062"/>
      <c r="X161" s="2062"/>
      <c r="Y161" s="2062"/>
      <c r="Z161" s="2062"/>
      <c r="AA161" s="2062"/>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59" t="s">
        <v>1943</v>
      </c>
      <c r="D162" s="2060"/>
      <c r="E162" s="2060"/>
      <c r="F162" s="2060"/>
      <c r="G162" s="2060"/>
      <c r="H162" s="2060"/>
      <c r="I162" s="2060"/>
      <c r="J162" s="2060"/>
      <c r="K162" s="2060"/>
      <c r="L162" s="2060"/>
      <c r="M162" s="2060"/>
      <c r="N162" s="2060"/>
      <c r="O162" s="2060"/>
      <c r="P162" s="2060"/>
      <c r="Q162" s="2061">
        <v>55</v>
      </c>
      <c r="R162" s="2061"/>
      <c r="S162" s="2061"/>
      <c r="T162" s="2062"/>
      <c r="U162" s="2062"/>
      <c r="V162" s="2062"/>
      <c r="W162" s="2062"/>
      <c r="X162" s="2062"/>
      <c r="Y162" s="2062"/>
      <c r="Z162" s="2062"/>
      <c r="AA162" s="2062"/>
      <c r="AB162" s="2065">
        <v>0</v>
      </c>
      <c r="AC162" s="2065"/>
      <c r="AD162" s="2065"/>
      <c r="AE162" s="2065"/>
      <c r="AF162" s="2065"/>
      <c r="AG162" s="2066"/>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59" t="s">
        <v>233</v>
      </c>
      <c r="D163" s="2060"/>
      <c r="E163" s="2060"/>
      <c r="F163" s="2067" t="s">
        <v>2018</v>
      </c>
      <c r="G163" s="2067"/>
      <c r="H163" s="2067"/>
      <c r="I163" s="2067"/>
      <c r="J163" s="2067"/>
      <c r="K163" s="2067"/>
      <c r="L163" s="2067"/>
      <c r="M163" s="2067"/>
      <c r="N163" s="2067"/>
      <c r="O163" s="2067"/>
      <c r="P163" s="2067"/>
      <c r="Q163" s="2061">
        <v>55</v>
      </c>
      <c r="R163" s="2061"/>
      <c r="S163" s="2061"/>
      <c r="T163" s="2063"/>
      <c r="U163" s="2063"/>
      <c r="V163" s="2063"/>
      <c r="W163" s="2063"/>
      <c r="X163" s="2063"/>
      <c r="Y163" s="2063"/>
      <c r="Z163" s="2063"/>
      <c r="AA163" s="2063"/>
      <c r="AB163" s="2065">
        <v>0</v>
      </c>
      <c r="AC163" s="2065"/>
      <c r="AD163" s="2065"/>
      <c r="AE163" s="2065"/>
      <c r="AF163" s="2065"/>
      <c r="AG163" s="2066"/>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59" t="s">
        <v>233</v>
      </c>
      <c r="D164" s="2060"/>
      <c r="E164" s="2060"/>
      <c r="F164" s="2067" t="s">
        <v>2018</v>
      </c>
      <c r="G164" s="2067"/>
      <c r="H164" s="2067"/>
      <c r="I164" s="2067"/>
      <c r="J164" s="2067"/>
      <c r="K164" s="2067"/>
      <c r="L164" s="2067"/>
      <c r="M164" s="2067"/>
      <c r="N164" s="2067"/>
      <c r="O164" s="2067"/>
      <c r="P164" s="2067"/>
      <c r="Q164" s="2061">
        <v>55</v>
      </c>
      <c r="R164" s="2061"/>
      <c r="S164" s="2061"/>
      <c r="T164" s="2063"/>
      <c r="U164" s="2063"/>
      <c r="V164" s="2063"/>
      <c r="W164" s="2063"/>
      <c r="X164" s="2063"/>
      <c r="Y164" s="2063"/>
      <c r="Z164" s="2063"/>
      <c r="AA164" s="2063"/>
      <c r="AB164" s="2065">
        <v>0</v>
      </c>
      <c r="AC164" s="2065"/>
      <c r="AD164" s="2065"/>
      <c r="AE164" s="2065"/>
      <c r="AF164" s="2065"/>
      <c r="AG164" s="2066"/>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68" t="s">
        <v>233</v>
      </c>
      <c r="D165" s="2069"/>
      <c r="E165" s="2069"/>
      <c r="F165" s="2070" t="s">
        <v>2018</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71" t="s">
        <v>2019</v>
      </c>
      <c r="D167" s="1972"/>
      <c r="E167" s="1972"/>
      <c r="F167" s="1972"/>
      <c r="G167" s="1972"/>
      <c r="H167" s="1972"/>
      <c r="I167" s="1972"/>
      <c r="J167" s="1972"/>
      <c r="K167" s="1972"/>
      <c r="L167" s="1972"/>
      <c r="M167" s="1972"/>
      <c r="N167" s="2010"/>
      <c r="O167" s="1097"/>
      <c r="P167" s="2075" t="s">
        <v>2020</v>
      </c>
      <c r="Q167" s="2076"/>
      <c r="R167" s="2076"/>
      <c r="S167" s="2076"/>
      <c r="T167" s="2076"/>
      <c r="U167" s="2076"/>
      <c r="V167" s="2076"/>
      <c r="W167" s="2076"/>
      <c r="X167" s="2076"/>
      <c r="Y167" s="2076"/>
      <c r="Z167" s="2076"/>
      <c r="AA167" s="2076"/>
      <c r="AB167" s="2076"/>
      <c r="AC167" s="2076"/>
      <c r="AD167" s="2076"/>
      <c r="AE167" s="2076"/>
      <c r="AF167" s="2076"/>
      <c r="AG167" s="2076"/>
      <c r="AH167" s="2076"/>
      <c r="AI167" s="2076"/>
      <c r="AJ167" s="2076"/>
      <c r="AK167" s="2076"/>
      <c r="AL167" s="2076"/>
      <c r="AM167" s="2076"/>
      <c r="AN167" s="2076"/>
      <c r="AO167" s="2077"/>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53" t="s">
        <v>2021</v>
      </c>
      <c r="D168" s="2054"/>
      <c r="E168" s="2054"/>
      <c r="F168" s="2054"/>
      <c r="G168" s="2054"/>
      <c r="H168" s="2054"/>
      <c r="I168" s="2054" t="s">
        <v>2022</v>
      </c>
      <c r="J168" s="2054"/>
      <c r="K168" s="2054"/>
      <c r="L168" s="2054"/>
      <c r="M168" s="2054"/>
      <c r="N168" s="2064"/>
      <c r="O168" s="1097"/>
      <c r="P168" s="1975" t="s">
        <v>1970</v>
      </c>
      <c r="Q168" s="1976"/>
      <c r="R168" s="1976"/>
      <c r="S168" s="1976"/>
      <c r="T168" s="1976"/>
      <c r="U168" s="1976"/>
      <c r="V168" s="1976"/>
      <c r="W168" s="1976"/>
      <c r="X168" s="1976"/>
      <c r="Y168" s="1976"/>
      <c r="Z168" s="1976"/>
      <c r="AA168" s="1976"/>
      <c r="AB168" s="1976"/>
      <c r="AC168" s="1976"/>
      <c r="AD168" s="1976"/>
      <c r="AE168" s="1976"/>
      <c r="AF168" s="1976"/>
      <c r="AG168" s="1976"/>
      <c r="AH168" s="1976"/>
      <c r="AI168" s="1976"/>
      <c r="AJ168" s="1976"/>
      <c r="AK168" s="1976"/>
      <c r="AL168" s="1976"/>
      <c r="AM168" s="1976"/>
      <c r="AN168" s="1976"/>
      <c r="AO168" s="1977"/>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81"/>
      <c r="D169" s="1931"/>
      <c r="E169" s="1931"/>
      <c r="F169" s="1931"/>
      <c r="G169" s="1931"/>
      <c r="H169" s="1931"/>
      <c r="I169" s="2062"/>
      <c r="J169" s="2062"/>
      <c r="K169" s="2062"/>
      <c r="L169" s="2062"/>
      <c r="M169" s="2062"/>
      <c r="N169" s="2078"/>
      <c r="O169" s="1097"/>
      <c r="P169" s="1975"/>
      <c r="Q169" s="1976"/>
      <c r="R169" s="1976"/>
      <c r="S169" s="1976"/>
      <c r="T169" s="1976"/>
      <c r="U169" s="1976"/>
      <c r="V169" s="1976"/>
      <c r="W169" s="1976"/>
      <c r="X169" s="1976"/>
      <c r="Y169" s="1976"/>
      <c r="Z169" s="1976"/>
      <c r="AA169" s="1976"/>
      <c r="AB169" s="1976"/>
      <c r="AC169" s="1976"/>
      <c r="AD169" s="1976"/>
      <c r="AE169" s="1976"/>
      <c r="AF169" s="1976"/>
      <c r="AG169" s="1976"/>
      <c r="AH169" s="1976"/>
      <c r="AI169" s="1976"/>
      <c r="AJ169" s="1976"/>
      <c r="AK169" s="1976"/>
      <c r="AL169" s="1976"/>
      <c r="AM169" s="1976"/>
      <c r="AN169" s="1976"/>
      <c r="AO169" s="1977"/>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81"/>
      <c r="D170" s="1931"/>
      <c r="E170" s="1931"/>
      <c r="F170" s="1931"/>
      <c r="G170" s="1931"/>
      <c r="H170" s="1931"/>
      <c r="I170" s="2062"/>
      <c r="J170" s="2062"/>
      <c r="K170" s="2062"/>
      <c r="L170" s="2062"/>
      <c r="M170" s="2062"/>
      <c r="N170" s="2078"/>
      <c r="O170" s="1097"/>
      <c r="P170" s="1975"/>
      <c r="Q170" s="1976"/>
      <c r="R170" s="1976"/>
      <c r="S170" s="1976"/>
      <c r="T170" s="1976"/>
      <c r="U170" s="1976"/>
      <c r="V170" s="1976"/>
      <c r="W170" s="1976"/>
      <c r="X170" s="1976"/>
      <c r="Y170" s="1976"/>
      <c r="Z170" s="1976"/>
      <c r="AA170" s="1976"/>
      <c r="AB170" s="1976"/>
      <c r="AC170" s="1976"/>
      <c r="AD170" s="1976"/>
      <c r="AE170" s="1976"/>
      <c r="AF170" s="1976"/>
      <c r="AG170" s="1976"/>
      <c r="AH170" s="1976"/>
      <c r="AI170" s="1976"/>
      <c r="AJ170" s="1976"/>
      <c r="AK170" s="1976"/>
      <c r="AL170" s="1976"/>
      <c r="AM170" s="1976"/>
      <c r="AN170" s="1976"/>
      <c r="AO170" s="1977"/>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81"/>
      <c r="D171" s="1931"/>
      <c r="E171" s="1931"/>
      <c r="F171" s="1931"/>
      <c r="G171" s="1931"/>
      <c r="H171" s="1931"/>
      <c r="I171" s="2062"/>
      <c r="J171" s="2062"/>
      <c r="K171" s="2062"/>
      <c r="L171" s="2062"/>
      <c r="M171" s="2062"/>
      <c r="N171" s="2078"/>
      <c r="O171" s="1097"/>
      <c r="P171" s="1975"/>
      <c r="Q171" s="1976"/>
      <c r="R171" s="1976"/>
      <c r="S171" s="1976"/>
      <c r="T171" s="1976"/>
      <c r="U171" s="1976"/>
      <c r="V171" s="1976"/>
      <c r="W171" s="1976"/>
      <c r="X171" s="1976"/>
      <c r="Y171" s="1976"/>
      <c r="Z171" s="1976"/>
      <c r="AA171" s="1976"/>
      <c r="AB171" s="1976"/>
      <c r="AC171" s="1976"/>
      <c r="AD171" s="1976"/>
      <c r="AE171" s="1976"/>
      <c r="AF171" s="1976"/>
      <c r="AG171" s="1976"/>
      <c r="AH171" s="1976"/>
      <c r="AI171" s="1976"/>
      <c r="AJ171" s="1976"/>
      <c r="AK171" s="1976"/>
      <c r="AL171" s="1976"/>
      <c r="AM171" s="1976"/>
      <c r="AN171" s="1976"/>
      <c r="AO171" s="1977"/>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81"/>
      <c r="D172" s="1931"/>
      <c r="E172" s="1931"/>
      <c r="F172" s="1931"/>
      <c r="G172" s="1931"/>
      <c r="H172" s="1931"/>
      <c r="I172" s="2062"/>
      <c r="J172" s="2062"/>
      <c r="K172" s="2062"/>
      <c r="L172" s="2062"/>
      <c r="M172" s="2062"/>
      <c r="N172" s="2078"/>
      <c r="O172" s="1097"/>
      <c r="P172" s="1975"/>
      <c r="Q172" s="1976"/>
      <c r="R172" s="1976"/>
      <c r="S172" s="1976"/>
      <c r="T172" s="1976"/>
      <c r="U172" s="1976"/>
      <c r="V172" s="1976"/>
      <c r="W172" s="1976"/>
      <c r="X172" s="1976"/>
      <c r="Y172" s="1976"/>
      <c r="Z172" s="1976"/>
      <c r="AA172" s="1976"/>
      <c r="AB172" s="1976"/>
      <c r="AC172" s="1976"/>
      <c r="AD172" s="1976"/>
      <c r="AE172" s="1976"/>
      <c r="AF172" s="1976"/>
      <c r="AG172" s="1976"/>
      <c r="AH172" s="1976"/>
      <c r="AI172" s="1976"/>
      <c r="AJ172" s="1976"/>
      <c r="AK172" s="1976"/>
      <c r="AL172" s="1976"/>
      <c r="AM172" s="1976"/>
      <c r="AN172" s="1976"/>
      <c r="AO172" s="1977"/>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81"/>
      <c r="D173" s="1931"/>
      <c r="E173" s="1931"/>
      <c r="F173" s="1931"/>
      <c r="G173" s="1931"/>
      <c r="H173" s="1931"/>
      <c r="I173" s="2062"/>
      <c r="J173" s="2062"/>
      <c r="K173" s="2062"/>
      <c r="L173" s="2062"/>
      <c r="M173" s="2062"/>
      <c r="N173" s="2078"/>
      <c r="O173" s="1097"/>
      <c r="P173" s="1975"/>
      <c r="Q173" s="1976"/>
      <c r="R173" s="1976"/>
      <c r="S173" s="1976"/>
      <c r="T173" s="1976"/>
      <c r="U173" s="1976"/>
      <c r="V173" s="1976"/>
      <c r="W173" s="1976"/>
      <c r="X173" s="1976"/>
      <c r="Y173" s="1976"/>
      <c r="Z173" s="1976"/>
      <c r="AA173" s="1976"/>
      <c r="AB173" s="1976"/>
      <c r="AC173" s="1976"/>
      <c r="AD173" s="1976"/>
      <c r="AE173" s="1976"/>
      <c r="AF173" s="1976"/>
      <c r="AG173" s="1976"/>
      <c r="AH173" s="1976"/>
      <c r="AI173" s="1976"/>
      <c r="AJ173" s="1976"/>
      <c r="AK173" s="1976"/>
      <c r="AL173" s="1976"/>
      <c r="AM173" s="1976"/>
      <c r="AN173" s="1976"/>
      <c r="AO173" s="1977"/>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81"/>
      <c r="D174" s="1931"/>
      <c r="E174" s="1931"/>
      <c r="F174" s="1931"/>
      <c r="G174" s="1931"/>
      <c r="H174" s="1931"/>
      <c r="I174" s="2062"/>
      <c r="J174" s="2062"/>
      <c r="K174" s="2062"/>
      <c r="L174" s="2062"/>
      <c r="M174" s="2062"/>
      <c r="N174" s="2078"/>
      <c r="O174" s="1097"/>
      <c r="P174" s="1975"/>
      <c r="Q174" s="1976"/>
      <c r="R174" s="1976"/>
      <c r="S174" s="1976"/>
      <c r="T174" s="1976"/>
      <c r="U174" s="1976"/>
      <c r="V174" s="1976"/>
      <c r="W174" s="1976"/>
      <c r="X174" s="1976"/>
      <c r="Y174" s="1976"/>
      <c r="Z174" s="1976"/>
      <c r="AA174" s="1976"/>
      <c r="AB174" s="1976"/>
      <c r="AC174" s="1976"/>
      <c r="AD174" s="1976"/>
      <c r="AE174" s="1976"/>
      <c r="AF174" s="1976"/>
      <c r="AG174" s="1976"/>
      <c r="AH174" s="1976"/>
      <c r="AI174" s="1976"/>
      <c r="AJ174" s="1976"/>
      <c r="AK174" s="1976"/>
      <c r="AL174" s="1976"/>
      <c r="AM174" s="1976"/>
      <c r="AN174" s="1976"/>
      <c r="AO174" s="1977"/>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079"/>
      <c r="D175" s="2080"/>
      <c r="E175" s="2080"/>
      <c r="F175" s="2080"/>
      <c r="G175" s="2080"/>
      <c r="H175" s="2080"/>
      <c r="I175" s="2081"/>
      <c r="J175" s="2081"/>
      <c r="K175" s="2081"/>
      <c r="L175" s="2081"/>
      <c r="M175" s="2081"/>
      <c r="N175" s="2082"/>
      <c r="O175" s="1097"/>
      <c r="P175" s="1978"/>
      <c r="Q175" s="1979"/>
      <c r="R175" s="1979"/>
      <c r="S175" s="1979"/>
      <c r="T175" s="1979"/>
      <c r="U175" s="1979"/>
      <c r="V175" s="1979"/>
      <c r="W175" s="1979"/>
      <c r="X175" s="1979"/>
      <c r="Y175" s="1979"/>
      <c r="Z175" s="1979"/>
      <c r="AA175" s="1979"/>
      <c r="AB175" s="1979"/>
      <c r="AC175" s="1979"/>
      <c r="AD175" s="1979"/>
      <c r="AE175" s="1979"/>
      <c r="AF175" s="1979"/>
      <c r="AG175" s="1979"/>
      <c r="AH175" s="1979"/>
      <c r="AI175" s="1979"/>
      <c r="AJ175" s="1979"/>
      <c r="AK175" s="1979"/>
      <c r="AL175" s="1979"/>
      <c r="AM175" s="1979"/>
      <c r="AN175" s="1979"/>
      <c r="AO175" s="1980"/>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086" t="s">
        <v>2023</v>
      </c>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2087"/>
      <c r="AE177" s="2088"/>
      <c r="AF177" s="1097"/>
      <c r="AG177" s="1097"/>
      <c r="AH177" s="2096"/>
      <c r="AI177" s="2096"/>
      <c r="AJ177" s="2096"/>
      <c r="AK177" s="2096"/>
      <c r="AL177" s="2096"/>
      <c r="AM177" s="2096"/>
      <c r="AN177" s="2096"/>
      <c r="AO177" s="2096"/>
      <c r="AP177" s="2096"/>
      <c r="AQ177" s="2096"/>
      <c r="AR177" s="2096"/>
      <c r="AS177" s="2096"/>
      <c r="AT177" s="2096"/>
      <c r="AU177" s="2096"/>
      <c r="AV177" s="2096"/>
      <c r="AW177" s="2096"/>
      <c r="AX177" s="2096"/>
      <c r="AY177" s="2096"/>
      <c r="AZ177" s="2096"/>
      <c r="BA177" s="2096"/>
      <c r="BB177" s="2096"/>
      <c r="BC177" s="2096"/>
      <c r="BD177" s="2096"/>
      <c r="BE177" s="2096"/>
    </row>
    <row r="178" spans="1:57" ht="15.75" customHeight="1" thickBot="1">
      <c r="A178" s="1097"/>
      <c r="B178" s="1097"/>
      <c r="C178" s="2089"/>
      <c r="D178" s="2090"/>
      <c r="E178" s="2090"/>
      <c r="F178" s="2090"/>
      <c r="G178" s="2090"/>
      <c r="H178" s="2090"/>
      <c r="I178" s="2090"/>
      <c r="J178" s="2090"/>
      <c r="K178" s="2090"/>
      <c r="L178" s="2090"/>
      <c r="M178" s="2090"/>
      <c r="N178" s="2090"/>
      <c r="O178" s="2090"/>
      <c r="P178" s="2090"/>
      <c r="Q178" s="2090"/>
      <c r="R178" s="2090"/>
      <c r="S178" s="2090"/>
      <c r="T178" s="2090"/>
      <c r="U178" s="2090"/>
      <c r="V178" s="2090"/>
      <c r="W178" s="2090"/>
      <c r="X178" s="2090"/>
      <c r="Y178" s="2090"/>
      <c r="Z178" s="2090"/>
      <c r="AA178" s="2090"/>
      <c r="AB178" s="2090"/>
      <c r="AC178" s="2090"/>
      <c r="AD178" s="2090"/>
      <c r="AE178" s="2091"/>
      <c r="AF178" s="1097"/>
      <c r="AG178" s="1097"/>
      <c r="AH178" s="2096"/>
      <c r="AI178" s="2096"/>
      <c r="AJ178" s="2096"/>
      <c r="AK178" s="2096"/>
      <c r="AL178" s="2096"/>
      <c r="AM178" s="2096"/>
      <c r="AN178" s="2096"/>
      <c r="AO178" s="2096"/>
      <c r="AP178" s="2096"/>
      <c r="AQ178" s="2096"/>
      <c r="AR178" s="2096"/>
      <c r="AS178" s="2096"/>
      <c r="AT178" s="2096"/>
      <c r="AU178" s="2096"/>
      <c r="AV178" s="2096"/>
      <c r="AW178" s="2096"/>
      <c r="AX178" s="2096"/>
      <c r="AY178" s="2096"/>
      <c r="AZ178" s="2096"/>
      <c r="BA178" s="2096"/>
      <c r="BB178" s="2096"/>
      <c r="BC178" s="2096"/>
      <c r="BD178" s="2096"/>
      <c r="BE178" s="2096"/>
    </row>
    <row r="179" spans="1:57" ht="15.75" customHeight="1">
      <c r="A179" s="1097"/>
      <c r="B179" s="1097"/>
      <c r="C179" s="1971" t="s">
        <v>2011</v>
      </c>
      <c r="D179" s="1972"/>
      <c r="E179" s="1972"/>
      <c r="F179" s="1972"/>
      <c r="G179" s="1972"/>
      <c r="H179" s="1972"/>
      <c r="I179" s="1972"/>
      <c r="J179" s="1972"/>
      <c r="K179" s="1972"/>
      <c r="L179" s="1972"/>
      <c r="M179" s="1972"/>
      <c r="N179" s="1972" t="s">
        <v>2024</v>
      </c>
      <c r="O179" s="1972"/>
      <c r="P179" s="1972"/>
      <c r="Q179" s="1972"/>
      <c r="R179" s="1972"/>
      <c r="S179" s="1972"/>
      <c r="T179" s="1972"/>
      <c r="U179" s="1925" t="s">
        <v>2011</v>
      </c>
      <c r="V179" s="1925"/>
      <c r="W179" s="1925"/>
      <c r="X179" s="1925"/>
      <c r="Y179" s="1925"/>
      <c r="Z179" s="1925"/>
      <c r="AA179" s="1925"/>
      <c r="AB179" s="1925"/>
      <c r="AC179" s="1925"/>
      <c r="AD179" s="1925"/>
      <c r="AE179" s="1926"/>
      <c r="AF179" s="1097"/>
      <c r="AG179" s="1097"/>
      <c r="AH179" s="2096"/>
      <c r="AI179" s="2096"/>
      <c r="AJ179" s="2096"/>
      <c r="AK179" s="2096"/>
      <c r="AL179" s="2096"/>
      <c r="AM179" s="2096"/>
      <c r="AN179" s="2096"/>
      <c r="AO179" s="2096"/>
      <c r="AP179" s="2096"/>
      <c r="AQ179" s="2096"/>
      <c r="AR179" s="2096"/>
      <c r="AS179" s="2096"/>
      <c r="AT179" s="2096"/>
      <c r="AU179" s="2096"/>
      <c r="AV179" s="2096"/>
      <c r="AW179" s="2096"/>
      <c r="AX179" s="2096"/>
      <c r="AY179" s="2096"/>
      <c r="AZ179" s="2096"/>
      <c r="BA179" s="2096"/>
      <c r="BB179" s="2096"/>
      <c r="BC179" s="2096"/>
      <c r="BD179" s="2096"/>
      <c r="BE179" s="2096"/>
    </row>
    <row r="180" spans="1:57" ht="15.75" customHeight="1">
      <c r="A180" s="1097"/>
      <c r="B180" s="1097"/>
      <c r="C180" s="2083" t="s">
        <v>2025</v>
      </c>
      <c r="D180" s="2084"/>
      <c r="E180" s="2084"/>
      <c r="F180" s="2084"/>
      <c r="G180" s="2084"/>
      <c r="H180" s="2084"/>
      <c r="I180" s="2084"/>
      <c r="J180" s="2084"/>
      <c r="K180" s="2084"/>
      <c r="L180" s="2084"/>
      <c r="M180" s="2084"/>
      <c r="N180" s="2085">
        <f>'Sources and Uses Budget'!B105</f>
        <v>66736372</v>
      </c>
      <c r="O180" s="2085"/>
      <c r="P180" s="2085"/>
      <c r="Q180" s="2085"/>
      <c r="R180" s="2085"/>
      <c r="S180" s="2085"/>
      <c r="T180" s="2085"/>
      <c r="U180" s="2097"/>
      <c r="V180" s="2097"/>
      <c r="W180" s="2097"/>
      <c r="X180" s="2097"/>
      <c r="Y180" s="2097"/>
      <c r="Z180" s="2097"/>
      <c r="AA180" s="2097"/>
      <c r="AB180" s="2097"/>
      <c r="AC180" s="2097"/>
      <c r="AD180" s="2097"/>
      <c r="AE180" s="2098"/>
      <c r="AF180" s="1097"/>
      <c r="AG180" s="1097"/>
      <c r="AH180" s="2096"/>
      <c r="AI180" s="2096"/>
      <c r="AJ180" s="2096"/>
      <c r="AK180" s="2096"/>
      <c r="AL180" s="2096"/>
      <c r="AM180" s="2096"/>
      <c r="AN180" s="2096"/>
      <c r="AO180" s="2096"/>
      <c r="AP180" s="2096"/>
      <c r="AQ180" s="2096"/>
      <c r="AR180" s="2096"/>
      <c r="AS180" s="2096"/>
      <c r="AT180" s="2096"/>
      <c r="AU180" s="2096"/>
      <c r="AV180" s="2096"/>
      <c r="AW180" s="2096"/>
      <c r="AX180" s="2096"/>
      <c r="AY180" s="2096"/>
      <c r="AZ180" s="2096"/>
      <c r="BA180" s="2096"/>
      <c r="BB180" s="2096"/>
      <c r="BC180" s="2096"/>
      <c r="BD180" s="2096"/>
      <c r="BE180" s="2096"/>
    </row>
    <row r="181" spans="1:57" ht="15.75" customHeight="1">
      <c r="A181" s="1097"/>
      <c r="B181" s="1097"/>
      <c r="C181" s="2083" t="s">
        <v>2026</v>
      </c>
      <c r="D181" s="2084"/>
      <c r="E181" s="2084"/>
      <c r="F181" s="2084"/>
      <c r="G181" s="2084"/>
      <c r="H181" s="2084"/>
      <c r="I181" s="2084"/>
      <c r="J181" s="2084"/>
      <c r="K181" s="2084"/>
      <c r="L181" s="2084"/>
      <c r="M181" s="2084"/>
      <c r="N181" s="2085">
        <f>N180/J29</f>
        <v>794480.61904761905</v>
      </c>
      <c r="O181" s="2085"/>
      <c r="P181" s="2085"/>
      <c r="Q181" s="2085"/>
      <c r="R181" s="2085"/>
      <c r="S181" s="2085"/>
      <c r="T181" s="2085"/>
      <c r="U181" s="1134"/>
      <c r="V181" s="1134"/>
      <c r="W181" s="1134"/>
      <c r="X181" s="1134"/>
      <c r="Y181" s="1134"/>
      <c r="Z181" s="1134"/>
      <c r="AA181" s="1134"/>
      <c r="AB181" s="1134"/>
      <c r="AC181" s="1134"/>
      <c r="AD181" s="1134"/>
      <c r="AE181" s="1135"/>
      <c r="AF181" s="1097"/>
      <c r="AG181" s="1097"/>
      <c r="AH181" s="2096"/>
      <c r="AI181" s="2096"/>
      <c r="AJ181" s="2096"/>
      <c r="AK181" s="2096"/>
      <c r="AL181" s="2096"/>
      <c r="AM181" s="2096"/>
      <c r="AN181" s="2096"/>
      <c r="AO181" s="2096"/>
      <c r="AP181" s="2096"/>
      <c r="AQ181" s="2096"/>
      <c r="AR181" s="2096"/>
      <c r="AS181" s="2096"/>
      <c r="AT181" s="2096"/>
      <c r="AU181" s="2096"/>
      <c r="AV181" s="2096"/>
      <c r="AW181" s="2096"/>
      <c r="AX181" s="2096"/>
      <c r="AY181" s="2096"/>
      <c r="AZ181" s="2096"/>
      <c r="BA181" s="2096"/>
      <c r="BB181" s="2096"/>
      <c r="BC181" s="2096"/>
      <c r="BD181" s="2096"/>
      <c r="BE181" s="2096"/>
    </row>
    <row r="182" spans="1:57" ht="15.75" customHeight="1">
      <c r="A182" s="1097"/>
      <c r="B182" s="1097"/>
      <c r="C182" s="2099" t="s">
        <v>2027</v>
      </c>
      <c r="D182" s="2100"/>
      <c r="E182" s="2100"/>
      <c r="F182" s="2100"/>
      <c r="G182" s="2100"/>
      <c r="H182" s="2100"/>
      <c r="I182" s="2100"/>
      <c r="J182" s="2100"/>
      <c r="K182" s="2100"/>
      <c r="L182" s="2100"/>
      <c r="M182" s="2100"/>
      <c r="N182" s="1965">
        <v>0</v>
      </c>
      <c r="O182" s="1965"/>
      <c r="P182" s="1965"/>
      <c r="Q182" s="1965"/>
      <c r="R182" s="1965"/>
      <c r="S182" s="1965"/>
      <c r="T182" s="1965"/>
      <c r="U182" s="1943"/>
      <c r="V182" s="1943"/>
      <c r="W182" s="1943"/>
      <c r="X182" s="1943"/>
      <c r="Y182" s="1943"/>
      <c r="Z182" s="1943"/>
      <c r="AA182" s="1943"/>
      <c r="AB182" s="1943"/>
      <c r="AC182" s="1943"/>
      <c r="AD182" s="1943"/>
      <c r="AE182" s="1944"/>
      <c r="AF182" s="1097"/>
      <c r="AG182" s="1097"/>
      <c r="AH182" s="2096"/>
      <c r="AI182" s="2096"/>
      <c r="AJ182" s="2096"/>
      <c r="AK182" s="2096"/>
      <c r="AL182" s="2096"/>
      <c r="AM182" s="2096"/>
      <c r="AN182" s="2096"/>
      <c r="AO182" s="2096"/>
      <c r="AP182" s="2096"/>
      <c r="AQ182" s="2096"/>
      <c r="AR182" s="2096"/>
      <c r="AS182" s="2096"/>
      <c r="AT182" s="2096"/>
      <c r="AU182" s="2096"/>
      <c r="AV182" s="2096"/>
      <c r="AW182" s="2096"/>
      <c r="AX182" s="2096"/>
      <c r="AY182" s="2096"/>
      <c r="AZ182" s="2096"/>
      <c r="BA182" s="2096"/>
      <c r="BB182" s="2096"/>
      <c r="BC182" s="2096"/>
      <c r="BD182" s="2096"/>
      <c r="BE182" s="2096"/>
    </row>
    <row r="183" spans="1:57" ht="15.75" customHeight="1" thickBot="1">
      <c r="A183" s="1097"/>
      <c r="B183" s="1097"/>
      <c r="C183" s="2083" t="s">
        <v>2028</v>
      </c>
      <c r="D183" s="2084"/>
      <c r="E183" s="2084"/>
      <c r="F183" s="2084"/>
      <c r="G183" s="2084"/>
      <c r="H183" s="2084"/>
      <c r="I183" s="2084"/>
      <c r="J183" s="2084"/>
      <c r="K183" s="2084"/>
      <c r="L183" s="2084"/>
      <c r="M183" s="2084"/>
      <c r="N183" s="2101">
        <f>SUM('Sources and Uses Budget'!B85:B86)</f>
        <v>1210000</v>
      </c>
      <c r="O183" s="2101"/>
      <c r="P183" s="2101"/>
      <c r="Q183" s="2101"/>
      <c r="R183" s="2101"/>
      <c r="S183" s="2101"/>
      <c r="T183" s="2101"/>
      <c r="U183" s="1943"/>
      <c r="V183" s="1943"/>
      <c r="W183" s="1943"/>
      <c r="X183" s="1943"/>
      <c r="Y183" s="1943"/>
      <c r="Z183" s="1943"/>
      <c r="AA183" s="1943"/>
      <c r="AB183" s="1943"/>
      <c r="AC183" s="1943"/>
      <c r="AD183" s="1943"/>
      <c r="AE183" s="1944"/>
      <c r="AF183" s="1097"/>
      <c r="AG183" s="1097"/>
      <c r="AH183" s="2096"/>
      <c r="AI183" s="2096"/>
      <c r="AJ183" s="2096"/>
      <c r="AK183" s="2096"/>
      <c r="AL183" s="2096"/>
      <c r="AM183" s="2096"/>
      <c r="AN183" s="2096"/>
      <c r="AO183" s="2096"/>
      <c r="AP183" s="2096"/>
      <c r="AQ183" s="2096"/>
      <c r="AR183" s="2096"/>
      <c r="AS183" s="2096"/>
      <c r="AT183" s="2096"/>
      <c r="AU183" s="2096"/>
      <c r="AV183" s="2096"/>
      <c r="AW183" s="2096"/>
      <c r="AX183" s="2096"/>
      <c r="AY183" s="2096"/>
      <c r="AZ183" s="2096"/>
      <c r="BA183" s="2096"/>
      <c r="BB183" s="2096"/>
      <c r="BC183" s="2096"/>
      <c r="BD183" s="2096"/>
      <c r="BE183" s="2096"/>
    </row>
    <row r="184" spans="1:57" ht="15.75" customHeight="1" thickBot="1">
      <c r="A184" s="1097"/>
      <c r="B184" s="1097"/>
      <c r="C184" s="2083" t="s">
        <v>2029</v>
      </c>
      <c r="D184" s="2084"/>
      <c r="E184" s="2084"/>
      <c r="F184" s="2084"/>
      <c r="G184" s="2084"/>
      <c r="H184" s="2084"/>
      <c r="I184" s="2084"/>
      <c r="J184" s="2084"/>
      <c r="K184" s="2084"/>
      <c r="L184" s="2084"/>
      <c r="M184" s="2084"/>
      <c r="N184" s="2101">
        <f>'Sources and Uses Budget'!B8</f>
        <v>2618000</v>
      </c>
      <c r="O184" s="2101"/>
      <c r="P184" s="2101"/>
      <c r="Q184" s="2101"/>
      <c r="R184" s="2101"/>
      <c r="S184" s="2101"/>
      <c r="T184" s="2101"/>
      <c r="U184" s="1943"/>
      <c r="V184" s="1943"/>
      <c r="W184" s="1943"/>
      <c r="X184" s="1943"/>
      <c r="Y184" s="1943"/>
      <c r="Z184" s="1943"/>
      <c r="AA184" s="1943"/>
      <c r="AB184" s="1943"/>
      <c r="AC184" s="1943"/>
      <c r="AD184" s="1943"/>
      <c r="AE184" s="1944"/>
      <c r="AF184" s="1097"/>
      <c r="AG184" s="1097"/>
      <c r="AH184" s="2105" t="s">
        <v>1409</v>
      </c>
      <c r="AI184" s="2106"/>
      <c r="AJ184" s="2106"/>
      <c r="AK184" s="2106"/>
      <c r="AL184" s="2106"/>
      <c r="AM184" s="2106"/>
      <c r="AN184" s="2106"/>
      <c r="AO184" s="2106"/>
      <c r="AP184" s="2106"/>
      <c r="AQ184" s="2106"/>
      <c r="AR184" s="2106"/>
      <c r="AS184" s="2106"/>
      <c r="AT184" s="2106"/>
      <c r="AU184" s="2106"/>
      <c r="AV184" s="2106"/>
      <c r="AW184" s="2106"/>
      <c r="AX184" s="2106"/>
      <c r="AY184" s="2106"/>
      <c r="AZ184" s="2106"/>
      <c r="BA184" s="2106"/>
      <c r="BB184" s="2106"/>
      <c r="BC184" s="2106"/>
      <c r="BD184" s="2106"/>
      <c r="BE184" s="2107"/>
    </row>
    <row r="185" spans="1:57" ht="15.75" customHeight="1">
      <c r="A185" s="1097"/>
      <c r="B185" s="1097"/>
      <c r="C185" s="2083" t="s">
        <v>2030</v>
      </c>
      <c r="D185" s="2084"/>
      <c r="E185" s="2084"/>
      <c r="F185" s="2084"/>
      <c r="G185" s="2084"/>
      <c r="H185" s="2084"/>
      <c r="I185" s="2084"/>
      <c r="J185" s="2084"/>
      <c r="K185" s="2084"/>
      <c r="L185" s="2084"/>
      <c r="M185" s="2084"/>
      <c r="N185" s="2092">
        <v>0</v>
      </c>
      <c r="O185" s="2092"/>
      <c r="P185" s="2092"/>
      <c r="Q185" s="2092"/>
      <c r="R185" s="2092"/>
      <c r="S185" s="2092"/>
      <c r="T185" s="2092"/>
      <c r="U185" s="1943"/>
      <c r="V185" s="1943"/>
      <c r="W185" s="1943"/>
      <c r="X185" s="1943"/>
      <c r="Y185" s="1943"/>
      <c r="Z185" s="1943"/>
      <c r="AA185" s="1943"/>
      <c r="AB185" s="1943"/>
      <c r="AC185" s="1943"/>
      <c r="AD185" s="1943"/>
      <c r="AE185" s="1944"/>
      <c r="AF185" s="1097"/>
      <c r="AG185" s="1097"/>
      <c r="AH185" s="2108" t="s">
        <v>1409</v>
      </c>
      <c r="AI185" s="2109"/>
      <c r="AJ185" s="2109"/>
      <c r="AK185" s="2109"/>
      <c r="AL185" s="2109"/>
      <c r="AM185" s="2109"/>
      <c r="AN185" s="2109"/>
      <c r="AO185" s="2109"/>
      <c r="AP185" s="2109"/>
      <c r="AQ185" s="2109"/>
      <c r="AR185" s="2109"/>
      <c r="AS185" s="2109"/>
      <c r="AT185" s="2109"/>
      <c r="AU185" s="2110">
        <v>0</v>
      </c>
      <c r="AV185" s="2110"/>
      <c r="AW185" s="2110"/>
      <c r="AX185" s="2110"/>
      <c r="AY185" s="2110"/>
      <c r="AZ185" s="2110"/>
      <c r="BA185" s="2110"/>
      <c r="BB185" s="2110"/>
      <c r="BC185" s="2111"/>
      <c r="BD185" s="2112"/>
      <c r="BE185" s="2113"/>
    </row>
    <row r="186" spans="1:57" ht="15.75" customHeight="1">
      <c r="A186" s="1097"/>
      <c r="B186" s="1097"/>
      <c r="C186" s="2083" t="s">
        <v>2031</v>
      </c>
      <c r="D186" s="2084"/>
      <c r="E186" s="2084"/>
      <c r="F186" s="2084"/>
      <c r="G186" s="2084"/>
      <c r="H186" s="2084"/>
      <c r="I186" s="2084"/>
      <c r="J186" s="2084"/>
      <c r="K186" s="2084"/>
      <c r="L186" s="2084"/>
      <c r="M186" s="2084"/>
      <c r="N186" s="2092">
        <v>0</v>
      </c>
      <c r="O186" s="2092"/>
      <c r="P186" s="2092"/>
      <c r="Q186" s="2092"/>
      <c r="R186" s="2092"/>
      <c r="S186" s="2092"/>
      <c r="T186" s="2092"/>
      <c r="U186" s="1943"/>
      <c r="V186" s="1943"/>
      <c r="W186" s="1943"/>
      <c r="X186" s="1943"/>
      <c r="Y186" s="1943"/>
      <c r="Z186" s="1943"/>
      <c r="AA186" s="1943"/>
      <c r="AB186" s="1943"/>
      <c r="AC186" s="1943"/>
      <c r="AD186" s="1943"/>
      <c r="AE186" s="1944"/>
      <c r="AF186" s="1097"/>
      <c r="AG186" s="1097"/>
      <c r="AH186" s="2093" t="s">
        <v>2032</v>
      </c>
      <c r="AI186" s="2094"/>
      <c r="AJ186" s="2094"/>
      <c r="AK186" s="2094"/>
      <c r="AL186" s="2094"/>
      <c r="AM186" s="2094"/>
      <c r="AN186" s="2094"/>
      <c r="AO186" s="2094"/>
      <c r="AP186" s="2094"/>
      <c r="AQ186" s="2094"/>
      <c r="AR186" s="2094"/>
      <c r="AS186" s="2094"/>
      <c r="AT186" s="2094"/>
      <c r="AU186" s="2095"/>
      <c r="AV186" s="2095"/>
      <c r="AW186" s="2095"/>
      <c r="AX186" s="2095"/>
      <c r="AY186" s="2095"/>
      <c r="AZ186" s="2095"/>
      <c r="BA186" s="2095"/>
      <c r="BB186" s="2095"/>
      <c r="BC186" s="2102"/>
      <c r="BD186" s="2103"/>
      <c r="BE186" s="2104"/>
    </row>
    <row r="187" spans="1:57" ht="15.75" customHeight="1">
      <c r="A187" s="1097"/>
      <c r="B187" s="1097"/>
      <c r="C187" s="2118" t="s">
        <v>1063</v>
      </c>
      <c r="D187" s="2061"/>
      <c r="E187" s="2114" t="s">
        <v>2018</v>
      </c>
      <c r="F187" s="2114"/>
      <c r="G187" s="2114"/>
      <c r="H187" s="2114"/>
      <c r="I187" s="2114"/>
      <c r="J187" s="2114"/>
      <c r="K187" s="2114"/>
      <c r="L187" s="2114"/>
      <c r="M187" s="2114"/>
      <c r="N187" s="2092">
        <v>0</v>
      </c>
      <c r="O187" s="2092"/>
      <c r="P187" s="2092"/>
      <c r="Q187" s="2092"/>
      <c r="R187" s="2092"/>
      <c r="S187" s="2092"/>
      <c r="T187" s="2092"/>
      <c r="U187" s="1943"/>
      <c r="V187" s="1943"/>
      <c r="W187" s="1943"/>
      <c r="X187" s="1943"/>
      <c r="Y187" s="1943"/>
      <c r="Z187" s="1943"/>
      <c r="AA187" s="1943"/>
      <c r="AB187" s="1943"/>
      <c r="AC187" s="1943"/>
      <c r="AD187" s="1943"/>
      <c r="AE187" s="1944"/>
      <c r="AF187" s="1097"/>
      <c r="AG187" s="1097"/>
      <c r="AH187" s="2119" t="s">
        <v>2033</v>
      </c>
      <c r="AI187" s="2120"/>
      <c r="AJ187" s="2120"/>
      <c r="AK187" s="2120"/>
      <c r="AL187" s="2120"/>
      <c r="AM187" s="2120"/>
      <c r="AN187" s="2120"/>
      <c r="AO187" s="2120"/>
      <c r="AP187" s="2120"/>
      <c r="AQ187" s="2120"/>
      <c r="AR187" s="2120"/>
      <c r="AS187" s="2120"/>
      <c r="AT187" s="2120"/>
      <c r="AU187" s="2121">
        <f>SUM(AU185:BB186)</f>
        <v>0</v>
      </c>
      <c r="AV187" s="2121"/>
      <c r="AW187" s="2121"/>
      <c r="AX187" s="2121"/>
      <c r="AY187" s="2121"/>
      <c r="AZ187" s="2121"/>
      <c r="BA187" s="2121"/>
      <c r="BB187" s="2121"/>
      <c r="BC187" s="2102"/>
      <c r="BD187" s="2103"/>
      <c r="BE187" s="2104"/>
    </row>
    <row r="188" spans="1:57" ht="15.75" customHeight="1" thickBot="1">
      <c r="A188" s="1097"/>
      <c r="B188" s="1097"/>
      <c r="C188" s="1981" t="s">
        <v>1063</v>
      </c>
      <c r="D188" s="1931"/>
      <c r="E188" s="2114" t="s">
        <v>2018</v>
      </c>
      <c r="F188" s="2114"/>
      <c r="G188" s="2114"/>
      <c r="H188" s="2114"/>
      <c r="I188" s="2114"/>
      <c r="J188" s="2114"/>
      <c r="K188" s="2114"/>
      <c r="L188" s="2114"/>
      <c r="M188" s="2114"/>
      <c r="N188" s="2092">
        <v>0</v>
      </c>
      <c r="O188" s="2092"/>
      <c r="P188" s="2092"/>
      <c r="Q188" s="2092"/>
      <c r="R188" s="2092"/>
      <c r="S188" s="2092"/>
      <c r="T188" s="2092"/>
      <c r="U188" s="1943"/>
      <c r="V188" s="1943"/>
      <c r="W188" s="1943"/>
      <c r="X188" s="1943"/>
      <c r="Y188" s="1943"/>
      <c r="Z188" s="1943"/>
      <c r="AA188" s="1943"/>
      <c r="AB188" s="1943"/>
      <c r="AC188" s="1943"/>
      <c r="AD188" s="1943"/>
      <c r="AE188" s="1944"/>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15"/>
      <c r="BD188" s="2116"/>
      <c r="BE188" s="2117"/>
    </row>
    <row r="189" spans="1:57" ht="15.75" customHeight="1" thickBot="1">
      <c r="A189" s="1097"/>
      <c r="B189" s="1097"/>
      <c r="C189" s="2139" t="s">
        <v>1063</v>
      </c>
      <c r="D189" s="2140"/>
      <c r="E189" s="2141" t="s">
        <v>2018</v>
      </c>
      <c r="F189" s="2141"/>
      <c r="G189" s="2141"/>
      <c r="H189" s="2141"/>
      <c r="I189" s="2141"/>
      <c r="J189" s="2141"/>
      <c r="K189" s="2141"/>
      <c r="L189" s="2141"/>
      <c r="M189" s="2142"/>
      <c r="N189" s="2143">
        <v>0</v>
      </c>
      <c r="O189" s="2143"/>
      <c r="P189" s="2143"/>
      <c r="Q189" s="2143"/>
      <c r="R189" s="2143"/>
      <c r="S189" s="2143"/>
      <c r="T189" s="2144"/>
      <c r="U189" s="2145"/>
      <c r="V189" s="2146"/>
      <c r="W189" s="2146"/>
      <c r="X189" s="2146"/>
      <c r="Y189" s="2146"/>
      <c r="Z189" s="2146"/>
      <c r="AA189" s="2146"/>
      <c r="AB189" s="2146"/>
      <c r="AC189" s="2146"/>
      <c r="AD189" s="2146"/>
      <c r="AE189" s="2147"/>
      <c r="AF189" s="1097"/>
      <c r="AG189" s="1097"/>
      <c r="AH189" s="2148" t="s">
        <v>2034</v>
      </c>
      <c r="AI189" s="2149"/>
      <c r="AJ189" s="2149"/>
      <c r="AK189" s="2149"/>
      <c r="AL189" s="2149"/>
      <c r="AM189" s="2149"/>
      <c r="AN189" s="2149"/>
      <c r="AO189" s="2149"/>
      <c r="AP189" s="2149"/>
      <c r="AQ189" s="2149"/>
      <c r="AR189" s="2149"/>
      <c r="AS189" s="2149"/>
      <c r="AT189" s="2149"/>
      <c r="AU189" s="2150"/>
      <c r="AV189" s="2150"/>
      <c r="AW189" s="2150"/>
      <c r="AX189" s="2150"/>
      <c r="AY189" s="2150"/>
      <c r="AZ189" s="2150"/>
      <c r="BA189" s="2150"/>
      <c r="BB189" s="2150"/>
      <c r="BC189" s="1053"/>
      <c r="BD189" s="1053"/>
      <c r="BE189" s="1138"/>
    </row>
    <row r="190" spans="1:57" ht="15.75" customHeight="1">
      <c r="A190" s="1097"/>
      <c r="B190" s="1097"/>
      <c r="C190" s="2122" t="s">
        <v>2035</v>
      </c>
      <c r="D190" s="2123"/>
      <c r="E190" s="2123"/>
      <c r="F190" s="2123"/>
      <c r="G190" s="2123"/>
      <c r="H190" s="2123"/>
      <c r="I190" s="2123"/>
      <c r="J190" s="2123"/>
      <c r="K190" s="2123"/>
      <c r="L190" s="2123"/>
      <c r="M190" s="2123"/>
      <c r="N190" s="2124">
        <f>SUM(N182:T189)</f>
        <v>3828000</v>
      </c>
      <c r="O190" s="2124"/>
      <c r="P190" s="2124"/>
      <c r="Q190" s="2124"/>
      <c r="R190" s="2124"/>
      <c r="S190" s="2124"/>
      <c r="T190" s="2125"/>
      <c r="U190" s="1097"/>
      <c r="V190" s="1097"/>
      <c r="W190" s="1097"/>
      <c r="X190" s="1097"/>
      <c r="Y190" s="1097"/>
      <c r="Z190" s="1097"/>
      <c r="AA190" s="1097"/>
      <c r="AB190" s="1097"/>
      <c r="AC190" s="1097"/>
      <c r="AD190" s="1097"/>
      <c r="AE190" s="1097"/>
      <c r="AF190" s="1097"/>
      <c r="AG190" s="1097"/>
      <c r="AH190" s="2126" t="s">
        <v>2036</v>
      </c>
      <c r="AI190" s="2127"/>
      <c r="AJ190" s="2127"/>
      <c r="AK190" s="2127"/>
      <c r="AL190" s="2127"/>
      <c r="AM190" s="2127"/>
      <c r="AN190" s="2127"/>
      <c r="AO190" s="2127"/>
      <c r="AP190" s="2127"/>
      <c r="AQ190" s="2127"/>
      <c r="AR190" s="2127"/>
      <c r="AS190" s="2127"/>
      <c r="AT190" s="2127"/>
      <c r="AU190" s="2127"/>
      <c r="AV190" s="2127"/>
      <c r="AW190" s="2127"/>
      <c r="AX190" s="2127"/>
      <c r="AY190" s="2127"/>
      <c r="AZ190" s="2127"/>
      <c r="BA190" s="2127"/>
      <c r="BB190" s="2127"/>
      <c r="BC190" s="2127"/>
      <c r="BD190" s="2127"/>
      <c r="BE190" s="2128"/>
    </row>
    <row r="191" spans="1:57" ht="15.75" customHeight="1" thickBot="1">
      <c r="A191" s="1097"/>
      <c r="B191" s="1097"/>
      <c r="C191" s="2132" t="s">
        <v>2037</v>
      </c>
      <c r="D191" s="2133"/>
      <c r="E191" s="2133"/>
      <c r="F191" s="2133"/>
      <c r="G191" s="2133"/>
      <c r="H191" s="2133"/>
      <c r="I191" s="2133"/>
      <c r="J191" s="2133"/>
      <c r="K191" s="2133"/>
      <c r="L191" s="2133"/>
      <c r="M191" s="2133"/>
      <c r="N191" s="2134">
        <f>(N180-N190)/J29</f>
        <v>748909.19047619053</v>
      </c>
      <c r="O191" s="2135"/>
      <c r="P191" s="2135"/>
      <c r="Q191" s="2135"/>
      <c r="R191" s="2135"/>
      <c r="S191" s="2135"/>
      <c r="T191" s="2136"/>
      <c r="U191" s="1102"/>
      <c r="V191" s="1097"/>
      <c r="W191" s="1097"/>
      <c r="X191" s="1097"/>
      <c r="Y191" s="1097"/>
      <c r="Z191" s="1097"/>
      <c r="AA191" s="1097"/>
      <c r="AB191" s="1097"/>
      <c r="AC191" s="1097"/>
      <c r="AD191" s="1097"/>
      <c r="AE191" s="1097"/>
      <c r="AF191" s="1097"/>
      <c r="AG191" s="1097"/>
      <c r="AH191" s="2129"/>
      <c r="AI191" s="2130"/>
      <c r="AJ191" s="2130"/>
      <c r="AK191" s="2130"/>
      <c r="AL191" s="2130"/>
      <c r="AM191" s="2130"/>
      <c r="AN191" s="2130"/>
      <c r="AO191" s="2130"/>
      <c r="AP191" s="2130"/>
      <c r="AQ191" s="2130"/>
      <c r="AR191" s="2130"/>
      <c r="AS191" s="2130"/>
      <c r="AT191" s="2130"/>
      <c r="AU191" s="2130"/>
      <c r="AV191" s="2130"/>
      <c r="AW191" s="2130"/>
      <c r="AX191" s="2130"/>
      <c r="AY191" s="2130"/>
      <c r="AZ191" s="2130"/>
      <c r="BA191" s="2130"/>
      <c r="BB191" s="2130"/>
      <c r="BC191" s="2130"/>
      <c r="BD191" s="2130"/>
      <c r="BE191" s="2131"/>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37"/>
      <c r="AI192" s="2137"/>
      <c r="AJ192" s="2137"/>
      <c r="AK192" s="2137"/>
      <c r="AL192" s="2137"/>
      <c r="AM192" s="2137"/>
      <c r="AN192" s="2137"/>
      <c r="AO192" s="2137"/>
      <c r="AP192" s="2137"/>
      <c r="AQ192" s="2137"/>
      <c r="AR192" s="2137"/>
      <c r="AS192" s="2138"/>
      <c r="AT192" s="2138"/>
      <c r="AU192" s="2138"/>
      <c r="AV192" s="2138"/>
      <c r="AW192" s="2138"/>
      <c r="AX192" s="2138"/>
      <c r="AY192" s="2138"/>
      <c r="AZ192" s="2138"/>
      <c r="BA192" s="2138"/>
      <c r="BB192" s="2138"/>
      <c r="BC192" s="2138"/>
      <c r="BD192" s="2138"/>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56" t="s">
        <v>2038</v>
      </c>
      <c r="D194" s="2157"/>
      <c r="E194" s="2157"/>
      <c r="F194" s="2157"/>
      <c r="G194" s="2157"/>
      <c r="H194" s="2157"/>
      <c r="I194" s="2157"/>
      <c r="J194" s="2157"/>
      <c r="K194" s="2157"/>
      <c r="L194" s="2157"/>
      <c r="M194" s="2157"/>
      <c r="N194" s="2157"/>
      <c r="O194" s="2157"/>
      <c r="P194" s="2157"/>
      <c r="Q194" s="2157"/>
      <c r="R194" s="2157"/>
      <c r="S194" s="2157"/>
      <c r="T194" s="2157"/>
      <c r="U194" s="2157"/>
      <c r="V194" s="2157"/>
      <c r="W194" s="2157"/>
      <c r="X194" s="2157"/>
      <c r="Y194" s="2157"/>
      <c r="Z194" s="2157"/>
      <c r="AA194" s="2157"/>
      <c r="AB194" s="2157"/>
      <c r="AC194" s="2157"/>
      <c r="AD194" s="2157"/>
      <c r="AE194" s="2158"/>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59" t="s">
        <v>2039</v>
      </c>
      <c r="D195" s="2159"/>
      <c r="E195" s="2159"/>
      <c r="F195" s="2159"/>
      <c r="G195" s="2159"/>
      <c r="H195" s="2159"/>
      <c r="I195" s="2159"/>
      <c r="J195" s="2159"/>
      <c r="K195" s="2159"/>
      <c r="L195" s="2159"/>
      <c r="M195" s="2159"/>
      <c r="N195" s="2159"/>
      <c r="O195" s="2160" t="s">
        <v>2040</v>
      </c>
      <c r="P195" s="2160"/>
      <c r="Q195" s="2160"/>
      <c r="R195" s="2160"/>
      <c r="S195" s="2160"/>
      <c r="T195" s="2160"/>
      <c r="U195" s="2160"/>
      <c r="V195" s="2160"/>
      <c r="W195" s="2160"/>
      <c r="X195" s="2160" t="s">
        <v>2041</v>
      </c>
      <c r="Y195" s="2160"/>
      <c r="Z195" s="2160"/>
      <c r="AA195" s="2160"/>
      <c r="AB195" s="2160"/>
      <c r="AC195" s="2160"/>
      <c r="AD195" s="2160"/>
      <c r="AE195" s="2160"/>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51" t="s">
        <v>2042</v>
      </c>
      <c r="D196" s="2151"/>
      <c r="E196" s="2151"/>
      <c r="F196" s="2151"/>
      <c r="G196" s="2151"/>
      <c r="H196" s="2151"/>
      <c r="I196" s="2151"/>
      <c r="J196" s="2151"/>
      <c r="K196" s="2151"/>
      <c r="L196" s="2151"/>
      <c r="M196" s="2151"/>
      <c r="N196" s="2151"/>
      <c r="O196" s="2152" t="s">
        <v>2043</v>
      </c>
      <c r="P196" s="2152"/>
      <c r="Q196" s="2152"/>
      <c r="R196" s="2152"/>
      <c r="S196" s="2152"/>
      <c r="T196" s="2152"/>
      <c r="U196" s="2152"/>
      <c r="V196" s="2152"/>
      <c r="W196" s="2152"/>
      <c r="X196" s="2153">
        <v>0.03</v>
      </c>
      <c r="Y196" s="2153"/>
      <c r="Z196" s="2153"/>
      <c r="AA196" s="2153"/>
      <c r="AB196" s="2153"/>
      <c r="AC196" s="2153"/>
      <c r="AD196" s="2153"/>
      <c r="AE196" s="2153"/>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51" t="s">
        <v>2044</v>
      </c>
      <c r="D197" s="2151"/>
      <c r="E197" s="2151"/>
      <c r="F197" s="2151"/>
      <c r="G197" s="2151"/>
      <c r="H197" s="2151"/>
      <c r="I197" s="2151"/>
      <c r="J197" s="2151"/>
      <c r="K197" s="2151"/>
      <c r="L197" s="2151"/>
      <c r="M197" s="2151"/>
      <c r="N197" s="2151"/>
      <c r="O197" s="2152" t="s">
        <v>2043</v>
      </c>
      <c r="P197" s="2152"/>
      <c r="Q197" s="2152"/>
      <c r="R197" s="2152"/>
      <c r="S197" s="2152"/>
      <c r="T197" s="2152"/>
      <c r="U197" s="2152"/>
      <c r="V197" s="2152"/>
      <c r="W197" s="2152"/>
      <c r="X197" s="2153">
        <v>0.03</v>
      </c>
      <c r="Y197" s="2153"/>
      <c r="Z197" s="2153"/>
      <c r="AA197" s="2153"/>
      <c r="AB197" s="2153"/>
      <c r="AC197" s="2153"/>
      <c r="AD197" s="2153"/>
      <c r="AE197" s="2153"/>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51" t="s">
        <v>2045</v>
      </c>
      <c r="D198" s="2151"/>
      <c r="E198" s="2151"/>
      <c r="F198" s="2151"/>
      <c r="G198" s="2151"/>
      <c r="H198" s="2151"/>
      <c r="I198" s="2151"/>
      <c r="J198" s="2151"/>
      <c r="K198" s="2151"/>
      <c r="L198" s="2151"/>
      <c r="M198" s="2151"/>
      <c r="N198" s="2151"/>
      <c r="O198" s="2154">
        <f>SUM(O196:W197)</f>
        <v>0</v>
      </c>
      <c r="P198" s="2155"/>
      <c r="Q198" s="2155"/>
      <c r="R198" s="2155"/>
      <c r="S198" s="2155"/>
      <c r="T198" s="2155"/>
      <c r="U198" s="2155"/>
      <c r="V198" s="2155"/>
      <c r="W198" s="2155"/>
      <c r="X198" s="2155" t="s">
        <v>2046</v>
      </c>
      <c r="Y198" s="2155"/>
      <c r="Z198" s="2155"/>
      <c r="AA198" s="2155"/>
      <c r="AB198" s="2155"/>
      <c r="AC198" s="2155"/>
      <c r="AD198" s="2155"/>
      <c r="AE198" s="2155"/>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61" t="s">
        <v>2047</v>
      </c>
      <c r="D199" s="2161"/>
      <c r="E199" s="2161"/>
      <c r="F199" s="2161"/>
      <c r="G199" s="2161"/>
      <c r="H199" s="2161"/>
      <c r="I199" s="2161"/>
      <c r="J199" s="2161"/>
      <c r="K199" s="2161"/>
      <c r="L199" s="2161"/>
      <c r="M199" s="2161"/>
      <c r="N199" s="2161"/>
      <c r="O199" s="2161"/>
      <c r="P199" s="2161"/>
      <c r="Q199" s="2161"/>
      <c r="R199" s="2161"/>
      <c r="S199" s="2161"/>
      <c r="T199" s="2161"/>
      <c r="U199" s="2161"/>
      <c r="V199" s="2161"/>
      <c r="W199" s="2161"/>
      <c r="X199" s="2161"/>
      <c r="Y199" s="2161"/>
      <c r="Z199" s="2161"/>
      <c r="AA199" s="2161"/>
      <c r="AB199" s="2161"/>
      <c r="AC199" s="2161"/>
      <c r="AD199" s="2161"/>
      <c r="AE199" s="2161"/>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62" t="s">
        <v>2048</v>
      </c>
      <c r="D201" s="2163"/>
      <c r="E201" s="2163"/>
      <c r="F201" s="2163"/>
      <c r="G201" s="2163"/>
      <c r="H201" s="2163"/>
      <c r="I201" s="2163"/>
      <c r="J201" s="2163"/>
      <c r="K201" s="2163"/>
      <c r="L201" s="2163"/>
      <c r="M201" s="2163"/>
      <c r="N201" s="2163"/>
      <c r="O201" s="2163"/>
      <c r="P201" s="2163"/>
      <c r="Q201" s="2163"/>
      <c r="R201" s="2163"/>
      <c r="S201" s="2163"/>
      <c r="T201" s="2163"/>
      <c r="U201" s="2163"/>
      <c r="V201" s="2163"/>
      <c r="W201" s="2163"/>
      <c r="X201" s="2163"/>
      <c r="Y201" s="2163"/>
      <c r="Z201" s="2163"/>
      <c r="AA201" s="2163"/>
      <c r="AB201" s="2163"/>
      <c r="AC201" s="2163"/>
      <c r="AD201" s="2163"/>
      <c r="AE201" s="2163"/>
      <c r="AF201" s="2163"/>
      <c r="AG201" s="2163"/>
      <c r="AH201" s="2163"/>
      <c r="AI201" s="2163"/>
      <c r="AJ201" s="2163"/>
      <c r="AK201" s="2164"/>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65" t="s">
        <v>2049</v>
      </c>
      <c r="D202" s="2166"/>
      <c r="E202" s="2166"/>
      <c r="F202" s="2167"/>
      <c r="G202" s="2171" t="s">
        <v>2050</v>
      </c>
      <c r="H202" s="2166"/>
      <c r="I202" s="2166"/>
      <c r="J202" s="2166"/>
      <c r="K202" s="2166"/>
      <c r="L202" s="2166"/>
      <c r="M202" s="2166"/>
      <c r="N202" s="2166"/>
      <c r="O202" s="2167"/>
      <c r="P202" s="2173" t="s">
        <v>2051</v>
      </c>
      <c r="Q202" s="2174"/>
      <c r="R202" s="2174"/>
      <c r="S202" s="2174"/>
      <c r="T202" s="2175"/>
      <c r="U202" s="2179" t="s">
        <v>2052</v>
      </c>
      <c r="V202" s="2180"/>
      <c r="W202" s="2180"/>
      <c r="X202" s="2181"/>
      <c r="Y202" s="2179" t="s">
        <v>2053</v>
      </c>
      <c r="Z202" s="2180"/>
      <c r="AA202" s="2180"/>
      <c r="AB202" s="2181"/>
      <c r="AC202" s="2179" t="s">
        <v>2054</v>
      </c>
      <c r="AD202" s="2180"/>
      <c r="AE202" s="2180"/>
      <c r="AF202" s="2181"/>
      <c r="AG202" s="2171" t="s">
        <v>2055</v>
      </c>
      <c r="AH202" s="2166"/>
      <c r="AI202" s="2166"/>
      <c r="AJ202" s="2166"/>
      <c r="AK202" s="2185"/>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68"/>
      <c r="D203" s="2169"/>
      <c r="E203" s="2169"/>
      <c r="F203" s="2170"/>
      <c r="G203" s="2172"/>
      <c r="H203" s="2169"/>
      <c r="I203" s="2169"/>
      <c r="J203" s="2169"/>
      <c r="K203" s="2169"/>
      <c r="L203" s="2169"/>
      <c r="M203" s="2169"/>
      <c r="N203" s="2169"/>
      <c r="O203" s="2170"/>
      <c r="P203" s="2176"/>
      <c r="Q203" s="2177"/>
      <c r="R203" s="2177"/>
      <c r="S203" s="2177"/>
      <c r="T203" s="2178"/>
      <c r="U203" s="2182"/>
      <c r="V203" s="2183"/>
      <c r="W203" s="2183"/>
      <c r="X203" s="2184"/>
      <c r="Y203" s="2182"/>
      <c r="Z203" s="2183"/>
      <c r="AA203" s="2183"/>
      <c r="AB203" s="2184"/>
      <c r="AC203" s="2182"/>
      <c r="AD203" s="2183"/>
      <c r="AE203" s="2183"/>
      <c r="AF203" s="2184"/>
      <c r="AG203" s="2172"/>
      <c r="AH203" s="2169"/>
      <c r="AI203" s="2169"/>
      <c r="AJ203" s="2169"/>
      <c r="AK203" s="2186"/>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190">
        <v>1</v>
      </c>
      <c r="D204" s="2191"/>
      <c r="E204" s="2191"/>
      <c r="F204" s="2191"/>
      <c r="G204" s="2192" t="s">
        <v>2056</v>
      </c>
      <c r="H204" s="2192"/>
      <c r="I204" s="2192"/>
      <c r="J204" s="2192"/>
      <c r="K204" s="2192"/>
      <c r="L204" s="2192"/>
      <c r="M204" s="2192"/>
      <c r="N204" s="2192"/>
      <c r="O204" s="2192"/>
      <c r="P204" s="2193"/>
      <c r="Q204" s="2196"/>
      <c r="R204" s="2196"/>
      <c r="S204" s="2196"/>
      <c r="T204" s="2196"/>
      <c r="U204" s="2194" t="s">
        <v>2056</v>
      </c>
      <c r="V204" s="2194"/>
      <c r="W204" s="2194"/>
      <c r="X204" s="2194"/>
      <c r="Y204" s="2194" t="s">
        <v>2056</v>
      </c>
      <c r="Z204" s="2194"/>
      <c r="AA204" s="2194"/>
      <c r="AB204" s="2194"/>
      <c r="AC204" s="2195" t="s">
        <v>2056</v>
      </c>
      <c r="AD204" s="2195"/>
      <c r="AE204" s="2195"/>
      <c r="AF204" s="2195"/>
      <c r="AG204" s="2187"/>
      <c r="AH204" s="2188"/>
      <c r="AI204" s="2188"/>
      <c r="AJ204" s="2188"/>
      <c r="AK204" s="2189"/>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190">
        <v>2</v>
      </c>
      <c r="D205" s="2191"/>
      <c r="E205" s="2191"/>
      <c r="F205" s="2191"/>
      <c r="G205" s="2192" t="s">
        <v>2056</v>
      </c>
      <c r="H205" s="2192"/>
      <c r="I205" s="2192"/>
      <c r="J205" s="2192"/>
      <c r="K205" s="2192"/>
      <c r="L205" s="2192"/>
      <c r="M205" s="2192"/>
      <c r="N205" s="2192"/>
      <c r="O205" s="2192"/>
      <c r="P205" s="2193"/>
      <c r="Q205" s="2193"/>
      <c r="R205" s="2193"/>
      <c r="S205" s="2193"/>
      <c r="T205" s="2193"/>
      <c r="U205" s="2194" t="s">
        <v>2056</v>
      </c>
      <c r="V205" s="2194"/>
      <c r="W205" s="2194"/>
      <c r="X205" s="2194"/>
      <c r="Y205" s="2194" t="s">
        <v>2056</v>
      </c>
      <c r="Z205" s="2194"/>
      <c r="AA205" s="2194"/>
      <c r="AB205" s="2194"/>
      <c r="AC205" s="2195" t="s">
        <v>2056</v>
      </c>
      <c r="AD205" s="2195"/>
      <c r="AE205" s="2195"/>
      <c r="AF205" s="2195"/>
      <c r="AG205" s="2187"/>
      <c r="AH205" s="2188"/>
      <c r="AI205" s="2188"/>
      <c r="AJ205" s="2188"/>
      <c r="AK205" s="2189"/>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190">
        <v>3</v>
      </c>
      <c r="D206" s="2191"/>
      <c r="E206" s="2191"/>
      <c r="F206" s="2191"/>
      <c r="G206" s="2192" t="s">
        <v>2056</v>
      </c>
      <c r="H206" s="2192"/>
      <c r="I206" s="2192"/>
      <c r="J206" s="2192"/>
      <c r="K206" s="2192"/>
      <c r="L206" s="2192"/>
      <c r="M206" s="2192"/>
      <c r="N206" s="2192"/>
      <c r="O206" s="2192"/>
      <c r="P206" s="2193"/>
      <c r="Q206" s="2193"/>
      <c r="R206" s="2193"/>
      <c r="S206" s="2193"/>
      <c r="T206" s="2193"/>
      <c r="U206" s="2194" t="s">
        <v>2056</v>
      </c>
      <c r="V206" s="2194"/>
      <c r="W206" s="2194"/>
      <c r="X206" s="2194"/>
      <c r="Y206" s="2194" t="s">
        <v>2056</v>
      </c>
      <c r="Z206" s="2194"/>
      <c r="AA206" s="2194"/>
      <c r="AB206" s="2194"/>
      <c r="AC206" s="2195" t="s">
        <v>2056</v>
      </c>
      <c r="AD206" s="2195"/>
      <c r="AE206" s="2195"/>
      <c r="AF206" s="2195"/>
      <c r="AG206" s="2187"/>
      <c r="AH206" s="2188"/>
      <c r="AI206" s="2188"/>
      <c r="AJ206" s="2188"/>
      <c r="AK206" s="2189"/>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190">
        <v>4</v>
      </c>
      <c r="D207" s="2191"/>
      <c r="E207" s="2191"/>
      <c r="F207" s="2191"/>
      <c r="G207" s="2192" t="s">
        <v>2056</v>
      </c>
      <c r="H207" s="2192"/>
      <c r="I207" s="2192"/>
      <c r="J207" s="2192"/>
      <c r="K207" s="2192"/>
      <c r="L207" s="2192"/>
      <c r="M207" s="2192"/>
      <c r="N207" s="2192"/>
      <c r="O207" s="2192"/>
      <c r="P207" s="2193"/>
      <c r="Q207" s="2193"/>
      <c r="R207" s="2193"/>
      <c r="S207" s="2193"/>
      <c r="T207" s="2193"/>
      <c r="U207" s="2194" t="s">
        <v>2056</v>
      </c>
      <c r="V207" s="2194"/>
      <c r="W207" s="2194"/>
      <c r="X207" s="2194"/>
      <c r="Y207" s="2194" t="s">
        <v>2056</v>
      </c>
      <c r="Z207" s="2194"/>
      <c r="AA207" s="2194"/>
      <c r="AB207" s="2194"/>
      <c r="AC207" s="2195" t="s">
        <v>2056</v>
      </c>
      <c r="AD207" s="2195"/>
      <c r="AE207" s="2195"/>
      <c r="AF207" s="2195"/>
      <c r="AG207" s="2187"/>
      <c r="AH207" s="2188"/>
      <c r="AI207" s="2188"/>
      <c r="AJ207" s="2188"/>
      <c r="AK207" s="2189"/>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190">
        <v>5</v>
      </c>
      <c r="D208" s="2191"/>
      <c r="E208" s="2191"/>
      <c r="F208" s="2191"/>
      <c r="G208" s="2192" t="s">
        <v>2056</v>
      </c>
      <c r="H208" s="2192"/>
      <c r="I208" s="2192"/>
      <c r="J208" s="2192"/>
      <c r="K208" s="2192"/>
      <c r="L208" s="2192"/>
      <c r="M208" s="2192"/>
      <c r="N208" s="2192"/>
      <c r="O208" s="2192"/>
      <c r="P208" s="2193"/>
      <c r="Q208" s="2193"/>
      <c r="R208" s="2193"/>
      <c r="S208" s="2193"/>
      <c r="T208" s="2193"/>
      <c r="U208" s="2194" t="s">
        <v>2056</v>
      </c>
      <c r="V208" s="2194"/>
      <c r="W208" s="2194"/>
      <c r="X208" s="2194"/>
      <c r="Y208" s="2194" t="s">
        <v>2056</v>
      </c>
      <c r="Z208" s="2194"/>
      <c r="AA208" s="2194"/>
      <c r="AB208" s="2194"/>
      <c r="AC208" s="2195" t="s">
        <v>2056</v>
      </c>
      <c r="AD208" s="2195"/>
      <c r="AE208" s="2195"/>
      <c r="AF208" s="2195"/>
      <c r="AG208" s="2187"/>
      <c r="AH208" s="2188"/>
      <c r="AI208" s="2188"/>
      <c r="AJ208" s="2188"/>
      <c r="AK208" s="2189"/>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190">
        <v>6</v>
      </c>
      <c r="D209" s="2191"/>
      <c r="E209" s="2191"/>
      <c r="F209" s="2191"/>
      <c r="G209" s="2192" t="s">
        <v>2056</v>
      </c>
      <c r="H209" s="2192"/>
      <c r="I209" s="2192"/>
      <c r="J209" s="2192"/>
      <c r="K209" s="2192"/>
      <c r="L209" s="2192"/>
      <c r="M209" s="2192"/>
      <c r="N209" s="2192"/>
      <c r="O209" s="2192"/>
      <c r="P209" s="2193"/>
      <c r="Q209" s="2193"/>
      <c r="R209" s="2193"/>
      <c r="S209" s="2193"/>
      <c r="T209" s="2193"/>
      <c r="U209" s="2194"/>
      <c r="V209" s="2194"/>
      <c r="W209" s="2194"/>
      <c r="X209" s="2194"/>
      <c r="Y209" s="2194"/>
      <c r="Z209" s="2194"/>
      <c r="AA209" s="2194"/>
      <c r="AB209" s="2194"/>
      <c r="AC209" s="2195" t="s">
        <v>2056</v>
      </c>
      <c r="AD209" s="2195"/>
      <c r="AE209" s="2195"/>
      <c r="AF209" s="2195"/>
      <c r="AG209" s="2187"/>
      <c r="AH209" s="2188"/>
      <c r="AI209" s="2188"/>
      <c r="AJ209" s="2188"/>
      <c r="AK209" s="2189"/>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190">
        <v>7</v>
      </c>
      <c r="D210" s="2191"/>
      <c r="E210" s="2191"/>
      <c r="F210" s="2191"/>
      <c r="G210" s="2192"/>
      <c r="H210" s="2192"/>
      <c r="I210" s="2192"/>
      <c r="J210" s="2192"/>
      <c r="K210" s="2192"/>
      <c r="L210" s="2192"/>
      <c r="M210" s="2192"/>
      <c r="N210" s="2192"/>
      <c r="O210" s="2192"/>
      <c r="P210" s="2193"/>
      <c r="Q210" s="2193"/>
      <c r="R210" s="2193"/>
      <c r="S210" s="2193"/>
      <c r="T210" s="2193"/>
      <c r="U210" s="2194"/>
      <c r="V210" s="2194"/>
      <c r="W210" s="2194"/>
      <c r="X210" s="2194"/>
      <c r="Y210" s="2194"/>
      <c r="Z210" s="2194"/>
      <c r="AA210" s="2194"/>
      <c r="AB210" s="2194"/>
      <c r="AC210" s="2195" t="s">
        <v>2056</v>
      </c>
      <c r="AD210" s="2195"/>
      <c r="AE210" s="2195"/>
      <c r="AF210" s="2195"/>
      <c r="AG210" s="2187"/>
      <c r="AH210" s="2188"/>
      <c r="AI210" s="2188"/>
      <c r="AJ210" s="2188"/>
      <c r="AK210" s="2189"/>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09" t="s">
        <v>2057</v>
      </c>
      <c r="D211" s="2210"/>
      <c r="E211" s="2210"/>
      <c r="F211" s="2210"/>
      <c r="G211" s="2210"/>
      <c r="H211" s="2210"/>
      <c r="I211" s="2210"/>
      <c r="J211" s="2210"/>
      <c r="K211" s="2210"/>
      <c r="L211" s="2210"/>
      <c r="M211" s="2210"/>
      <c r="N211" s="2210"/>
      <c r="O211" s="2210"/>
      <c r="P211" s="2211"/>
      <c r="Q211" s="2211"/>
      <c r="R211" s="2211"/>
      <c r="S211" s="2211"/>
      <c r="T211" s="2211"/>
      <c r="U211" s="2212">
        <f>-SUM(U204:U210)</f>
        <v>0</v>
      </c>
      <c r="V211" s="2212"/>
      <c r="W211" s="2212"/>
      <c r="X211" s="2212"/>
      <c r="Y211" s="2212">
        <f>-SUM(Y204:Y210)</f>
        <v>0</v>
      </c>
      <c r="Z211" s="2212"/>
      <c r="AA211" s="2212"/>
      <c r="AB211" s="2212"/>
      <c r="AC211" s="2213">
        <f>-SUM(AC204:AC210)</f>
        <v>0</v>
      </c>
      <c r="AD211" s="2213"/>
      <c r="AE211" s="2213"/>
      <c r="AF211" s="2213"/>
      <c r="AG211" s="2214"/>
      <c r="AH211" s="2215"/>
      <c r="AI211" s="2215"/>
      <c r="AJ211" s="2215"/>
      <c r="AK211" s="2216"/>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2058</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197" t="s">
        <v>2059</v>
      </c>
      <c r="C216" s="2198"/>
      <c r="D216" s="2198"/>
      <c r="E216" s="2198"/>
      <c r="F216" s="2198"/>
      <c r="G216" s="2198"/>
      <c r="H216" s="2198"/>
      <c r="I216" s="2198"/>
      <c r="J216" s="2198"/>
      <c r="K216" s="2198"/>
      <c r="L216" s="2198"/>
      <c r="M216" s="2198"/>
      <c r="N216" s="2198"/>
      <c r="O216" s="2198"/>
      <c r="P216" s="2198"/>
      <c r="Q216" s="2198"/>
      <c r="R216" s="2198"/>
      <c r="S216" s="2198"/>
      <c r="T216" s="2198"/>
      <c r="U216" s="2198"/>
      <c r="V216" s="2198"/>
      <c r="W216" s="2198"/>
      <c r="X216" s="2198"/>
      <c r="Y216" s="2198"/>
      <c r="Z216" s="2198"/>
      <c r="AA216" s="2198"/>
      <c r="AB216" s="2198"/>
      <c r="AC216" s="2198"/>
      <c r="AD216" s="2198"/>
      <c r="AE216" s="2198"/>
      <c r="AF216" s="2198"/>
      <c r="AG216" s="2198"/>
      <c r="AH216" s="2198"/>
      <c r="AI216" s="2198"/>
      <c r="AJ216" s="2198"/>
      <c r="AK216" s="2198"/>
      <c r="AL216" s="2198"/>
      <c r="AM216" s="2198"/>
      <c r="AN216" s="2198"/>
      <c r="AO216" s="2198"/>
      <c r="AP216" s="2198"/>
      <c r="AQ216" s="2198"/>
      <c r="AR216" s="2198"/>
      <c r="AS216" s="2198"/>
      <c r="AT216" s="2198"/>
      <c r="AU216" s="2198"/>
      <c r="AV216" s="2198"/>
      <c r="AW216" s="2198"/>
      <c r="AX216" s="2198"/>
      <c r="AY216" s="2198"/>
      <c r="AZ216" s="2198"/>
      <c r="BA216" s="2198"/>
      <c r="BB216" s="2198"/>
      <c r="BC216" s="2198"/>
      <c r="BD216" s="2199"/>
      <c r="BE216" s="1101"/>
    </row>
    <row r="217" spans="1:57" ht="15.75" customHeight="1">
      <c r="A217" s="1097"/>
      <c r="B217" s="2200"/>
      <c r="C217" s="2201"/>
      <c r="D217" s="2201"/>
      <c r="E217" s="2201"/>
      <c r="F217" s="2201"/>
      <c r="G217" s="2201"/>
      <c r="H217" s="2201"/>
      <c r="I217" s="2201"/>
      <c r="J217" s="2201"/>
      <c r="K217" s="2201"/>
      <c r="L217" s="2201"/>
      <c r="M217" s="2201"/>
      <c r="N217" s="2201"/>
      <c r="O217" s="2201"/>
      <c r="P217" s="2201"/>
      <c r="Q217" s="2201"/>
      <c r="R217" s="2201"/>
      <c r="S217" s="2201"/>
      <c r="T217" s="2201"/>
      <c r="U217" s="2201"/>
      <c r="V217" s="2201"/>
      <c r="W217" s="2201"/>
      <c r="X217" s="2201"/>
      <c r="Y217" s="2201"/>
      <c r="Z217" s="2201"/>
      <c r="AA217" s="2201"/>
      <c r="AB217" s="2201"/>
      <c r="AC217" s="2201"/>
      <c r="AD217" s="2201"/>
      <c r="AE217" s="2201"/>
      <c r="AF217" s="2201"/>
      <c r="AG217" s="2201"/>
      <c r="AH217" s="2201"/>
      <c r="AI217" s="2201"/>
      <c r="AJ217" s="2201"/>
      <c r="AK217" s="2201"/>
      <c r="AL217" s="2201"/>
      <c r="AM217" s="2201"/>
      <c r="AN217" s="2201"/>
      <c r="AO217" s="2201"/>
      <c r="AP217" s="2201"/>
      <c r="AQ217" s="2201"/>
      <c r="AR217" s="2201"/>
      <c r="AS217" s="2201"/>
      <c r="AT217" s="2201"/>
      <c r="AU217" s="2201"/>
      <c r="AV217" s="2201"/>
      <c r="AW217" s="2201"/>
      <c r="AX217" s="2201"/>
      <c r="AY217" s="2201"/>
      <c r="AZ217" s="2201"/>
      <c r="BA217" s="2201"/>
      <c r="BB217" s="2201"/>
      <c r="BC217" s="2201"/>
      <c r="BD217" s="2202"/>
      <c r="BE217" s="1101"/>
    </row>
    <row r="218" spans="1:57" ht="15.75" customHeight="1">
      <c r="A218" s="1097"/>
      <c r="B218" s="2203" t="s">
        <v>2060</v>
      </c>
      <c r="C218" s="2204"/>
      <c r="D218" s="2204"/>
      <c r="E218" s="2204"/>
      <c r="F218" s="2204"/>
      <c r="G218" s="2204"/>
      <c r="H218" s="2204"/>
      <c r="I218" s="2204"/>
      <c r="J218" s="2204"/>
      <c r="K218" s="2204"/>
      <c r="L218" s="2204"/>
      <c r="M218" s="2204"/>
      <c r="N218" s="2204"/>
      <c r="O218" s="2204"/>
      <c r="P218" s="2204"/>
      <c r="Q218" s="2204"/>
      <c r="R218" s="2204"/>
      <c r="S218" s="2204"/>
      <c r="T218" s="2204"/>
      <c r="U218" s="2204"/>
      <c r="V218" s="2204"/>
      <c r="W218" s="2204"/>
      <c r="X218" s="2204"/>
      <c r="Y218" s="2204"/>
      <c r="Z218" s="2204"/>
      <c r="AA218" s="2204"/>
      <c r="AB218" s="2204"/>
      <c r="AC218" s="2204"/>
      <c r="AD218" s="2204"/>
      <c r="AE218" s="2204"/>
      <c r="AF218" s="2204"/>
      <c r="AG218" s="2204"/>
      <c r="AH218" s="2204"/>
      <c r="AI218" s="2204"/>
      <c r="AJ218" s="2204"/>
      <c r="AK218" s="2204"/>
      <c r="AL218" s="2204"/>
      <c r="AM218" s="2204"/>
      <c r="AN218" s="2204"/>
      <c r="AO218" s="2204"/>
      <c r="AP218" s="2204"/>
      <c r="AQ218" s="2204"/>
      <c r="AR218" s="2204"/>
      <c r="AS218" s="2204"/>
      <c r="AT218" s="2204"/>
      <c r="AU218" s="2204"/>
      <c r="AV218" s="2204"/>
      <c r="AW218" s="2204"/>
      <c r="AX218" s="2204"/>
      <c r="AY218" s="2204"/>
      <c r="AZ218" s="2204"/>
      <c r="BA218" s="2204"/>
      <c r="BB218" s="2204"/>
      <c r="BC218" s="2204"/>
      <c r="BD218" s="2205"/>
      <c r="BE218" s="1101"/>
    </row>
    <row r="219" spans="1:57" ht="15.75" customHeight="1">
      <c r="A219" s="1097"/>
      <c r="B219" s="2203" t="s">
        <v>2061</v>
      </c>
      <c r="C219" s="2204"/>
      <c r="D219" s="2204"/>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c r="AA219" s="2204"/>
      <c r="AB219" s="2204"/>
      <c r="AC219" s="2204"/>
      <c r="AD219" s="2204"/>
      <c r="AE219" s="2204"/>
      <c r="AF219" s="2204"/>
      <c r="AG219" s="2204"/>
      <c r="AH219" s="2204"/>
      <c r="AI219" s="2204"/>
      <c r="AJ219" s="2204"/>
      <c r="AK219" s="2204"/>
      <c r="AL219" s="2204"/>
      <c r="AM219" s="2204"/>
      <c r="AN219" s="2204"/>
      <c r="AO219" s="2204"/>
      <c r="AP219" s="2204"/>
      <c r="AQ219" s="2204"/>
      <c r="AR219" s="2204"/>
      <c r="AS219" s="2204"/>
      <c r="AT219" s="2204"/>
      <c r="AU219" s="2204"/>
      <c r="AV219" s="2204"/>
      <c r="AW219" s="2204"/>
      <c r="AX219" s="2204"/>
      <c r="AY219" s="2204"/>
      <c r="AZ219" s="2204"/>
      <c r="BA219" s="2204"/>
      <c r="BB219" s="2204"/>
      <c r="BC219" s="2204"/>
      <c r="BD219" s="2205"/>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06" t="s">
        <v>2062</v>
      </c>
      <c r="C221" s="2096"/>
      <c r="D221" s="2096"/>
      <c r="E221" s="2096"/>
      <c r="F221" s="2096"/>
      <c r="G221" s="2096"/>
      <c r="H221" s="2096"/>
      <c r="I221" s="2096"/>
      <c r="J221" s="2096"/>
      <c r="K221" s="2096"/>
      <c r="L221" s="2096"/>
      <c r="M221" s="2096"/>
      <c r="N221" s="2096"/>
      <c r="O221" s="2096"/>
      <c r="P221" s="2096"/>
      <c r="Q221" s="2096"/>
      <c r="R221" s="2096"/>
      <c r="S221" s="2096"/>
      <c r="T221" s="2096"/>
      <c r="U221" s="2096"/>
      <c r="V221" s="2096"/>
      <c r="W221" s="2096"/>
      <c r="X221" s="2096"/>
      <c r="Y221" s="2096"/>
      <c r="Z221" s="2096"/>
      <c r="AA221" s="2096"/>
      <c r="AB221" s="2096"/>
      <c r="AC221" s="2096"/>
      <c r="AD221" s="2096"/>
      <c r="AE221" s="2096"/>
      <c r="AF221" s="2096"/>
      <c r="AG221" s="2096"/>
      <c r="AH221" s="2096"/>
      <c r="AI221" s="2096"/>
      <c r="AJ221" s="2096"/>
      <c r="AK221" s="2096"/>
      <c r="AL221" s="2096"/>
      <c r="AM221" s="2096"/>
      <c r="AN221" s="2096"/>
      <c r="AO221" s="2096"/>
      <c r="AP221" s="2096"/>
      <c r="AQ221" s="2096"/>
      <c r="AR221" s="2096"/>
      <c r="AS221" s="2096"/>
      <c r="AT221" s="2096"/>
      <c r="AU221" s="2096"/>
      <c r="AV221" s="2096"/>
      <c r="AW221" s="2096"/>
      <c r="AX221" s="2096"/>
      <c r="AY221" s="2096"/>
      <c r="AZ221" s="2096"/>
      <c r="BA221" s="2096"/>
      <c r="BB221" s="2096"/>
      <c r="BC221" s="2096"/>
      <c r="BD221" s="2207"/>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2063</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08" t="s">
        <v>2064</v>
      </c>
      <c r="I225" s="2208"/>
      <c r="J225" s="2208"/>
      <c r="K225" s="2208"/>
      <c r="L225" s="2208"/>
      <c r="M225" s="2208"/>
      <c r="N225" s="2208"/>
      <c r="O225" s="2208"/>
      <c r="P225" s="2208"/>
      <c r="Q225" s="2208"/>
      <c r="R225" s="2208"/>
      <c r="S225" s="2208"/>
      <c r="T225" s="2208"/>
      <c r="U225" s="2208"/>
      <c r="V225" s="2208"/>
      <c r="W225" s="2208"/>
      <c r="X225" s="2208"/>
      <c r="Y225" s="2208"/>
      <c r="Z225" s="2208"/>
      <c r="AA225" s="2208"/>
      <c r="AB225" s="2208"/>
      <c r="AC225" s="2208"/>
      <c r="AD225" s="2208"/>
      <c r="AE225" s="2208"/>
      <c r="AF225" s="2208"/>
      <c r="AG225" s="2208"/>
      <c r="AH225" s="2208"/>
      <c r="AI225" s="2208"/>
      <c r="AJ225" s="2208"/>
      <c r="AK225" s="2208"/>
      <c r="AL225" s="2208"/>
      <c r="AM225" s="2208"/>
      <c r="AN225" s="2208"/>
      <c r="AO225" s="2208"/>
      <c r="AP225" s="2208"/>
      <c r="AQ225" s="2208"/>
      <c r="AR225" s="2208"/>
      <c r="AS225" s="2208"/>
      <c r="AT225" s="2208"/>
      <c r="AU225" s="2208"/>
      <c r="AV225" s="2208"/>
      <c r="AW225" s="2208"/>
      <c r="AX225" s="2208"/>
      <c r="AY225" s="2208"/>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26" t="s">
        <v>2065</v>
      </c>
      <c r="I227" s="2226"/>
      <c r="J227" s="2226"/>
      <c r="K227" s="2226"/>
      <c r="L227" s="2226"/>
      <c r="M227" s="2226"/>
      <c r="N227" s="2226"/>
      <c r="O227" s="2226"/>
      <c r="P227" s="2226"/>
      <c r="Q227" s="2226"/>
      <c r="R227" s="2226"/>
      <c r="S227" s="2226"/>
      <c r="T227" s="2226"/>
      <c r="U227" s="2226"/>
      <c r="V227" s="2226"/>
      <c r="W227" s="2226"/>
      <c r="X227" s="2226"/>
      <c r="Y227" s="2226"/>
      <c r="Z227" s="2226"/>
      <c r="AA227" s="2226"/>
      <c r="AB227" s="2226"/>
      <c r="AC227" s="2226"/>
      <c r="AD227" s="2226"/>
      <c r="AE227" s="2226"/>
      <c r="AF227" s="2226"/>
      <c r="AG227" s="2226"/>
      <c r="AH227" s="2226"/>
      <c r="AI227" s="2226"/>
      <c r="AJ227" s="2226"/>
      <c r="AK227" s="2226"/>
      <c r="AL227" s="2226"/>
      <c r="AM227" s="2226"/>
      <c r="AN227" s="2226"/>
      <c r="AO227" s="2226"/>
      <c r="AP227" s="2226"/>
      <c r="AQ227" s="2226"/>
      <c r="AR227" s="2226"/>
      <c r="AS227" s="2226"/>
      <c r="AT227" s="2226"/>
      <c r="AU227" s="2226"/>
      <c r="AV227" s="2226"/>
      <c r="AW227" s="2226"/>
      <c r="AX227" s="2226"/>
      <c r="AY227" s="2226"/>
      <c r="AZ227" s="2226"/>
      <c r="BA227" s="1097"/>
      <c r="BB227" s="1097"/>
      <c r="BC227" s="1097"/>
      <c r="BD227" s="1101"/>
      <c r="BE227" s="1101"/>
    </row>
    <row r="228" spans="1:57" ht="15.75" customHeight="1">
      <c r="A228" s="1097"/>
      <c r="B228" s="1096"/>
      <c r="C228" s="1097"/>
      <c r="D228" s="1097"/>
      <c r="E228" s="1097"/>
      <c r="F228" s="1097"/>
      <c r="G228" s="1097"/>
      <c r="H228" s="2226"/>
      <c r="I228" s="2226"/>
      <c r="J228" s="2226"/>
      <c r="K228" s="2226"/>
      <c r="L228" s="2226"/>
      <c r="M228" s="2226"/>
      <c r="N228" s="2226"/>
      <c r="O228" s="2226"/>
      <c r="P228" s="2226"/>
      <c r="Q228" s="2226"/>
      <c r="R228" s="2226"/>
      <c r="S228" s="2226"/>
      <c r="T228" s="2226"/>
      <c r="U228" s="2226"/>
      <c r="V228" s="2226"/>
      <c r="W228" s="2226"/>
      <c r="X228" s="2226"/>
      <c r="Y228" s="2226"/>
      <c r="Z228" s="2226"/>
      <c r="AA228" s="2226"/>
      <c r="AB228" s="2226"/>
      <c r="AC228" s="2226"/>
      <c r="AD228" s="2226"/>
      <c r="AE228" s="2226"/>
      <c r="AF228" s="2226"/>
      <c r="AG228" s="2226"/>
      <c r="AH228" s="2226"/>
      <c r="AI228" s="2226"/>
      <c r="AJ228" s="2226"/>
      <c r="AK228" s="2226"/>
      <c r="AL228" s="2226"/>
      <c r="AM228" s="2226"/>
      <c r="AN228" s="2226"/>
      <c r="AO228" s="2226"/>
      <c r="AP228" s="2226"/>
      <c r="AQ228" s="2226"/>
      <c r="AR228" s="2226"/>
      <c r="AS228" s="2226"/>
      <c r="AT228" s="2226"/>
      <c r="AU228" s="2226"/>
      <c r="AV228" s="2226"/>
      <c r="AW228" s="2226"/>
      <c r="AX228" s="2226"/>
      <c r="AY228" s="2226"/>
      <c r="AZ228" s="2226"/>
      <c r="BA228" s="1097"/>
      <c r="BB228" s="1097"/>
      <c r="BC228" s="1097"/>
      <c r="BD228" s="1101"/>
      <c r="BE228" s="1101"/>
    </row>
    <row r="229" spans="1:57" ht="15.75" customHeight="1">
      <c r="A229" s="1097"/>
      <c r="B229" s="1096"/>
      <c r="C229" s="1097"/>
      <c r="D229" s="1097"/>
      <c r="E229" s="1097"/>
      <c r="F229" s="1097"/>
      <c r="G229" s="1097"/>
      <c r="H229" s="2226"/>
      <c r="I229" s="2226"/>
      <c r="J229" s="2226"/>
      <c r="K229" s="2226"/>
      <c r="L229" s="2226"/>
      <c r="M229" s="2226"/>
      <c r="N229" s="2226"/>
      <c r="O229" s="2226"/>
      <c r="P229" s="2226"/>
      <c r="Q229" s="2226"/>
      <c r="R229" s="2226"/>
      <c r="S229" s="2226"/>
      <c r="T229" s="2226"/>
      <c r="U229" s="2226"/>
      <c r="V229" s="2226"/>
      <c r="W229" s="2226"/>
      <c r="X229" s="2226"/>
      <c r="Y229" s="2226"/>
      <c r="Z229" s="2226"/>
      <c r="AA229" s="2226"/>
      <c r="AB229" s="2226"/>
      <c r="AC229" s="2226"/>
      <c r="AD229" s="2226"/>
      <c r="AE229" s="2226"/>
      <c r="AF229" s="2226"/>
      <c r="AG229" s="2226"/>
      <c r="AH229" s="2226"/>
      <c r="AI229" s="2226"/>
      <c r="AJ229" s="2226"/>
      <c r="AK229" s="2226"/>
      <c r="AL229" s="2226"/>
      <c r="AM229" s="2226"/>
      <c r="AN229" s="2226"/>
      <c r="AO229" s="2226"/>
      <c r="AP229" s="2226"/>
      <c r="AQ229" s="2226"/>
      <c r="AR229" s="2226"/>
      <c r="AS229" s="2226"/>
      <c r="AT229" s="2226"/>
      <c r="AU229" s="2226"/>
      <c r="AV229" s="2226"/>
      <c r="AW229" s="2226"/>
      <c r="AX229" s="2226"/>
      <c r="AY229" s="2226"/>
      <c r="AZ229" s="2226"/>
      <c r="BA229" s="1097"/>
      <c r="BB229" s="1097"/>
      <c r="BC229" s="1097"/>
      <c r="BD229" s="1101"/>
      <c r="BE229" s="1101"/>
    </row>
    <row r="230" spans="1:57" ht="15.75" customHeight="1">
      <c r="A230" s="1097"/>
      <c r="B230" s="1096"/>
      <c r="C230" s="1097"/>
      <c r="D230" s="1097"/>
      <c r="E230" s="1097"/>
      <c r="F230" s="1097"/>
      <c r="G230" s="1097"/>
      <c r="H230" s="2226"/>
      <c r="I230" s="2226"/>
      <c r="J230" s="2226"/>
      <c r="K230" s="2226"/>
      <c r="L230" s="2226"/>
      <c r="M230" s="2226"/>
      <c r="N230" s="2226"/>
      <c r="O230" s="2226"/>
      <c r="P230" s="2226"/>
      <c r="Q230" s="2226"/>
      <c r="R230" s="2226"/>
      <c r="S230" s="2226"/>
      <c r="T230" s="2226"/>
      <c r="U230" s="2226"/>
      <c r="V230" s="2226"/>
      <c r="W230" s="2226"/>
      <c r="X230" s="2226"/>
      <c r="Y230" s="2226"/>
      <c r="Z230" s="2226"/>
      <c r="AA230" s="2226"/>
      <c r="AB230" s="2226"/>
      <c r="AC230" s="2226"/>
      <c r="AD230" s="2226"/>
      <c r="AE230" s="2226"/>
      <c r="AF230" s="2226"/>
      <c r="AG230" s="2226"/>
      <c r="AH230" s="2226"/>
      <c r="AI230" s="2226"/>
      <c r="AJ230" s="2226"/>
      <c r="AK230" s="2226"/>
      <c r="AL230" s="2226"/>
      <c r="AM230" s="2226"/>
      <c r="AN230" s="2226"/>
      <c r="AO230" s="2226"/>
      <c r="AP230" s="2226"/>
      <c r="AQ230" s="2226"/>
      <c r="AR230" s="2226"/>
      <c r="AS230" s="2226"/>
      <c r="AT230" s="2226"/>
      <c r="AU230" s="2226"/>
      <c r="AV230" s="2226"/>
      <c r="AW230" s="2226"/>
      <c r="AX230" s="2226"/>
      <c r="AY230" s="2226"/>
      <c r="AZ230" s="2226"/>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27" t="s">
        <v>2066</v>
      </c>
      <c r="I232" s="2227"/>
      <c r="J232" s="2227"/>
      <c r="K232" s="2227"/>
      <c r="L232" s="2227"/>
      <c r="M232" s="2227"/>
      <c r="N232" s="2227"/>
      <c r="O232" s="2227"/>
      <c r="P232" s="2227"/>
      <c r="Q232" s="2227"/>
      <c r="R232" s="2227"/>
      <c r="S232" s="2227"/>
      <c r="T232" s="2227"/>
      <c r="U232" s="2227"/>
      <c r="V232" s="2227"/>
      <c r="W232" s="2227"/>
      <c r="X232" s="2227"/>
      <c r="Y232" s="2227"/>
      <c r="Z232" s="2227"/>
      <c r="AA232" s="2227"/>
      <c r="AB232" s="2227"/>
      <c r="AC232" s="2227"/>
      <c r="AD232" s="2227"/>
      <c r="AE232" s="2227"/>
      <c r="AF232" s="2227"/>
      <c r="AG232" s="2227"/>
      <c r="AH232" s="2227"/>
      <c r="AI232" s="2227"/>
      <c r="AJ232" s="2227"/>
      <c r="AK232" s="2227"/>
      <c r="AL232" s="2227"/>
      <c r="AM232" s="2227"/>
      <c r="AN232" s="2227"/>
      <c r="AO232" s="2227"/>
      <c r="AP232" s="2227"/>
      <c r="AQ232" s="2227"/>
      <c r="AR232" s="2227"/>
      <c r="AS232" s="2227"/>
      <c r="AT232" s="2227"/>
      <c r="AU232" s="2227"/>
      <c r="AV232" s="2227"/>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17" t="s">
        <v>2067</v>
      </c>
      <c r="I234" s="2217"/>
      <c r="J234" s="2217"/>
      <c r="K234" s="2217"/>
      <c r="L234" s="1145"/>
      <c r="M234" s="1145"/>
      <c r="N234" s="1145"/>
      <c r="O234" s="1145"/>
      <c r="P234" s="1145"/>
      <c r="Q234" s="1145"/>
      <c r="R234" s="1145"/>
      <c r="S234" s="2228"/>
      <c r="T234" s="2229"/>
      <c r="U234" s="2229"/>
      <c r="V234" s="2229"/>
      <c r="W234" s="2229"/>
      <c r="X234" s="2229"/>
      <c r="Y234" s="2229"/>
      <c r="Z234" s="2229"/>
      <c r="AA234" s="2229"/>
      <c r="AB234" s="2229"/>
      <c r="AC234" s="2229"/>
      <c r="AD234" s="2229"/>
      <c r="AE234" s="2229"/>
      <c r="AF234" s="2229"/>
      <c r="AG234" s="2229"/>
      <c r="AH234" s="2229"/>
      <c r="AI234" s="2229"/>
      <c r="AJ234" s="2230"/>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17" t="s">
        <v>1972</v>
      </c>
      <c r="I236" s="2217"/>
      <c r="J236" s="2217"/>
      <c r="K236" s="1147"/>
      <c r="L236" s="1145"/>
      <c r="M236" s="1145"/>
      <c r="N236" s="1145"/>
      <c r="O236" s="1145"/>
      <c r="P236" s="1145"/>
      <c r="Q236" s="1145"/>
      <c r="R236" s="1145"/>
      <c r="S236" s="2218"/>
      <c r="T236" s="2219"/>
      <c r="U236" s="2219"/>
      <c r="V236" s="2219"/>
      <c r="W236" s="2219"/>
      <c r="X236" s="2219"/>
      <c r="Y236" s="2219"/>
      <c r="Z236" s="2219"/>
      <c r="AA236" s="2219"/>
      <c r="AB236" s="2219"/>
      <c r="AC236" s="2219"/>
      <c r="AD236" s="2219"/>
      <c r="AE236" s="2219"/>
      <c r="AF236" s="2219"/>
      <c r="AG236" s="2219"/>
      <c r="AH236" s="2219"/>
      <c r="AI236" s="2219"/>
      <c r="AJ236" s="2220"/>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17" t="s">
        <v>820</v>
      </c>
      <c r="I238" s="2217"/>
      <c r="J238" s="1147"/>
      <c r="K238" s="1147"/>
      <c r="L238" s="1145"/>
      <c r="M238" s="1145"/>
      <c r="N238" s="1145"/>
      <c r="O238" s="1145"/>
      <c r="P238" s="1145"/>
      <c r="Q238" s="1145"/>
      <c r="R238" s="1145"/>
      <c r="S238" s="2218"/>
      <c r="T238" s="2219"/>
      <c r="U238" s="2219"/>
      <c r="V238" s="2219"/>
      <c r="W238" s="2219"/>
      <c r="X238" s="2219"/>
      <c r="Y238" s="2219"/>
      <c r="Z238" s="2219"/>
      <c r="AA238" s="2219"/>
      <c r="AB238" s="2219"/>
      <c r="AC238" s="2219"/>
      <c r="AD238" s="2219"/>
      <c r="AE238" s="2219"/>
      <c r="AF238" s="2219"/>
      <c r="AG238" s="2219"/>
      <c r="AH238" s="2219"/>
      <c r="AI238" s="2219"/>
      <c r="AJ238" s="2220"/>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21" t="s">
        <v>2068</v>
      </c>
      <c r="I240" s="2221"/>
      <c r="J240" s="2221"/>
      <c r="K240" s="2221"/>
      <c r="L240" s="2221"/>
      <c r="M240" s="2221"/>
      <c r="N240" s="2221"/>
      <c r="O240" s="2221"/>
      <c r="P240" s="1145"/>
      <c r="Q240" s="1145"/>
      <c r="R240" s="1145"/>
      <c r="S240" s="2218"/>
      <c r="T240" s="2219"/>
      <c r="U240" s="2219"/>
      <c r="V240" s="2219"/>
      <c r="W240" s="2219"/>
      <c r="X240" s="2219"/>
      <c r="Y240" s="2219"/>
      <c r="Z240" s="2219"/>
      <c r="AA240" s="2219"/>
      <c r="AB240" s="2219"/>
      <c r="AC240" s="2219"/>
      <c r="AD240" s="2219"/>
      <c r="AE240" s="2219"/>
      <c r="AF240" s="2219"/>
      <c r="AG240" s="2219"/>
      <c r="AH240" s="2219"/>
      <c r="AI240" s="2219"/>
      <c r="AJ240" s="2220"/>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22" t="s">
        <v>2069</v>
      </c>
      <c r="I242" s="2222"/>
      <c r="J242" s="1145"/>
      <c r="K242" s="1145"/>
      <c r="L242" s="1145"/>
      <c r="M242" s="1145"/>
      <c r="N242" s="1145"/>
      <c r="O242" s="1145"/>
      <c r="P242" s="1145"/>
      <c r="Q242" s="1145"/>
      <c r="R242" s="1145"/>
      <c r="S242" s="2223"/>
      <c r="T242" s="2224"/>
      <c r="U242" s="2224"/>
      <c r="V242" s="2224"/>
      <c r="W242" s="2224"/>
      <c r="X242" s="2224"/>
      <c r="Y242" s="2224"/>
      <c r="Z242" s="2224"/>
      <c r="AA242" s="2224"/>
      <c r="AB242" s="2224"/>
      <c r="AC242" s="2224"/>
      <c r="AD242" s="2224"/>
      <c r="AE242" s="2224"/>
      <c r="AF242" s="2224"/>
      <c r="AG242" s="2224"/>
      <c r="AH242" s="2224"/>
      <c r="AI242" s="2224"/>
      <c r="AJ242" s="222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9" zoomScale="110" zoomScaleNormal="110" workbookViewId="0">
      <selection activeCell="AN52" sqref="AN52"/>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74" t="s">
        <v>2070</v>
      </c>
      <c r="B1" s="2274"/>
      <c r="C1" s="2274"/>
      <c r="D1" s="2274"/>
      <c r="E1" s="2274"/>
      <c r="F1" s="2274"/>
      <c r="G1" s="2274"/>
      <c r="H1" s="2274"/>
      <c r="I1" s="2274"/>
      <c r="J1" s="2274"/>
      <c r="K1" s="2274"/>
      <c r="L1" s="2274"/>
      <c r="M1" s="2274"/>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c r="AL1" s="2274"/>
      <c r="AM1" s="2274"/>
      <c r="AN1" s="2274"/>
    </row>
    <row r="2" spans="1:40" ht="12.95" customHeight="1" thickBot="1">
      <c r="A2" s="2275"/>
      <c r="B2" s="2275"/>
      <c r="C2" s="2275"/>
      <c r="D2" s="2275"/>
      <c r="E2" s="2275"/>
      <c r="F2" s="2275"/>
      <c r="G2" s="2275"/>
      <c r="H2" s="2275"/>
      <c r="I2" s="2275"/>
      <c r="J2" s="2275"/>
      <c r="K2" s="2275"/>
      <c r="L2" s="227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2071</v>
      </c>
    </row>
    <row r="7" spans="1:40" ht="12.95" customHeight="1">
      <c r="B7" s="308"/>
      <c r="C7" s="309"/>
      <c r="D7" s="309"/>
      <c r="E7" s="309"/>
      <c r="F7" s="309"/>
      <c r="G7" s="309"/>
      <c r="H7" s="309"/>
      <c r="I7" s="309"/>
      <c r="J7" s="309"/>
      <c r="K7" s="309"/>
      <c r="L7" s="309"/>
      <c r="M7" s="309"/>
      <c r="N7" s="309"/>
      <c r="O7" s="309"/>
      <c r="P7" s="309"/>
      <c r="Q7" s="309"/>
      <c r="R7" s="309"/>
      <c r="S7" s="309"/>
      <c r="T7" s="2254" t="str">
        <f xml:space="preserve"> IF(T25=100%,'Sources and Basis Breakdown'!G2,'Sources and Basis Breakdown'!F2)</f>
        <v>30% PVC for New Const/
Rehabilitation
DDA/QCT
Building(s)</v>
      </c>
      <c r="U7" s="2254"/>
      <c r="V7" s="2254"/>
      <c r="W7" s="2254"/>
      <c r="X7" s="2254"/>
      <c r="Y7" s="2254" t="str">
        <f>IF(T25=100%,"",'Sources and Basis Breakdown'!G2)</f>
        <v>30% PVC for New Const/
Rehabilitation
NON-DDA/
NON-QCT Building(s)</v>
      </c>
      <c r="Z7" s="2254"/>
      <c r="AA7" s="2254"/>
      <c r="AB7" s="2254"/>
      <c r="AC7" s="2254"/>
      <c r="AD7" s="2254" t="str">
        <f xml:space="preserve"> IF(T25=100%, 'Sources and Basis Breakdown'!J2,'Sources and Basis Breakdown'!I2)</f>
        <v>30% PVC for Acquisition
DDA/QCT Building(s)</v>
      </c>
      <c r="AE7" s="2254"/>
      <c r="AF7" s="2254"/>
      <c r="AG7" s="2254"/>
      <c r="AH7" s="2254"/>
      <c r="AI7" s="2254" t="str">
        <f>IF(T25=100%,"",'Sources and Basis Breakdown'!J2)</f>
        <v>30% PVC for Acquisition
NON-DDA/
NON-QCT Building(s)</v>
      </c>
      <c r="AJ7" s="2254"/>
      <c r="AK7" s="2254"/>
      <c r="AL7" s="2254"/>
      <c r="AM7" s="2254"/>
    </row>
    <row r="8" spans="1:40" ht="12.95" customHeight="1">
      <c r="B8" s="310"/>
      <c r="T8" s="2254"/>
      <c r="U8" s="2254"/>
      <c r="V8" s="2254"/>
      <c r="W8" s="2254"/>
      <c r="X8" s="2254"/>
      <c r="Y8" s="2254"/>
      <c r="Z8" s="2254"/>
      <c r="AA8" s="2254"/>
      <c r="AB8" s="2254"/>
      <c r="AC8" s="2254"/>
      <c r="AD8" s="2254"/>
      <c r="AE8" s="2254"/>
      <c r="AF8" s="2254"/>
      <c r="AG8" s="2254"/>
      <c r="AH8" s="2254"/>
      <c r="AI8" s="2254"/>
      <c r="AJ8" s="2254"/>
      <c r="AK8" s="2254"/>
      <c r="AL8" s="2254"/>
      <c r="AM8" s="2254"/>
    </row>
    <row r="9" spans="1:40" ht="12.95" customHeight="1">
      <c r="B9" s="310"/>
      <c r="T9" s="2254"/>
      <c r="U9" s="2254"/>
      <c r="V9" s="2254"/>
      <c r="W9" s="2254"/>
      <c r="X9" s="2254"/>
      <c r="Y9" s="2254"/>
      <c r="Z9" s="2254"/>
      <c r="AA9" s="2254"/>
      <c r="AB9" s="2254"/>
      <c r="AC9" s="2254"/>
      <c r="AD9" s="2254"/>
      <c r="AE9" s="2254"/>
      <c r="AF9" s="2254"/>
      <c r="AG9" s="2254"/>
      <c r="AH9" s="2254"/>
      <c r="AI9" s="2254"/>
      <c r="AJ9" s="2254"/>
      <c r="AK9" s="2254"/>
      <c r="AL9" s="2254"/>
      <c r="AM9" s="2254"/>
    </row>
    <row r="10" spans="1:40" ht="12.95" customHeight="1">
      <c r="B10" s="311"/>
      <c r="C10" s="312"/>
      <c r="D10" s="312"/>
      <c r="E10" s="312"/>
      <c r="F10" s="312"/>
      <c r="G10" s="312"/>
      <c r="H10" s="312"/>
      <c r="I10" s="312"/>
      <c r="J10" s="312"/>
      <c r="K10" s="312"/>
      <c r="L10" s="312"/>
      <c r="M10" s="312"/>
      <c r="N10" s="312"/>
      <c r="O10" s="312"/>
      <c r="P10" s="312"/>
      <c r="Q10" s="312"/>
      <c r="R10" s="312"/>
      <c r="S10" s="312"/>
      <c r="T10" s="2254"/>
      <c r="U10" s="2254"/>
      <c r="V10" s="2254"/>
      <c r="W10" s="2254"/>
      <c r="X10" s="2254"/>
      <c r="Y10" s="2254"/>
      <c r="Z10" s="2254"/>
      <c r="AA10" s="2254"/>
      <c r="AB10" s="2254"/>
      <c r="AC10" s="2254"/>
      <c r="AD10" s="2254"/>
      <c r="AE10" s="2254"/>
      <c r="AF10" s="2254"/>
      <c r="AG10" s="2254"/>
      <c r="AH10" s="2254"/>
      <c r="AI10" s="2254"/>
      <c r="AJ10" s="2254"/>
      <c r="AK10" s="2254"/>
      <c r="AL10" s="2254"/>
      <c r="AM10" s="2254"/>
    </row>
    <row r="11" spans="1:40" ht="12.95" customHeight="1">
      <c r="B11" s="2240" t="s">
        <v>1889</v>
      </c>
      <c r="C11" s="2241"/>
      <c r="D11" s="2241"/>
      <c r="E11" s="2241"/>
      <c r="F11" s="2241"/>
      <c r="G11" s="2241"/>
      <c r="H11" s="2241"/>
      <c r="I11" s="2241"/>
      <c r="J11" s="2241"/>
      <c r="K11" s="2241"/>
      <c r="L11" s="2241"/>
      <c r="M11" s="2241"/>
      <c r="N11" s="2241"/>
      <c r="O11" s="2241"/>
      <c r="P11" s="2241"/>
      <c r="Q11" s="2241"/>
      <c r="R11" s="2241"/>
      <c r="S11" s="2242"/>
      <c r="T11" s="2276">
        <f>IF('Sources and Basis Breakdown'!F107=0,'Sources and Basis Breakdown'!E107,'Sources and Basis Breakdown'!F107)</f>
        <v>60586811</v>
      </c>
      <c r="U11" s="2277"/>
      <c r="V11" s="2277"/>
      <c r="W11" s="2277"/>
      <c r="X11" s="2277"/>
      <c r="Y11" s="2276">
        <f>IF(Y7="",0,IF('Sources and Basis Breakdown'!G107+'Sources and Basis Breakdown'!F107='Sources and Basis Breakdown'!E107,'Sources and Basis Breakdown'!G107,0))</f>
        <v>0</v>
      </c>
      <c r="Z11" s="2277"/>
      <c r="AA11" s="2277"/>
      <c r="AB11" s="2277"/>
      <c r="AC11" s="2277"/>
      <c r="AD11" s="2277">
        <f>IF('Sources and Basis Breakdown'!I107=0,'Sources and Basis Breakdown'!H107,'Sources and Basis Breakdown'!I107)</f>
        <v>0</v>
      </c>
      <c r="AE11" s="2277"/>
      <c r="AF11" s="2277"/>
      <c r="AG11" s="2277"/>
      <c r="AH11" s="2277"/>
      <c r="AI11" s="2277">
        <f>IF(Y7="",0,IF('Sources and Basis Breakdown'!I107+'Sources and Basis Breakdown'!J107='Sources and Basis Breakdown'!H107,'Sources and Basis Breakdown'!J107,0))</f>
        <v>0</v>
      </c>
      <c r="AJ11" s="2277"/>
      <c r="AK11" s="2277"/>
      <c r="AL11" s="2277"/>
      <c r="AM11" s="2277"/>
    </row>
    <row r="12" spans="1:40" ht="12.95" customHeight="1">
      <c r="B12" s="2278" t="s">
        <v>2072</v>
      </c>
      <c r="C12" s="1266"/>
      <c r="D12" s="1266"/>
      <c r="E12" s="1266"/>
      <c r="F12" s="1266"/>
      <c r="G12" s="1266"/>
      <c r="H12" s="1266"/>
      <c r="I12" s="1266"/>
      <c r="J12" s="1266"/>
      <c r="K12" s="1266"/>
      <c r="L12" s="1266"/>
      <c r="M12" s="1266"/>
      <c r="N12" s="1266"/>
      <c r="O12" s="1266"/>
      <c r="P12" s="1266"/>
      <c r="Q12" s="1266"/>
      <c r="R12" s="1266"/>
      <c r="S12" s="2279"/>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95" customHeight="1">
      <c r="B13" s="338"/>
      <c r="C13" s="2280" t="s">
        <v>2073</v>
      </c>
      <c r="D13" s="2280"/>
      <c r="E13" s="2280"/>
      <c r="F13" s="2280"/>
      <c r="G13" s="2280"/>
      <c r="H13" s="2280"/>
      <c r="I13" s="2280"/>
      <c r="J13" s="2280"/>
      <c r="K13" s="2280"/>
      <c r="L13" s="2280"/>
      <c r="M13" s="2280"/>
      <c r="N13" s="2280"/>
      <c r="O13" s="2280"/>
      <c r="P13" s="2280"/>
      <c r="Q13" s="2280"/>
      <c r="R13" s="2280"/>
      <c r="S13" s="2281"/>
      <c r="T13" s="2272"/>
      <c r="U13" s="2273"/>
      <c r="V13" s="2273"/>
      <c r="W13" s="2273"/>
      <c r="X13" s="2273"/>
      <c r="Y13" s="2272"/>
      <c r="Z13" s="2273"/>
      <c r="AA13" s="2273"/>
      <c r="AB13" s="2273"/>
      <c r="AC13" s="2273"/>
      <c r="AD13" s="2273"/>
      <c r="AE13" s="2273"/>
      <c r="AF13" s="2273"/>
      <c r="AG13" s="2273"/>
      <c r="AH13" s="2273"/>
      <c r="AI13" s="2273"/>
      <c r="AJ13" s="2273"/>
      <c r="AK13" s="2273"/>
      <c r="AL13" s="2273"/>
      <c r="AM13" s="2273"/>
    </row>
    <row r="14" spans="1:40" ht="12.95" customHeight="1">
      <c r="B14" s="338"/>
      <c r="C14" s="2280" t="s">
        <v>2074</v>
      </c>
      <c r="D14" s="2280"/>
      <c r="E14" s="2280"/>
      <c r="F14" s="2280"/>
      <c r="G14" s="2280"/>
      <c r="H14" s="2280"/>
      <c r="I14" s="2280"/>
      <c r="J14" s="2280"/>
      <c r="K14" s="2280"/>
      <c r="L14" s="2280"/>
      <c r="M14" s="2280"/>
      <c r="N14" s="2280"/>
      <c r="O14" s="2280"/>
      <c r="P14" s="2280"/>
      <c r="Q14" s="2280"/>
      <c r="R14" s="2280"/>
      <c r="S14" s="2281"/>
      <c r="T14" s="2262"/>
      <c r="U14" s="2263"/>
      <c r="V14" s="2263"/>
      <c r="W14" s="2263"/>
      <c r="X14" s="2263"/>
      <c r="Y14" s="2262"/>
      <c r="Z14" s="2263"/>
      <c r="AA14" s="2263"/>
      <c r="AB14" s="2263"/>
      <c r="AC14" s="2263"/>
      <c r="AD14" s="2263"/>
      <c r="AE14" s="2263"/>
      <c r="AF14" s="2263"/>
      <c r="AG14" s="2263"/>
      <c r="AH14" s="2263"/>
      <c r="AI14" s="2263"/>
      <c r="AJ14" s="2263"/>
      <c r="AK14" s="2263"/>
      <c r="AL14" s="2263"/>
      <c r="AM14" s="2263"/>
    </row>
    <row r="15" spans="1:40" ht="12.95" customHeight="1">
      <c r="B15" s="338"/>
      <c r="C15" s="2280" t="s">
        <v>2075</v>
      </c>
      <c r="D15" s="2280"/>
      <c r="E15" s="2280"/>
      <c r="F15" s="2280"/>
      <c r="G15" s="2280"/>
      <c r="H15" s="2280"/>
      <c r="I15" s="2280"/>
      <c r="J15" s="2280"/>
      <c r="K15" s="2280"/>
      <c r="L15" s="2280"/>
      <c r="M15" s="2280"/>
      <c r="N15" s="2280"/>
      <c r="O15" s="2280"/>
      <c r="P15" s="2280"/>
      <c r="Q15" s="2280"/>
      <c r="R15" s="2280"/>
      <c r="S15" s="2281"/>
      <c r="T15" s="2262"/>
      <c r="U15" s="2263"/>
      <c r="V15" s="2263"/>
      <c r="W15" s="2263"/>
      <c r="X15" s="2263"/>
      <c r="Y15" s="2262"/>
      <c r="Z15" s="2263"/>
      <c r="AA15" s="2263"/>
      <c r="AB15" s="2263"/>
      <c r="AC15" s="2263"/>
      <c r="AD15" s="2263"/>
      <c r="AE15" s="2263"/>
      <c r="AF15" s="2263"/>
      <c r="AG15" s="2263"/>
      <c r="AH15" s="2263"/>
      <c r="AI15" s="2263"/>
      <c r="AJ15" s="2263"/>
      <c r="AK15" s="2263"/>
      <c r="AL15" s="2263"/>
      <c r="AM15" s="2263"/>
    </row>
    <row r="16" spans="1:40" ht="12.95" customHeight="1">
      <c r="B16" s="338"/>
      <c r="C16" s="2280" t="s">
        <v>2076</v>
      </c>
      <c r="D16" s="2280"/>
      <c r="E16" s="2280"/>
      <c r="F16" s="2280"/>
      <c r="G16" s="2280"/>
      <c r="H16" s="2280"/>
      <c r="I16" s="2280"/>
      <c r="J16" s="2280"/>
      <c r="K16" s="2280"/>
      <c r="L16" s="2280"/>
      <c r="M16" s="2280"/>
      <c r="N16" s="2280"/>
      <c r="O16" s="2280"/>
      <c r="P16" s="2280"/>
      <c r="Q16" s="2280"/>
      <c r="R16" s="2280"/>
      <c r="S16" s="2281"/>
      <c r="T16" s="2262"/>
      <c r="U16" s="2263"/>
      <c r="V16" s="2263"/>
      <c r="W16" s="2263"/>
      <c r="X16" s="2263"/>
      <c r="Y16" s="2262"/>
      <c r="Z16" s="2263"/>
      <c r="AA16" s="2263"/>
      <c r="AB16" s="2263"/>
      <c r="AC16" s="2263"/>
      <c r="AD16" s="2263"/>
      <c r="AE16" s="2263"/>
      <c r="AF16" s="2263"/>
      <c r="AG16" s="2263"/>
      <c r="AH16" s="2263"/>
      <c r="AI16" s="2263"/>
      <c r="AJ16" s="2263"/>
      <c r="AK16" s="2263"/>
      <c r="AL16" s="2263"/>
      <c r="AM16" s="2263"/>
    </row>
    <row r="17" spans="1:40" ht="12.95" customHeight="1">
      <c r="B17" s="338"/>
      <c r="C17" s="2280" t="s">
        <v>2077</v>
      </c>
      <c r="D17" s="2280"/>
      <c r="E17" s="2280"/>
      <c r="F17" s="2280"/>
      <c r="G17" s="2280"/>
      <c r="H17" s="2280"/>
      <c r="I17" s="2280"/>
      <c r="J17" s="2280"/>
      <c r="K17" s="2280"/>
      <c r="L17" s="2280"/>
      <c r="M17" s="2280"/>
      <c r="N17" s="2280"/>
      <c r="O17" s="2280"/>
      <c r="P17" s="2280"/>
      <c r="Q17" s="2280"/>
      <c r="R17" s="2280"/>
      <c r="S17" s="2281"/>
      <c r="T17" s="2262"/>
      <c r="U17" s="2263"/>
      <c r="V17" s="2263"/>
      <c r="W17" s="2263"/>
      <c r="X17" s="2263"/>
      <c r="Y17" s="2262"/>
      <c r="Z17" s="2263"/>
      <c r="AA17" s="2263"/>
      <c r="AB17" s="2263"/>
      <c r="AC17" s="2263"/>
      <c r="AD17" s="2263"/>
      <c r="AE17" s="2263"/>
      <c r="AF17" s="2263"/>
      <c r="AG17" s="2263"/>
      <c r="AH17" s="2263"/>
      <c r="AI17" s="2263"/>
      <c r="AJ17" s="2263"/>
      <c r="AK17" s="2263"/>
      <c r="AL17" s="2263"/>
      <c r="AM17" s="2263"/>
    </row>
    <row r="18" spans="1:40" ht="12.95" customHeight="1">
      <c r="A18"/>
      <c r="B18" s="1033"/>
      <c r="C18" s="1508" t="s">
        <v>2078</v>
      </c>
      <c r="D18" s="1508"/>
      <c r="E18" s="1508"/>
      <c r="F18" s="1508"/>
      <c r="G18" s="1508"/>
      <c r="H18" s="1508"/>
      <c r="I18" s="1508"/>
      <c r="J18" s="1508"/>
      <c r="K18" s="1508"/>
      <c r="L18" s="1508"/>
      <c r="M18" s="1508"/>
      <c r="N18" s="1508"/>
      <c r="O18" s="1508"/>
      <c r="P18" s="1508"/>
      <c r="Q18" s="1508"/>
      <c r="R18" s="1508"/>
      <c r="S18" s="1509"/>
      <c r="T18" s="2262"/>
      <c r="U18" s="2263"/>
      <c r="V18" s="2263"/>
      <c r="W18" s="2263"/>
      <c r="X18" s="2263"/>
      <c r="Y18" s="2262"/>
      <c r="Z18" s="2263"/>
      <c r="AA18" s="2263"/>
      <c r="AB18" s="2263"/>
      <c r="AC18" s="2263"/>
      <c r="AD18" s="2263"/>
      <c r="AE18" s="2263"/>
      <c r="AF18" s="2263"/>
      <c r="AG18" s="2263"/>
      <c r="AH18" s="2263"/>
      <c r="AI18" s="2263"/>
      <c r="AJ18" s="2263"/>
      <c r="AK18" s="2263"/>
      <c r="AL18" s="2263"/>
      <c r="AM18" s="2263"/>
    </row>
    <row r="19" spans="1:40" ht="12.95" customHeight="1">
      <c r="B19" s="1033"/>
      <c r="C19" s="1508" t="s">
        <v>2078</v>
      </c>
      <c r="D19" s="1508"/>
      <c r="E19" s="1508"/>
      <c r="F19" s="1508"/>
      <c r="G19" s="1508"/>
      <c r="H19" s="1508"/>
      <c r="I19" s="1508"/>
      <c r="J19" s="1508"/>
      <c r="K19" s="1508"/>
      <c r="L19" s="1508"/>
      <c r="M19" s="1508"/>
      <c r="N19" s="1508"/>
      <c r="O19" s="1508"/>
      <c r="P19" s="1508"/>
      <c r="Q19" s="1508"/>
      <c r="R19" s="1508"/>
      <c r="S19" s="1509"/>
      <c r="T19" s="2262"/>
      <c r="U19" s="2263"/>
      <c r="V19" s="2263"/>
      <c r="W19" s="2263"/>
      <c r="X19" s="2263"/>
      <c r="Y19" s="2262"/>
      <c r="Z19" s="2263"/>
      <c r="AA19" s="2263"/>
      <c r="AB19" s="2263"/>
      <c r="AC19" s="2263"/>
      <c r="AD19" s="2263"/>
      <c r="AE19" s="2263"/>
      <c r="AF19" s="2263"/>
      <c r="AG19" s="2263"/>
      <c r="AH19" s="2263"/>
      <c r="AI19" s="2263"/>
      <c r="AJ19" s="2263"/>
      <c r="AK19" s="2263"/>
      <c r="AL19" s="2263"/>
      <c r="AM19" s="2263"/>
    </row>
    <row r="20" spans="1:40" ht="12.95" customHeight="1">
      <c r="B20" s="2240" t="s">
        <v>2079</v>
      </c>
      <c r="C20" s="2241"/>
      <c r="D20" s="2241"/>
      <c r="E20" s="2241"/>
      <c r="F20" s="2241"/>
      <c r="G20" s="2241"/>
      <c r="H20" s="2241"/>
      <c r="I20" s="2241"/>
      <c r="J20" s="2241"/>
      <c r="K20" s="2241"/>
      <c r="L20" s="2241"/>
      <c r="M20" s="2241"/>
      <c r="N20" s="2241"/>
      <c r="O20" s="2241"/>
      <c r="P20" s="2241"/>
      <c r="Q20" s="2241"/>
      <c r="R20" s="2241"/>
      <c r="S20" s="2242"/>
      <c r="T20" s="2253">
        <f>SUM(T13:X19)</f>
        <v>0</v>
      </c>
      <c r="U20" s="2234"/>
      <c r="V20" s="2234"/>
      <c r="W20" s="2234"/>
      <c r="X20" s="2234"/>
      <c r="Y20" s="2253">
        <f>SUM(Y13:AC19)</f>
        <v>0</v>
      </c>
      <c r="Z20" s="2234"/>
      <c r="AA20" s="2234"/>
      <c r="AB20" s="2234"/>
      <c r="AC20" s="2234"/>
      <c r="AD20" s="2244">
        <f>SUM(AD13:AH19)</f>
        <v>0</v>
      </c>
      <c r="AE20" s="2252"/>
      <c r="AF20" s="2252"/>
      <c r="AG20" s="2252"/>
      <c r="AH20" s="2253"/>
      <c r="AI20" s="2244">
        <f>SUM(AI13:AM19)</f>
        <v>0</v>
      </c>
      <c r="AJ20" s="2252"/>
      <c r="AK20" s="2252"/>
      <c r="AL20" s="2252"/>
      <c r="AM20" s="2253"/>
    </row>
    <row r="21" spans="1:40" ht="12.95" customHeight="1">
      <c r="B21" s="2240" t="s">
        <v>2080</v>
      </c>
      <c r="C21" s="2241"/>
      <c r="D21" s="2241"/>
      <c r="E21" s="2241"/>
      <c r="F21" s="2241"/>
      <c r="G21" s="2241"/>
      <c r="H21" s="2241"/>
      <c r="I21" s="2241"/>
      <c r="J21" s="2241"/>
      <c r="K21" s="2241"/>
      <c r="L21" s="2241"/>
      <c r="M21" s="2241"/>
      <c r="N21" s="2241"/>
      <c r="O21" s="2241"/>
      <c r="P21" s="2241"/>
      <c r="Q21" s="2241"/>
      <c r="R21" s="2241"/>
      <c r="S21" s="2242"/>
      <c r="T21" s="2262"/>
      <c r="U21" s="2263"/>
      <c r="V21" s="2263"/>
      <c r="W21" s="2263"/>
      <c r="X21" s="2263"/>
      <c r="Y21" s="2262"/>
      <c r="Z21" s="2263"/>
      <c r="AA21" s="2263"/>
      <c r="AB21" s="2263"/>
      <c r="AC21" s="2263"/>
      <c r="AD21" s="2269"/>
      <c r="AE21" s="2270"/>
      <c r="AF21" s="2270"/>
      <c r="AG21" s="2270"/>
      <c r="AH21" s="2271"/>
      <c r="AI21" s="2269"/>
      <c r="AJ21" s="2270"/>
      <c r="AK21" s="2270"/>
      <c r="AL21" s="2270"/>
      <c r="AM21" s="2271"/>
    </row>
    <row r="22" spans="1:40" ht="12.95" customHeight="1">
      <c r="B22" s="2240" t="s">
        <v>2081</v>
      </c>
      <c r="C22" s="2241"/>
      <c r="D22" s="2241"/>
      <c r="E22" s="2241"/>
      <c r="F22" s="2241"/>
      <c r="G22" s="2241"/>
      <c r="H22" s="2241"/>
      <c r="I22" s="2241"/>
      <c r="J22" s="2241"/>
      <c r="K22" s="2241"/>
      <c r="L22" s="2241"/>
      <c r="M22" s="2241"/>
      <c r="N22" s="2241"/>
      <c r="O22" s="2241"/>
      <c r="P22" s="2241"/>
      <c r="Q22" s="2241"/>
      <c r="R22" s="2241"/>
      <c r="S22" s="2242"/>
      <c r="T22" s="2258">
        <f>(ABS(T20)+ABS(T21))*-1</f>
        <v>0</v>
      </c>
      <c r="U22" s="2259"/>
      <c r="V22" s="2259"/>
      <c r="W22" s="2259"/>
      <c r="X22" s="2259"/>
      <c r="Y22" s="2258">
        <f>(Y20+Y21)*-1</f>
        <v>0</v>
      </c>
      <c r="Z22" s="2259"/>
      <c r="AA22" s="2259"/>
      <c r="AB22" s="2259"/>
      <c r="AC22" s="2259"/>
      <c r="AD22" s="2260">
        <f>(AD20)*-1</f>
        <v>0</v>
      </c>
      <c r="AE22" s="2261"/>
      <c r="AF22" s="2261"/>
      <c r="AG22" s="2261"/>
      <c r="AH22" s="2258"/>
      <c r="AI22" s="2260">
        <f>(AI20)*-1</f>
        <v>0</v>
      </c>
      <c r="AJ22" s="2261"/>
      <c r="AK22" s="2261"/>
      <c r="AL22" s="2261"/>
      <c r="AM22" s="2258"/>
    </row>
    <row r="23" spans="1:40" ht="12.95" customHeight="1">
      <c r="B23" s="2240" t="s">
        <v>2082</v>
      </c>
      <c r="C23" s="2241"/>
      <c r="D23" s="2241"/>
      <c r="E23" s="2241"/>
      <c r="F23" s="2241"/>
      <c r="G23" s="2241"/>
      <c r="H23" s="2241"/>
      <c r="I23" s="2241"/>
      <c r="J23" s="2241"/>
      <c r="K23" s="2241"/>
      <c r="L23" s="2241"/>
      <c r="M23" s="2241"/>
      <c r="N23" s="2241"/>
      <c r="O23" s="2241"/>
      <c r="P23" s="2241"/>
      <c r="Q23" s="2241"/>
      <c r="R23" s="2241"/>
      <c r="S23" s="2242"/>
      <c r="T23" s="2253">
        <f>T11+T22</f>
        <v>60586811</v>
      </c>
      <c r="U23" s="2234"/>
      <c r="V23" s="2234"/>
      <c r="W23" s="2234"/>
      <c r="X23" s="2234"/>
      <c r="Y23" s="2253">
        <f>Y11+Y22</f>
        <v>0</v>
      </c>
      <c r="Z23" s="2234"/>
      <c r="AA23" s="2234"/>
      <c r="AB23" s="2234"/>
      <c r="AC23" s="2234"/>
      <c r="AD23" s="2253">
        <f>AD11+AD22</f>
        <v>0</v>
      </c>
      <c r="AE23" s="2234"/>
      <c r="AF23" s="2234"/>
      <c r="AG23" s="2234"/>
      <c r="AH23" s="2234"/>
      <c r="AI23" s="2253">
        <f>AI11+AI22</f>
        <v>0</v>
      </c>
      <c r="AJ23" s="2234"/>
      <c r="AK23" s="2234"/>
      <c r="AL23" s="2234"/>
      <c r="AM23" s="2234"/>
    </row>
    <row r="24" spans="1:40" ht="12.95" customHeight="1">
      <c r="B24" s="2240" t="s">
        <v>2083</v>
      </c>
      <c r="C24" s="2241"/>
      <c r="D24" s="2241"/>
      <c r="E24" s="2241"/>
      <c r="F24" s="2241"/>
      <c r="G24" s="2241"/>
      <c r="H24" s="2241"/>
      <c r="I24" s="2241"/>
      <c r="J24" s="2241"/>
      <c r="K24" s="2241"/>
      <c r="L24" s="2241"/>
      <c r="M24" s="2241"/>
      <c r="N24" s="2241"/>
      <c r="O24" s="2241"/>
      <c r="P24" s="2241"/>
      <c r="Q24" s="2241"/>
      <c r="R24" s="2241"/>
      <c r="S24" s="2242"/>
      <c r="T24" s="2244">
        <f>Application!AJ1062</f>
        <v>87295716.200000003</v>
      </c>
      <c r="U24" s="2252"/>
      <c r="V24" s="2252"/>
      <c r="W24" s="2252"/>
      <c r="X24" s="2252"/>
      <c r="Y24" s="2252"/>
      <c r="Z24" s="2252"/>
      <c r="AA24" s="2252"/>
      <c r="AB24" s="2252"/>
      <c r="AC24" s="2252"/>
      <c r="AD24" s="2252"/>
      <c r="AE24" s="2252"/>
      <c r="AF24" s="2252"/>
      <c r="AG24" s="2252"/>
      <c r="AH24" s="2252"/>
      <c r="AI24" s="2252"/>
      <c r="AJ24" s="2252"/>
      <c r="AK24" s="2252"/>
      <c r="AL24" s="2252"/>
      <c r="AM24" s="2253"/>
    </row>
    <row r="25" spans="1:40" ht="12.95" customHeight="1">
      <c r="B25" s="2284" t="s">
        <v>2084</v>
      </c>
      <c r="C25" s="2285"/>
      <c r="D25" s="2285"/>
      <c r="E25" s="2285"/>
      <c r="F25" s="2285"/>
      <c r="G25" s="2285"/>
      <c r="H25" s="2285"/>
      <c r="I25" s="2285"/>
      <c r="J25" s="2285"/>
      <c r="K25" s="2285"/>
      <c r="L25" s="2285"/>
      <c r="M25" s="2285"/>
      <c r="N25" s="2285"/>
      <c r="O25" s="2285"/>
      <c r="P25" s="2285"/>
      <c r="Q25" s="2285"/>
      <c r="R25" s="2285"/>
      <c r="S25" s="2286"/>
      <c r="T25" s="2266">
        <f>IF(OR(Application!T196="yes",Application!T195="yes"),1.3,1)</f>
        <v>1.3</v>
      </c>
      <c r="U25" s="2267"/>
      <c r="V25" s="2267"/>
      <c r="W25" s="2267"/>
      <c r="X25" s="2267"/>
      <c r="Y25" s="2266">
        <v>1</v>
      </c>
      <c r="Z25" s="2267"/>
      <c r="AA25" s="2267"/>
      <c r="AB25" s="2267"/>
      <c r="AC25" s="2267"/>
      <c r="AD25" s="2266">
        <v>1</v>
      </c>
      <c r="AE25" s="2267"/>
      <c r="AF25" s="2267"/>
      <c r="AG25" s="2267"/>
      <c r="AH25" s="2268"/>
      <c r="AI25" s="2266">
        <v>1</v>
      </c>
      <c r="AJ25" s="2267"/>
      <c r="AK25" s="2267"/>
      <c r="AL25" s="2267"/>
      <c r="AM25" s="2268"/>
    </row>
    <row r="26" spans="1:40" ht="12.95" customHeight="1">
      <c r="B26" s="2240" t="s">
        <v>2085</v>
      </c>
      <c r="C26" s="2241"/>
      <c r="D26" s="2241"/>
      <c r="E26" s="2241"/>
      <c r="F26" s="2241"/>
      <c r="G26" s="2241"/>
      <c r="H26" s="2241"/>
      <c r="I26" s="2241"/>
      <c r="J26" s="2241"/>
      <c r="K26" s="2241"/>
      <c r="L26" s="2241"/>
      <c r="M26" s="2241"/>
      <c r="N26" s="2241"/>
      <c r="O26" s="2241"/>
      <c r="P26" s="2241"/>
      <c r="Q26" s="2241"/>
      <c r="R26" s="2241"/>
      <c r="S26" s="2242"/>
      <c r="T26" s="2253">
        <f>T23*T25</f>
        <v>78762854.299999997</v>
      </c>
      <c r="U26" s="2234"/>
      <c r="V26" s="2234"/>
      <c r="W26" s="2234"/>
      <c r="X26" s="2234"/>
      <c r="Y26" s="2253">
        <f>Y23*Y25</f>
        <v>0</v>
      </c>
      <c r="Z26" s="2234"/>
      <c r="AA26" s="2234"/>
      <c r="AB26" s="2234"/>
      <c r="AC26" s="2234"/>
      <c r="AD26" s="2253">
        <f>AD23*AD25</f>
        <v>0</v>
      </c>
      <c r="AE26" s="2234"/>
      <c r="AF26" s="2234"/>
      <c r="AG26" s="2234"/>
      <c r="AH26" s="2234"/>
      <c r="AI26" s="2253">
        <f>AI23*AI25</f>
        <v>0</v>
      </c>
      <c r="AJ26" s="2234"/>
      <c r="AK26" s="2234"/>
      <c r="AL26" s="2234"/>
      <c r="AM26" s="2234"/>
    </row>
    <row r="27" spans="1:40" ht="12.95" customHeight="1">
      <c r="A27" s="313"/>
      <c r="B27" s="2287" t="s">
        <v>2086</v>
      </c>
      <c r="C27" s="2288"/>
      <c r="D27" s="2288"/>
      <c r="E27" s="2288"/>
      <c r="F27" s="2288"/>
      <c r="G27" s="2288"/>
      <c r="H27" s="2288"/>
      <c r="I27" s="2288"/>
      <c r="J27" s="2288"/>
      <c r="K27" s="2288"/>
      <c r="L27" s="2288"/>
      <c r="M27" s="2288"/>
      <c r="N27" s="2288"/>
      <c r="O27" s="2288"/>
      <c r="P27" s="2288"/>
      <c r="Q27" s="2288"/>
      <c r="R27" s="2288"/>
      <c r="S27" s="2289"/>
      <c r="T27" s="2264">
        <f>Application!$AG$454</f>
        <v>1</v>
      </c>
      <c r="U27" s="2265"/>
      <c r="V27" s="2265"/>
      <c r="W27" s="2265"/>
      <c r="X27" s="2265"/>
      <c r="Y27" s="2264">
        <f>Application!$AG$454</f>
        <v>1</v>
      </c>
      <c r="Z27" s="2265"/>
      <c r="AA27" s="2265"/>
      <c r="AB27" s="2265"/>
      <c r="AC27" s="2265"/>
      <c r="AD27" s="2264">
        <f>Application!$AG$454</f>
        <v>1</v>
      </c>
      <c r="AE27" s="2265"/>
      <c r="AF27" s="2265"/>
      <c r="AG27" s="2265"/>
      <c r="AH27" s="2265"/>
      <c r="AI27" s="2264">
        <f>Application!$AG$454</f>
        <v>1</v>
      </c>
      <c r="AJ27" s="2265"/>
      <c r="AK27" s="2265"/>
      <c r="AL27" s="2265"/>
      <c r="AM27" s="2265"/>
    </row>
    <row r="28" spans="1:40" ht="12.95" customHeight="1">
      <c r="A28" s="307"/>
      <c r="B28" s="2240" t="s">
        <v>2087</v>
      </c>
      <c r="C28" s="2241"/>
      <c r="D28" s="2241"/>
      <c r="E28" s="2241"/>
      <c r="F28" s="2241"/>
      <c r="G28" s="2241"/>
      <c r="H28" s="2241"/>
      <c r="I28" s="2241"/>
      <c r="J28" s="2241"/>
      <c r="K28" s="2241"/>
      <c r="L28" s="2241"/>
      <c r="M28" s="2241"/>
      <c r="N28" s="2241"/>
      <c r="O28" s="2241"/>
      <c r="P28" s="2241"/>
      <c r="Q28" s="2241"/>
      <c r="R28" s="2241"/>
      <c r="S28" s="2242"/>
      <c r="T28" s="2253">
        <f>IF(ISERROR((T26*T27)),0,(T26*T27))</f>
        <v>78762854.299999997</v>
      </c>
      <c r="U28" s="2234"/>
      <c r="V28" s="2234"/>
      <c r="W28" s="2234"/>
      <c r="X28" s="2234"/>
      <c r="Y28" s="2253">
        <f>IF(ISERROR((Y26*Y27)),0,(Y26*Y27))</f>
        <v>0</v>
      </c>
      <c r="Z28" s="2234"/>
      <c r="AA28" s="2234"/>
      <c r="AB28" s="2234"/>
      <c r="AC28" s="2234"/>
      <c r="AD28" s="2253">
        <f>IF(ISERROR((AD26*AD27)),0,(AD26*AD27))</f>
        <v>0</v>
      </c>
      <c r="AE28" s="2234"/>
      <c r="AF28" s="2234"/>
      <c r="AG28" s="2234"/>
      <c r="AH28" s="2234"/>
      <c r="AI28" s="2253">
        <f>IF(ISERROR((AI26*AI27)),0,(AI26*AI27))</f>
        <v>0</v>
      </c>
      <c r="AJ28" s="2234"/>
      <c r="AK28" s="2234"/>
      <c r="AL28" s="2234"/>
      <c r="AM28" s="2234"/>
    </row>
    <row r="29" spans="1:40" ht="12.95" customHeight="1">
      <c r="B29" s="2240" t="s">
        <v>2088</v>
      </c>
      <c r="C29" s="2241"/>
      <c r="D29" s="2241"/>
      <c r="E29" s="2241"/>
      <c r="F29" s="2241"/>
      <c r="G29" s="2241"/>
      <c r="H29" s="2241"/>
      <c r="I29" s="2241"/>
      <c r="J29" s="2241"/>
      <c r="K29" s="2241"/>
      <c r="L29" s="2241"/>
      <c r="M29" s="2241"/>
      <c r="N29" s="2241"/>
      <c r="O29" s="2241"/>
      <c r="P29" s="2241"/>
      <c r="Q29" s="2241"/>
      <c r="R29" s="2241"/>
      <c r="S29" s="2242"/>
      <c r="T29" s="2244">
        <f>T28+Y28+AD28+AI28</f>
        <v>78762854.299999997</v>
      </c>
      <c r="U29" s="2252"/>
      <c r="V29" s="2252"/>
      <c r="W29" s="2252"/>
      <c r="X29" s="2252"/>
      <c r="Y29" s="2252"/>
      <c r="Z29" s="2252"/>
      <c r="AA29" s="2252"/>
      <c r="AB29" s="2252"/>
      <c r="AC29" s="2252"/>
      <c r="AD29" s="2252"/>
      <c r="AE29" s="2252"/>
      <c r="AF29" s="2252"/>
      <c r="AG29" s="2252"/>
      <c r="AH29" s="2252"/>
      <c r="AI29" s="2252"/>
      <c r="AJ29" s="2252"/>
      <c r="AK29" s="2252"/>
      <c r="AL29" s="2252"/>
      <c r="AM29" s="2253"/>
    </row>
    <row r="30" spans="1:40" ht="12.95" customHeight="1">
      <c r="B30" s="2257" t="s">
        <v>2089</v>
      </c>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row>
    <row r="31" spans="1:40" ht="12.95" customHeight="1">
      <c r="B31" s="2257" t="s">
        <v>2090</v>
      </c>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418"/>
    </row>
    <row r="32" spans="1:40" ht="12.95" customHeight="1">
      <c r="B32" s="337"/>
      <c r="C32" s="411" t="s">
        <v>2091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54" t="s">
        <v>2092</v>
      </c>
      <c r="Z35" s="2254"/>
      <c r="AA35" s="2254"/>
      <c r="AB35" s="2254"/>
      <c r="AC35" s="2254"/>
      <c r="AD35" s="2255" t="s">
        <v>2093</v>
      </c>
      <c r="AE35" s="2255"/>
      <c r="AF35" s="2255"/>
      <c r="AG35" s="2255"/>
      <c r="AH35" s="2255"/>
    </row>
    <row r="36" spans="1:76" ht="12.95" customHeight="1">
      <c r="B36" s="310"/>
      <c r="X36" s="315"/>
      <c r="Y36" s="2254"/>
      <c r="Z36" s="2254"/>
      <c r="AA36" s="2254"/>
      <c r="AB36" s="2254"/>
      <c r="AC36" s="2254"/>
      <c r="AD36" s="2255"/>
      <c r="AE36" s="2255"/>
      <c r="AF36" s="2255"/>
      <c r="AG36" s="2255"/>
      <c r="AH36" s="225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54"/>
      <c r="Z37" s="2254"/>
      <c r="AA37" s="2254"/>
      <c r="AB37" s="2254"/>
      <c r="AC37" s="2254"/>
      <c r="AD37" s="2255"/>
      <c r="AE37" s="2255"/>
      <c r="AF37" s="2255"/>
      <c r="AG37" s="2255"/>
      <c r="AH37" s="2255"/>
    </row>
    <row r="38" spans="1:76" ht="12.95" customHeight="1">
      <c r="A38" s="307"/>
      <c r="B38" s="2240" t="s">
        <v>2087</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4">
        <f>IF(T24&gt;=(T23+Y23+AD23+AI23),T28+Y28,0)</f>
        <v>78762854.299999997</v>
      </c>
      <c r="Z38" s="2234"/>
      <c r="AA38" s="2234"/>
      <c r="AB38" s="2234"/>
      <c r="AC38" s="2234"/>
      <c r="AD38" s="2234">
        <f>IF(T24&gt;=(T23+Y23+AD23+AI23),AD28+AI28,0)</f>
        <v>0</v>
      </c>
      <c r="AE38" s="2234"/>
      <c r="AF38" s="2234"/>
      <c r="AG38" s="2234"/>
      <c r="AH38" s="2234"/>
    </row>
    <row r="39" spans="1:76" ht="12.95" customHeight="1">
      <c r="B39" s="2240" t="s">
        <v>2094</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256">
        <v>0.04</v>
      </c>
      <c r="Z39" s="2256"/>
      <c r="AA39" s="2256"/>
      <c r="AB39" s="2256"/>
      <c r="AC39" s="2256"/>
      <c r="AD39" s="2256">
        <v>0.04</v>
      </c>
      <c r="AE39" s="2256"/>
      <c r="AF39" s="2256"/>
      <c r="AG39" s="2256"/>
      <c r="AH39" s="2256"/>
    </row>
    <row r="40" spans="1:76" ht="12.95" customHeight="1">
      <c r="A40" s="307"/>
      <c r="B40" s="2240" t="s">
        <v>2095</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4">
        <f>ROUND(Y38*Y39,0)</f>
        <v>3150514</v>
      </c>
      <c r="Z40" s="2234"/>
      <c r="AA40" s="2234"/>
      <c r="AB40" s="2234"/>
      <c r="AC40" s="2234"/>
      <c r="AD40" s="2253">
        <f>ROUND(AD38*AD39,0)</f>
        <v>0</v>
      </c>
      <c r="AE40" s="2234"/>
      <c r="AF40" s="2234"/>
      <c r="AG40" s="2234"/>
      <c r="AH40" s="2234"/>
    </row>
    <row r="41" spans="1:76" ht="12.95" customHeight="1">
      <c r="B41" s="2240" t="s">
        <v>2096</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44">
        <f>Y40+AD40</f>
        <v>3150514</v>
      </c>
      <c r="Z41" s="2252"/>
      <c r="AA41" s="2252"/>
      <c r="AB41" s="2252"/>
      <c r="AC41" s="2252"/>
      <c r="AD41" s="2252"/>
      <c r="AE41" s="2252"/>
      <c r="AF41" s="2252"/>
      <c r="AG41" s="2252"/>
      <c r="AH41" s="2253"/>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51" t="s">
        <v>2097</v>
      </c>
      <c r="B44" s="2251"/>
      <c r="C44" s="2251"/>
      <c r="D44" s="2251"/>
      <c r="E44" s="2251"/>
      <c r="F44" s="2251"/>
      <c r="G44" s="2251"/>
      <c r="H44" s="2251"/>
      <c r="I44" s="2251"/>
      <c r="J44" s="2251"/>
      <c r="K44" s="2251"/>
      <c r="L44" s="2251"/>
      <c r="M44" s="2251"/>
      <c r="N44" s="2251"/>
      <c r="O44" s="2251"/>
      <c r="P44" s="2251"/>
      <c r="Q44" s="2251"/>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1"/>
      <c r="AP44" s="2251"/>
      <c r="AQ44" s="2251"/>
      <c r="AR44" s="2251"/>
      <c r="AS44" s="2251"/>
      <c r="AT44" s="2251"/>
      <c r="AU44" s="2251"/>
      <c r="AV44" s="2251"/>
      <c r="AW44" s="2251"/>
      <c r="AX44" s="2251"/>
      <c r="AY44" s="2251"/>
      <c r="AZ44" s="2251"/>
      <c r="BA44" s="2251"/>
      <c r="BB44" s="2251"/>
      <c r="BC44" s="2251"/>
      <c r="BD44" s="2251"/>
      <c r="BE44" s="2251"/>
      <c r="BF44" s="2251"/>
      <c r="BG44" s="2251"/>
      <c r="BH44" s="2251"/>
      <c r="BI44" s="2251"/>
      <c r="BJ44" s="2251"/>
      <c r="BK44" s="2251"/>
      <c r="BL44" s="2251"/>
      <c r="BM44" s="2251"/>
      <c r="BN44" s="2251"/>
      <c r="BO44" s="2251"/>
      <c r="BP44" s="2251"/>
      <c r="BQ44" s="2251"/>
      <c r="BR44" s="2251"/>
      <c r="BS44" s="2251"/>
      <c r="BT44" s="2251"/>
      <c r="BU44" s="2251"/>
      <c r="BV44" s="2251"/>
      <c r="BW44" s="2251"/>
      <c r="BX44" s="2251"/>
    </row>
    <row r="45" spans="1:76" s="136" customFormat="1" ht="12.95" customHeight="1" thickTop="1"/>
    <row r="46" spans="1:76" ht="12.95" customHeight="1">
      <c r="A46" s="307" t="s">
        <v>1000</v>
      </c>
      <c r="C46" s="307" t="s">
        <v>282</v>
      </c>
    </row>
    <row r="47" spans="1:76" ht="12.95" customHeight="1">
      <c r="D47" s="307" t="s">
        <v>683</v>
      </c>
      <c r="AB47" s="2248">
        <f>'Sources and Uses Budget'!B105-MAX(IF('Sources and Uses Budget'!B15="",0,'Sources and Uses Budget'!B15),IF(Application!AG403="",0,Application!AG403))</f>
        <v>66736372</v>
      </c>
      <c r="AC47" s="2249"/>
      <c r="AD47" s="2249"/>
      <c r="AE47" s="2249"/>
      <c r="AF47" s="2250"/>
    </row>
    <row r="48" spans="1:76" ht="12.95" customHeight="1">
      <c r="D48" s="307" t="s">
        <v>175</v>
      </c>
      <c r="AB48" s="2248">
        <f>Application!AO647-MAX(IF('Sources and Uses Budget'!B15="",0,'Sources and Uses Budget'!B15),IF(Application!AG403="",0,Application!AG403))</f>
        <v>32535528</v>
      </c>
      <c r="AC48" s="2249"/>
      <c r="AD48" s="2249"/>
      <c r="AE48" s="2249"/>
      <c r="AF48" s="2250"/>
    </row>
    <row r="49" spans="1:76" ht="12.95" customHeight="1">
      <c r="D49" s="307" t="s">
        <v>2098</v>
      </c>
      <c r="AB49" s="2248">
        <f>AB47-AB48</f>
        <v>34200844</v>
      </c>
      <c r="AC49" s="2249"/>
      <c r="AD49" s="2249"/>
      <c r="AE49" s="2249"/>
      <c r="AF49" s="2250"/>
    </row>
    <row r="50" spans="1:76" ht="12.95" customHeight="1">
      <c r="D50" s="307" t="s">
        <v>2099</v>
      </c>
      <c r="AA50" s="318"/>
      <c r="AB50" s="2236">
        <f ca="1">(AB49-AB79)/(Y41*10)</f>
        <v>0.93084437142637688</v>
      </c>
      <c r="AC50" s="2237"/>
      <c r="AD50" s="2237"/>
      <c r="AE50" s="2237"/>
      <c r="AF50" s="2238"/>
    </row>
    <row r="51" spans="1:76" s="320" customFormat="1" ht="12.95" customHeight="1">
      <c r="A51" s="305"/>
      <c r="B51" s="305"/>
      <c r="C51" s="305"/>
      <c r="D51" s="305"/>
      <c r="E51" s="2247" t="s">
        <v>2100</v>
      </c>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2101</v>
      </c>
      <c r="AB54" s="2248">
        <f ca="1">ROUND(IF(ISERROR((AB49/AB50)),0,(AB49/AB50)),0)</f>
        <v>36741742</v>
      </c>
      <c r="AC54" s="2249"/>
      <c r="AD54" s="2249"/>
      <c r="AE54" s="2249"/>
      <c r="AF54" s="2250"/>
    </row>
    <row r="55" spans="1:76" ht="12.95" customHeight="1">
      <c r="D55" s="307" t="s">
        <v>2102</v>
      </c>
      <c r="AB55" s="2248">
        <f ca="1">(AB54/10)</f>
        <v>3674174.2</v>
      </c>
      <c r="AC55" s="2249"/>
      <c r="AD55" s="2249"/>
      <c r="AE55" s="2249"/>
      <c r="AF55" s="2250"/>
    </row>
    <row r="56" spans="1:76" ht="12.95" customHeight="1">
      <c r="D56" s="307" t="s">
        <v>2103</v>
      </c>
      <c r="AB56" s="2248">
        <f ca="1">ROUND((IF((Y41&lt;AB55),Y41,AB55)),0)</f>
        <v>3150514</v>
      </c>
      <c r="AC56" s="2249"/>
      <c r="AD56" s="2249"/>
      <c r="AE56" s="2249"/>
      <c r="AF56" s="2250"/>
    </row>
    <row r="57" spans="1:76" ht="12.95" customHeight="1">
      <c r="D57" s="307" t="s">
        <v>2104</v>
      </c>
      <c r="AB57" s="2248">
        <f ca="1">ROUND((10*AB56*AB50),0)</f>
        <v>29326382</v>
      </c>
      <c r="AC57" s="2249"/>
      <c r="AD57" s="2249"/>
      <c r="AE57" s="2249"/>
      <c r="AF57" s="2250"/>
    </row>
    <row r="58" spans="1:76" ht="12.95" customHeight="1">
      <c r="D58" s="307"/>
      <c r="AB58" s="326"/>
      <c r="AC58" s="326"/>
      <c r="AD58" s="326"/>
      <c r="AE58" s="326"/>
      <c r="AF58" s="326"/>
    </row>
    <row r="59" spans="1:76" ht="12.95" customHeight="1">
      <c r="D59" s="307" t="s">
        <v>2105</v>
      </c>
      <c r="AB59" s="2232">
        <f ca="1">AB49-AB57</f>
        <v>4874462</v>
      </c>
      <c r="AC59" s="2232"/>
      <c r="AD59" s="2232"/>
      <c r="AE59" s="2232"/>
      <c r="AF59" s="2232"/>
    </row>
    <row r="60" spans="1:76" ht="12.95" customHeight="1">
      <c r="D60" s="307"/>
      <c r="AB60" s="326"/>
      <c r="AC60" s="326"/>
      <c r="AD60" s="326"/>
      <c r="AE60" s="326"/>
      <c r="AF60" s="326"/>
    </row>
    <row r="61" spans="1:76" s="136" customFormat="1" ht="12.95" customHeight="1" thickBot="1">
      <c r="A61" s="2251" t="str">
        <f>IF(Application!AP205="yes","Farmworker State Credit", "State Credit" )</f>
        <v>State Credit</v>
      </c>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c r="AO61" s="2251"/>
      <c r="AP61" s="2251"/>
      <c r="AQ61" s="2251"/>
      <c r="AR61" s="2251"/>
      <c r="AS61" s="2251"/>
      <c r="AT61" s="2251"/>
      <c r="AU61" s="2251"/>
      <c r="AV61" s="2251"/>
      <c r="AW61" s="2251"/>
      <c r="AX61" s="2251"/>
      <c r="AY61" s="2251"/>
      <c r="AZ61" s="2251"/>
      <c r="BA61" s="2251"/>
      <c r="BB61" s="2251"/>
      <c r="BC61" s="2251"/>
      <c r="BD61" s="2251"/>
      <c r="BE61" s="2251"/>
      <c r="BF61" s="2251"/>
      <c r="BG61" s="2251"/>
      <c r="BH61" s="2251"/>
      <c r="BI61" s="2251"/>
      <c r="BJ61" s="2251"/>
      <c r="BK61" s="2251"/>
      <c r="BL61" s="2251"/>
      <c r="BM61" s="2251"/>
      <c r="BN61" s="2251"/>
      <c r="BO61" s="2251"/>
      <c r="BP61" s="2251"/>
      <c r="BQ61" s="2251"/>
      <c r="BR61" s="2251"/>
      <c r="BS61" s="2251"/>
      <c r="BT61" s="2251"/>
      <c r="BU61" s="2251"/>
      <c r="BV61" s="2251"/>
      <c r="BW61" s="2251"/>
      <c r="BX61" s="2251"/>
    </row>
    <row r="62" spans="1:76" s="136" customFormat="1" ht="12.95" customHeight="1" thickTop="1"/>
    <row r="63" spans="1:76" ht="12.95" customHeight="1">
      <c r="A63" s="307" t="s">
        <v>1018</v>
      </c>
      <c r="C63" s="137" t="s">
        <v>2106</v>
      </c>
      <c r="Y63" s="2243" t="s">
        <v>2107</v>
      </c>
      <c r="Z63" s="2243"/>
      <c r="AA63" s="2243"/>
      <c r="AB63" s="2243"/>
      <c r="AC63" s="2243"/>
      <c r="AD63" s="2243" t="s">
        <v>2093</v>
      </c>
      <c r="AE63" s="2243"/>
      <c r="AF63" s="2243"/>
      <c r="AG63" s="2243"/>
      <c r="AH63" s="2243"/>
    </row>
    <row r="64" spans="1:76" ht="12.95" customHeight="1">
      <c r="C64" s="307"/>
      <c r="D64" s="280" t="s">
        <v>2108</v>
      </c>
      <c r="E64" s="323"/>
      <c r="F64" s="323"/>
      <c r="G64" s="323"/>
      <c r="H64" s="323"/>
      <c r="I64" s="323"/>
      <c r="J64" s="323"/>
      <c r="K64" s="323"/>
      <c r="L64" s="323"/>
      <c r="M64" s="323"/>
      <c r="N64" s="323"/>
      <c r="O64" s="323"/>
      <c r="P64" s="323"/>
      <c r="Q64" s="323"/>
      <c r="R64" s="323"/>
      <c r="S64" s="323"/>
      <c r="T64" s="323"/>
      <c r="U64" s="323"/>
      <c r="V64" s="323"/>
      <c r="W64" s="323"/>
      <c r="X64" s="323"/>
      <c r="Y64" s="2244">
        <f>IF(Application!$Z$205="(select)",0,((T23*T27)+Y28))</f>
        <v>60586811</v>
      </c>
      <c r="Z64" s="2245"/>
      <c r="AA64" s="2245"/>
      <c r="AB64" s="2245"/>
      <c r="AC64" s="2246"/>
      <c r="AD64" s="2244">
        <f>IF(AND(OR(Application!D211="At-Risk",Application!D211="At-Risk and Special Needs"),Application!M367="yes"),AD28+AI28,0)</f>
        <v>0</v>
      </c>
      <c r="AE64" s="2245"/>
      <c r="AF64" s="2245"/>
      <c r="AG64" s="2245"/>
      <c r="AH64" s="2246"/>
    </row>
    <row r="65" spans="1:37" ht="12.95" customHeight="1">
      <c r="C65" s="307"/>
      <c r="E65" s="904" t="s">
        <v>2109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2111</v>
      </c>
      <c r="E67" s="324"/>
      <c r="F67" s="324"/>
      <c r="G67" s="324"/>
      <c r="H67" s="324"/>
      <c r="I67" s="324"/>
      <c r="J67" s="324"/>
      <c r="K67" s="324"/>
      <c r="L67" s="324"/>
      <c r="M67" s="324"/>
      <c r="N67" s="324"/>
      <c r="O67" s="324"/>
      <c r="P67" s="324"/>
      <c r="Q67" s="324"/>
      <c r="R67" s="324"/>
      <c r="S67" s="324"/>
      <c r="T67" s="324"/>
      <c r="U67" s="324"/>
      <c r="V67" s="324"/>
      <c r="W67" s="324"/>
      <c r="X67" s="324"/>
      <c r="Y67" s="2233">
        <f>IF(OR(Application!Z205="State Farmworker Credit",Application!Z205="$500M (Farmworker Housing)"),0.75,IF(Application!Z205="15% set-aside",0.13,IF(Application!Z205="15% set-aside with qualifying low value rehab",0.95,IF(Application!Z205="$500M",0.3,0))))</f>
        <v>0.3</v>
      </c>
      <c r="Z67" s="2233"/>
      <c r="AA67" s="2233"/>
      <c r="AB67" s="2233"/>
      <c r="AC67" s="2233"/>
      <c r="AD67" s="2233">
        <f>IF(Application!Z205="15% set-aside with qualifying low value rehab", 0.95,IF(OR(Application!D211="At-Risk",'Points System'!B26="Yes"),0.13,0))</f>
        <v>0</v>
      </c>
      <c r="AE67" s="2233"/>
      <c r="AF67" s="2233"/>
      <c r="AG67" s="2233"/>
      <c r="AH67" s="2233"/>
    </row>
    <row r="68" spans="1:37" ht="12.95" customHeight="1">
      <c r="C68" s="307"/>
      <c r="D68" s="137" t="s">
        <v>2112</v>
      </c>
      <c r="Y68" s="2234">
        <f>IF(AND(T25=1.3,OR(Y67=0.13,Y67=0.95),NOT(Application!T212&gt;=50%)),0,ROUND(Y64*Y67,0))</f>
        <v>18176043</v>
      </c>
      <c r="Z68" s="2235"/>
      <c r="AA68" s="2235"/>
      <c r="AB68" s="2235"/>
      <c r="AC68" s="2235"/>
      <c r="AD68" s="2234">
        <f>IF(AND(T25=1.3,AD67&gt;0,NOT(Application!T212&gt;=50%)),0,ROUND(AD64*AD67,0))</f>
        <v>0</v>
      </c>
      <c r="AE68" s="2235"/>
      <c r="AF68" s="2235"/>
      <c r="AG68" s="2235"/>
      <c r="AH68" s="2235"/>
      <c r="AK68" s="1081"/>
    </row>
    <row r="69" spans="1:37" ht="12.95" customHeight="1">
      <c r="C69" s="307"/>
      <c r="D69" s="137" t="s">
        <v>2113</v>
      </c>
      <c r="Y69" s="2234">
        <f>IF(OR(Application!Z205="State Farmworker Credit",Application!Z205="$500M (Farmworker Housing)"),Y68+AD68,MIN(Y68+AD68,200000*(Application!G761+Application!O785)))</f>
        <v>16800000</v>
      </c>
      <c r="Z69" s="2234"/>
      <c r="AA69" s="2234"/>
      <c r="AB69" s="2234"/>
      <c r="AC69" s="2234"/>
      <c r="AD69" s="2234"/>
      <c r="AE69" s="2234"/>
      <c r="AF69" s="2234"/>
      <c r="AG69" s="2234"/>
      <c r="AH69" s="2234"/>
    </row>
    <row r="70" spans="1:37" ht="12.95" customHeight="1">
      <c r="C70" s="307"/>
      <c r="E70" s="307"/>
      <c r="AB70" s="325"/>
      <c r="AC70" s="325"/>
      <c r="AD70" s="325"/>
      <c r="AE70" s="325"/>
      <c r="AF70" s="325"/>
    </row>
    <row r="71" spans="1:37" ht="12.95" customHeight="1">
      <c r="A71" s="307" t="s">
        <v>1030</v>
      </c>
      <c r="C71" s="137" t="s">
        <v>288</v>
      </c>
    </row>
    <row r="72" spans="1:37" ht="12.95" customHeight="1">
      <c r="A72" s="307"/>
      <c r="C72" s="307"/>
      <c r="D72" s="137" t="s">
        <v>737</v>
      </c>
      <c r="AB72" s="2236">
        <v>0.92</v>
      </c>
      <c r="AC72" s="2237"/>
      <c r="AD72" s="2237"/>
      <c r="AE72" s="2237"/>
      <c r="AF72" s="2238"/>
    </row>
    <row r="73" spans="1:37" ht="12.95" customHeight="1">
      <c r="A73" s="307"/>
      <c r="C73" s="307"/>
      <c r="D73" s="307"/>
      <c r="E73" s="2239" t="s">
        <v>2114</v>
      </c>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2239"/>
      <c r="AB73" s="341"/>
      <c r="AC73" s="341"/>
    </row>
    <row r="74" spans="1:37" ht="12.95" customHeight="1">
      <c r="A74" s="307"/>
      <c r="C74" s="307"/>
      <c r="D74" s="307"/>
      <c r="E74" s="2239"/>
      <c r="F74" s="2239"/>
      <c r="G74" s="2239"/>
      <c r="H74" s="2239"/>
      <c r="I74" s="2239"/>
      <c r="J74" s="2239"/>
      <c r="K74" s="2239"/>
      <c r="L74" s="2239"/>
      <c r="M74" s="2239"/>
      <c r="N74" s="2239"/>
      <c r="O74" s="2239"/>
      <c r="P74" s="2239"/>
      <c r="Q74" s="2239"/>
      <c r="R74" s="2239"/>
      <c r="S74" s="2239"/>
      <c r="T74" s="2239"/>
      <c r="U74" s="2239"/>
      <c r="V74" s="2239"/>
      <c r="W74" s="2239"/>
      <c r="X74" s="2239"/>
      <c r="Y74" s="2239"/>
      <c r="Z74" s="2239"/>
      <c r="AA74" s="2239"/>
      <c r="AB74" s="341"/>
      <c r="AC74" s="341"/>
    </row>
    <row r="75" spans="1:37" ht="12.95" customHeight="1">
      <c r="A75" s="307"/>
      <c r="C75" s="307"/>
      <c r="D75" s="307"/>
      <c r="E75" s="2239"/>
      <c r="F75" s="2239"/>
      <c r="G75" s="2239"/>
      <c r="H75" s="2239"/>
      <c r="I75" s="2239"/>
      <c r="J75" s="2239"/>
      <c r="K75" s="2239"/>
      <c r="L75" s="2239"/>
      <c r="M75" s="2239"/>
      <c r="N75" s="2239"/>
      <c r="O75" s="2239"/>
      <c r="P75" s="2239"/>
      <c r="Q75" s="2239"/>
      <c r="R75" s="2239"/>
      <c r="S75" s="2239"/>
      <c r="T75" s="2239"/>
      <c r="U75" s="2239"/>
      <c r="V75" s="2239"/>
      <c r="W75" s="2239"/>
      <c r="X75" s="2239"/>
      <c r="Y75" s="2239"/>
      <c r="Z75" s="2239"/>
      <c r="AA75" s="2239"/>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2115</v>
      </c>
      <c r="AB77" s="2604">
        <f ca="1">ROUND(IF(ISERROR((AB59/AB72)),0,(AB59/AB72)),0)</f>
        <v>5298328</v>
      </c>
      <c r="AC77" s="2604"/>
      <c r="AD77" s="2604"/>
      <c r="AE77" s="2604"/>
      <c r="AF77" s="2604"/>
    </row>
    <row r="78" spans="1:37" ht="12.95" customHeight="1">
      <c r="C78" s="307"/>
      <c r="D78" s="137" t="s">
        <v>2116</v>
      </c>
      <c r="AB78" s="2605">
        <f ca="1">ROUNDUP(MIN(Y69,AB77),0)</f>
        <v>5298328</v>
      </c>
      <c r="AC78" s="2606"/>
      <c r="AD78" s="2606"/>
      <c r="AE78" s="2606"/>
      <c r="AF78" s="2607"/>
    </row>
    <row r="79" spans="1:37" ht="12.95" customHeight="1">
      <c r="C79" s="307"/>
      <c r="D79" s="137" t="s">
        <v>2117</v>
      </c>
      <c r="AB79" s="2231">
        <f ca="1">AB78*AB72</f>
        <v>4874461.76</v>
      </c>
      <c r="AC79" s="2231"/>
      <c r="AD79" s="2231"/>
      <c r="AE79" s="2231"/>
      <c r="AF79" s="2231"/>
    </row>
    <row r="80" spans="1:37" ht="12.95" customHeight="1">
      <c r="C80" s="307"/>
      <c r="D80" s="307"/>
      <c r="AB80" s="328"/>
      <c r="AC80" s="328"/>
      <c r="AD80" s="328"/>
      <c r="AE80" s="328"/>
      <c r="AF80" s="328"/>
    </row>
    <row r="81" spans="1:78" ht="12.95" customHeight="1">
      <c r="D81" s="307" t="s">
        <v>2105</v>
      </c>
      <c r="AB81" s="2232">
        <f ca="1">AB49-(AB57+AB79)</f>
        <v>0.24000000208616257</v>
      </c>
      <c r="AC81" s="2232"/>
      <c r="AD81" s="2232"/>
      <c r="AE81" s="2232"/>
      <c r="AF81" s="2232"/>
    </row>
    <row r="82" spans="1:78" ht="12.95" customHeight="1">
      <c r="F82" s="422"/>
      <c r="J82" s="422" t="str">
        <f ca="1">IF(AB81&gt;0,"FUNDING GAP MUST NOT EXCEED ZERO","")</f>
        <v>FUNDING GAP MUST NOT EXCEED ZERO</v>
      </c>
    </row>
    <row r="83" spans="1:78" ht="12.95" customHeight="1">
      <c r="D83" s="423"/>
    </row>
    <row r="84" spans="1:78" ht="12.95" customHeight="1" thickBot="1">
      <c r="A84" s="2251"/>
      <c r="B84" s="2251"/>
      <c r="C84" s="2251"/>
      <c r="D84" s="2251"/>
      <c r="E84" s="2251"/>
      <c r="F84" s="2251"/>
      <c r="G84" s="2251"/>
      <c r="H84" s="2251"/>
      <c r="I84" s="2251"/>
      <c r="J84" s="2251"/>
      <c r="K84" s="2251"/>
      <c r="L84" s="2251"/>
      <c r="M84" s="2251"/>
      <c r="N84" s="2251"/>
      <c r="O84" s="2251"/>
      <c r="P84" s="2251"/>
      <c r="Q84" s="2251"/>
      <c r="R84" s="2251"/>
      <c r="S84" s="2251"/>
      <c r="T84" s="2251"/>
      <c r="U84" s="2251"/>
      <c r="V84" s="2251"/>
      <c r="W84" s="2251"/>
      <c r="X84" s="2251"/>
      <c r="Y84" s="2251"/>
      <c r="Z84" s="2251"/>
      <c r="AA84" s="2251"/>
      <c r="AB84" s="2251"/>
      <c r="AC84" s="2251"/>
      <c r="AD84" s="2251"/>
      <c r="AE84" s="2251"/>
      <c r="AF84" s="2251"/>
      <c r="AG84" s="2251"/>
      <c r="AH84" s="2251"/>
      <c r="AI84" s="2251"/>
      <c r="AJ84" s="2251"/>
      <c r="AK84" s="2251"/>
      <c r="AL84" s="2251"/>
      <c r="AM84" s="2251"/>
      <c r="AN84" s="2251"/>
      <c r="AO84" s="2251"/>
      <c r="AP84" s="2251"/>
      <c r="AQ84" s="2251"/>
      <c r="AR84" s="2251"/>
      <c r="AS84" s="2251"/>
      <c r="AT84" s="2251"/>
      <c r="AU84" s="2251"/>
      <c r="AV84" s="2251"/>
      <c r="AW84" s="2251"/>
      <c r="AX84" s="2251"/>
      <c r="AY84" s="2251"/>
      <c r="AZ84" s="2251"/>
      <c r="BA84" s="2251"/>
      <c r="BB84" s="2251"/>
      <c r="BC84" s="2251"/>
      <c r="BD84" s="2251"/>
      <c r="BE84" s="2251"/>
      <c r="BF84" s="2251"/>
      <c r="BG84" s="2251"/>
      <c r="BH84" s="2251"/>
      <c r="BI84" s="2251"/>
      <c r="BJ84" s="2251"/>
      <c r="BK84" s="2251"/>
      <c r="BL84" s="2251"/>
      <c r="BM84" s="2251"/>
      <c r="BN84" s="2251"/>
      <c r="BO84" s="2251"/>
      <c r="BP84" s="2251"/>
      <c r="BQ84" s="2251"/>
      <c r="BR84" s="2251"/>
      <c r="BS84" s="2251"/>
      <c r="BT84" s="2251"/>
      <c r="BU84" s="2251"/>
      <c r="BV84" s="2251"/>
      <c r="BW84" s="2251"/>
      <c r="BX84" s="2251"/>
    </row>
    <row r="85" spans="1:78" ht="12.95" customHeight="1" thickTop="1"/>
    <row r="86" spans="1:78" ht="12.95" hidden="1" customHeight="1">
      <c r="A86" s="307"/>
      <c r="C86" s="137"/>
    </row>
    <row r="87" spans="1:78" ht="12.95" hidden="1" customHeight="1">
      <c r="D87" s="137"/>
      <c r="AB87" s="2283"/>
      <c r="AC87" s="2283"/>
      <c r="AD87" s="2283"/>
      <c r="AE87" s="2283"/>
      <c r="AF87" s="2283"/>
    </row>
    <row r="88" spans="1:78" ht="12.95" hidden="1" customHeight="1" thickBot="1">
      <c r="D88" s="137"/>
      <c r="AB88" s="2282"/>
      <c r="AC88" s="2282"/>
      <c r="AD88" s="2282"/>
      <c r="AE88" s="2282"/>
      <c r="AF88" s="228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2" zoomScaleNormal="100" workbookViewId="0">
      <selection activeCell="E704" sqref="E704"/>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26" t="s">
        <v>2118</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row>
    <row r="2" spans="1:41" s="436" customFormat="1" ht="12.75" customHeight="1" thickBot="1">
      <c r="A2" s="2327"/>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2119</v>
      </c>
      <c r="B4" s="439" t="s">
        <v>2120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2121</v>
      </c>
      <c r="B7" s="439" t="s">
        <v>2122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19" t="s">
        <v>2123</v>
      </c>
      <c r="AF7" s="2319"/>
      <c r="AG7" s="2319"/>
      <c r="AH7" s="2319"/>
      <c r="AI7" s="2319"/>
      <c r="AJ7" s="2319"/>
      <c r="AK7" s="2319"/>
      <c r="AL7" s="440"/>
      <c r="AM7" s="440"/>
      <c r="AN7" s="435"/>
    </row>
    <row r="8" spans="1:41" s="436" customFormat="1" ht="12.75" customHeight="1">
      <c r="A8" s="438"/>
      <c r="B8" s="439" t="s">
        <v>2124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2125</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291" t="s">
        <v>822</v>
      </c>
      <c r="C12" s="2291"/>
      <c r="D12" s="440"/>
      <c r="E12" s="2307" t="s">
        <v>2126</v>
      </c>
      <c r="F12" s="2308"/>
      <c r="G12" s="2308"/>
      <c r="H12" s="2308"/>
      <c r="I12" s="2308"/>
      <c r="J12" s="2308"/>
      <c r="K12" s="2308"/>
      <c r="L12" s="2308"/>
      <c r="M12" s="2308"/>
      <c r="N12" s="2308"/>
      <c r="O12" s="2308"/>
      <c r="P12" s="2308"/>
      <c r="Q12" s="2308"/>
      <c r="R12" s="2308"/>
      <c r="S12" s="2308"/>
      <c r="T12" s="2308"/>
      <c r="U12" s="2308"/>
      <c r="V12" s="2308"/>
      <c r="W12" s="2308"/>
      <c r="X12" s="2308"/>
      <c r="Y12" s="2308"/>
      <c r="Z12" s="2308"/>
      <c r="AA12" s="2308"/>
      <c r="AB12" s="2308"/>
      <c r="AC12" s="2308"/>
      <c r="AD12" s="2308"/>
      <c r="AE12" s="2308"/>
      <c r="AF12" s="2308"/>
      <c r="AG12" s="2308"/>
      <c r="AH12" s="2308"/>
      <c r="AI12" s="2308"/>
      <c r="AJ12" s="2309"/>
      <c r="AK12" s="440"/>
      <c r="AL12" s="440"/>
      <c r="AM12" s="440"/>
      <c r="AN12" s="435"/>
      <c r="AO12" s="457"/>
    </row>
    <row r="13" spans="1:41" s="436" customFormat="1" ht="12.75" customHeight="1">
      <c r="A13" s="440"/>
      <c r="D13" s="446"/>
      <c r="E13" s="2336"/>
      <c r="F13" s="2337"/>
      <c r="G13" s="2337"/>
      <c r="H13" s="2337"/>
      <c r="I13" s="2337"/>
      <c r="J13" s="2337"/>
      <c r="K13" s="2337"/>
      <c r="L13" s="2337"/>
      <c r="M13" s="2337"/>
      <c r="N13" s="2337"/>
      <c r="O13" s="2337"/>
      <c r="P13" s="2337"/>
      <c r="Q13" s="2337"/>
      <c r="R13" s="2337"/>
      <c r="S13" s="2337"/>
      <c r="T13" s="2337"/>
      <c r="U13" s="2337"/>
      <c r="V13" s="2337"/>
      <c r="W13" s="2337"/>
      <c r="X13" s="2337"/>
      <c r="Y13" s="2337"/>
      <c r="Z13" s="2337"/>
      <c r="AA13" s="2337"/>
      <c r="AB13" s="2337"/>
      <c r="AC13" s="2337"/>
      <c r="AD13" s="2337"/>
      <c r="AE13" s="2337"/>
      <c r="AF13" s="2337"/>
      <c r="AG13" s="2337"/>
      <c r="AH13" s="2337"/>
      <c r="AI13" s="2337"/>
      <c r="AJ13" s="2338"/>
      <c r="AK13" s="440"/>
      <c r="AL13" s="440"/>
      <c r="AM13" s="440"/>
      <c r="AN13" s="435"/>
      <c r="AO13" s="457"/>
    </row>
    <row r="14" spans="1:41" s="436" customFormat="1" ht="12.75" customHeight="1">
      <c r="A14" s="440"/>
      <c r="D14" s="440"/>
      <c r="E14" s="2310"/>
      <c r="F14" s="2311"/>
      <c r="G14" s="2311"/>
      <c r="H14" s="2311"/>
      <c r="I14" s="2311"/>
      <c r="J14" s="2311"/>
      <c r="K14" s="2311"/>
      <c r="L14" s="2311"/>
      <c r="M14" s="2311"/>
      <c r="N14" s="2311"/>
      <c r="O14" s="2311"/>
      <c r="P14" s="2311"/>
      <c r="Q14" s="2311"/>
      <c r="R14" s="2311"/>
      <c r="S14" s="2311"/>
      <c r="T14" s="2311"/>
      <c r="U14" s="2311"/>
      <c r="V14" s="2311"/>
      <c r="W14" s="2311"/>
      <c r="X14" s="2311"/>
      <c r="Y14" s="2311"/>
      <c r="Z14" s="2311"/>
      <c r="AA14" s="2311"/>
      <c r="AB14" s="2311"/>
      <c r="AC14" s="2311"/>
      <c r="AD14" s="2311"/>
      <c r="AE14" s="2311"/>
      <c r="AF14" s="2311"/>
      <c r="AG14" s="2311"/>
      <c r="AH14" s="2311"/>
      <c r="AI14" s="2311"/>
      <c r="AJ14" s="231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291" t="s">
        <v>822</v>
      </c>
      <c r="C16" s="2291"/>
      <c r="D16" s="440"/>
      <c r="E16" s="2307" t="s">
        <v>2127</v>
      </c>
      <c r="F16" s="2308"/>
      <c r="G16" s="2308"/>
      <c r="H16" s="2308"/>
      <c r="I16" s="2308"/>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08"/>
      <c r="AI16" s="2308"/>
      <c r="AJ16" s="2309"/>
      <c r="AK16" s="440"/>
      <c r="AL16" s="440"/>
      <c r="AM16" s="440"/>
      <c r="AN16" s="435"/>
    </row>
    <row r="17" spans="1:50" s="436" customFormat="1" ht="12.75" customHeight="1">
      <c r="A17" s="440"/>
      <c r="B17" s="440"/>
      <c r="C17" s="440"/>
      <c r="D17" s="440"/>
      <c r="E17" s="2336"/>
      <c r="F17" s="2337"/>
      <c r="G17" s="2337"/>
      <c r="H17" s="2337"/>
      <c r="I17" s="2337"/>
      <c r="J17" s="2337"/>
      <c r="K17" s="2337"/>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c r="AH17" s="2337"/>
      <c r="AI17" s="2337"/>
      <c r="AJ17" s="2338"/>
      <c r="AK17" s="440"/>
      <c r="AL17" s="440"/>
      <c r="AM17" s="440"/>
      <c r="AN17" s="435"/>
    </row>
    <row r="18" spans="1:50" s="436" customFormat="1" ht="12.75" customHeight="1">
      <c r="A18" s="440"/>
      <c r="B18" s="440"/>
      <c r="C18" s="1024"/>
      <c r="D18" s="440"/>
      <c r="E18" s="2310"/>
      <c r="F18" s="2311"/>
      <c r="G18" s="2311"/>
      <c r="H18" s="2311"/>
      <c r="I18" s="2311"/>
      <c r="J18" s="2311"/>
      <c r="K18" s="2311"/>
      <c r="L18" s="2311"/>
      <c r="M18" s="2311"/>
      <c r="N18" s="2311"/>
      <c r="O18" s="2311"/>
      <c r="P18" s="2311"/>
      <c r="Q18" s="2311"/>
      <c r="R18" s="2311"/>
      <c r="S18" s="2311"/>
      <c r="T18" s="2311"/>
      <c r="U18" s="2311"/>
      <c r="V18" s="2311"/>
      <c r="W18" s="2311"/>
      <c r="X18" s="2311"/>
      <c r="Y18" s="2311"/>
      <c r="Z18" s="2311"/>
      <c r="AA18" s="2311"/>
      <c r="AB18" s="2311"/>
      <c r="AC18" s="2311"/>
      <c r="AD18" s="2311"/>
      <c r="AE18" s="2311"/>
      <c r="AF18" s="2311"/>
      <c r="AG18" s="2311"/>
      <c r="AH18" s="2311"/>
      <c r="AI18" s="2311"/>
      <c r="AJ18" s="231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291" t="s">
        <v>822</v>
      </c>
      <c r="C20" s="2291"/>
      <c r="D20" s="440"/>
      <c r="E20" s="2307" t="s">
        <v>2128</v>
      </c>
      <c r="F20" s="2308"/>
      <c r="G20" s="2308"/>
      <c r="H20" s="2308"/>
      <c r="I20" s="2308"/>
      <c r="J20" s="2308"/>
      <c r="K20" s="2308"/>
      <c r="L20" s="2308"/>
      <c r="M20" s="2308"/>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9"/>
      <c r="AK20" s="440"/>
      <c r="AL20" s="440"/>
      <c r="AM20" s="440"/>
      <c r="AN20" s="435"/>
    </row>
    <row r="21" spans="1:50" s="436" customFormat="1" ht="12.75" customHeight="1">
      <c r="A21" s="440"/>
      <c r="B21" s="446"/>
      <c r="C21" s="446"/>
      <c r="D21" s="446"/>
      <c r="E21" s="2310"/>
      <c r="F21" s="2311"/>
      <c r="G21" s="2311"/>
      <c r="H21" s="2311"/>
      <c r="I21" s="2311"/>
      <c r="J21" s="2311"/>
      <c r="K21" s="2311"/>
      <c r="L21" s="2311"/>
      <c r="M21" s="2311"/>
      <c r="N21" s="2311"/>
      <c r="O21" s="2311"/>
      <c r="P21" s="2311"/>
      <c r="Q21" s="2311"/>
      <c r="R21" s="2311"/>
      <c r="S21" s="2311"/>
      <c r="T21" s="2311"/>
      <c r="U21" s="2311"/>
      <c r="V21" s="2311"/>
      <c r="W21" s="2311"/>
      <c r="X21" s="2311"/>
      <c r="Y21" s="2311"/>
      <c r="Z21" s="2311"/>
      <c r="AA21" s="2311"/>
      <c r="AB21" s="2311"/>
      <c r="AC21" s="2311"/>
      <c r="AD21" s="2311"/>
      <c r="AE21" s="2311"/>
      <c r="AF21" s="2311"/>
      <c r="AG21" s="2311"/>
      <c r="AH21" s="2311"/>
      <c r="AI21" s="2311"/>
      <c r="AJ21" s="2312"/>
      <c r="AK21" s="440"/>
      <c r="AL21" s="440"/>
      <c r="AM21" s="440"/>
      <c r="AN21" s="435"/>
      <c r="AO21" s="436">
        <f>IF(AND(B12="Yes",B16="Yes",B20="Yes"),10,0)</f>
        <v>0</v>
      </c>
      <c r="AP21" s="436" t="s">
        <v>2129</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2130</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2131</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291" t="s">
        <v>822</v>
      </c>
      <c r="C26" s="2291"/>
      <c r="D26" s="446"/>
      <c r="E26" s="447" t="s">
        <v>2132</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28"/>
      <c r="AH26" s="2328"/>
      <c r="AI26" s="2328"/>
      <c r="AJ26" s="2329"/>
      <c r="AK26" s="440"/>
      <c r="AL26" s="440"/>
      <c r="AM26" s="440"/>
      <c r="AN26" s="435"/>
      <c r="AO26" s="436">
        <f>IF($B26="yes",20,0)</f>
        <v>0</v>
      </c>
      <c r="AP26" s="13" t="s">
        <v>2129</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2133</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291" t="s">
        <v>822</v>
      </c>
      <c r="C30" s="2291"/>
      <c r="D30" s="446"/>
      <c r="E30" s="2292" t="s">
        <v>2134</v>
      </c>
      <c r="F30" s="2293"/>
      <c r="G30" s="2293"/>
      <c r="H30" s="2293"/>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4"/>
      <c r="AK30" s="440"/>
      <c r="AL30" s="440"/>
      <c r="AM30" s="440"/>
      <c r="AN30" s="435"/>
      <c r="AO30" s="449">
        <f>IF($B30="yes",9,0)</f>
        <v>0</v>
      </c>
    </row>
    <row r="31" spans="1:50" s="436" customFormat="1" ht="12.75" customHeight="1">
      <c r="A31" s="440"/>
      <c r="B31" s="440"/>
      <c r="C31" s="440"/>
      <c r="E31" s="2295"/>
      <c r="F31" s="2296"/>
      <c r="G31" s="2296"/>
      <c r="H31" s="2296"/>
      <c r="I31" s="2296"/>
      <c r="J31" s="2296"/>
      <c r="K31" s="2296"/>
      <c r="L31" s="2296"/>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7"/>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291" t="s">
        <v>822</v>
      </c>
      <c r="C33" s="2291"/>
      <c r="D33" s="446"/>
      <c r="E33" s="2292" t="s">
        <v>2135</v>
      </c>
      <c r="F33" s="2293"/>
      <c r="G33" s="2293"/>
      <c r="H33" s="2293"/>
      <c r="I33" s="2293"/>
      <c r="J33" s="2293"/>
      <c r="K33" s="2293"/>
      <c r="L33" s="2293"/>
      <c r="M33" s="2293"/>
      <c r="N33" s="2293"/>
      <c r="O33" s="2293"/>
      <c r="P33" s="2293"/>
      <c r="Q33" s="2293"/>
      <c r="R33" s="2293"/>
      <c r="S33" s="2293"/>
      <c r="T33" s="2293"/>
      <c r="U33" s="2293"/>
      <c r="V33" s="2293"/>
      <c r="W33" s="2293"/>
      <c r="X33" s="2293"/>
      <c r="Y33" s="2293"/>
      <c r="Z33" s="2293"/>
      <c r="AA33" s="2293"/>
      <c r="AB33" s="2293"/>
      <c r="AC33" s="2293"/>
      <c r="AD33" s="2293"/>
      <c r="AE33" s="2293"/>
      <c r="AF33" s="2293"/>
      <c r="AG33" s="2293"/>
      <c r="AH33" s="2293"/>
      <c r="AI33" s="2293"/>
      <c r="AJ33" s="2294"/>
      <c r="AK33" s="440"/>
      <c r="AL33" s="440"/>
      <c r="AM33" s="440"/>
      <c r="AN33" s="435"/>
      <c r="AO33" s="449">
        <f>IF($B39="yes",9,0)</f>
        <v>0</v>
      </c>
    </row>
    <row r="34" spans="1:43" s="436" customFormat="1" ht="12.75" customHeight="1">
      <c r="A34" s="440"/>
      <c r="B34" s="440"/>
      <c r="C34" s="440"/>
      <c r="D34" s="446"/>
      <c r="E34" s="2333"/>
      <c r="F34" s="2334"/>
      <c r="G34" s="2334"/>
      <c r="H34" s="2334"/>
      <c r="I34" s="2334"/>
      <c r="J34" s="2334"/>
      <c r="K34" s="2334"/>
      <c r="L34" s="2334"/>
      <c r="M34" s="2334"/>
      <c r="N34" s="2334"/>
      <c r="O34" s="2334"/>
      <c r="P34" s="2334"/>
      <c r="Q34" s="2334"/>
      <c r="R34" s="2334"/>
      <c r="S34" s="2334"/>
      <c r="T34" s="2334"/>
      <c r="U34" s="2334"/>
      <c r="V34" s="2334"/>
      <c r="W34" s="2334"/>
      <c r="X34" s="2334"/>
      <c r="Y34" s="2334"/>
      <c r="Z34" s="2334"/>
      <c r="AA34" s="2334"/>
      <c r="AB34" s="2334"/>
      <c r="AC34" s="2334"/>
      <c r="AD34" s="2334"/>
      <c r="AE34" s="2334"/>
      <c r="AF34" s="2334"/>
      <c r="AG34" s="2334"/>
      <c r="AH34" s="2334"/>
      <c r="AI34" s="2334"/>
      <c r="AJ34" s="2335"/>
      <c r="AK34" s="440"/>
      <c r="AL34" s="440"/>
      <c r="AM34" s="440"/>
      <c r="AN34" s="435"/>
      <c r="AO34" s="436">
        <f>MAX(AO30,AO31,AO32,AO33)</f>
        <v>0</v>
      </c>
      <c r="AP34" s="436" t="s">
        <v>2129</v>
      </c>
    </row>
    <row r="35" spans="1:43" s="436" customFormat="1" ht="12.75" customHeight="1">
      <c r="A35" s="440"/>
      <c r="B35" s="440"/>
      <c r="C35" s="440"/>
      <c r="E35" s="2295"/>
      <c r="F35" s="2296"/>
      <c r="G35" s="2296"/>
      <c r="H35" s="2296"/>
      <c r="I35" s="2296"/>
      <c r="J35" s="2296"/>
      <c r="K35" s="2296"/>
      <c r="L35" s="2296"/>
      <c r="M35" s="2296"/>
      <c r="N35" s="2296"/>
      <c r="O35" s="2296"/>
      <c r="P35" s="2296"/>
      <c r="Q35" s="2296"/>
      <c r="R35" s="2296"/>
      <c r="S35" s="2296"/>
      <c r="T35" s="2296"/>
      <c r="U35" s="2296"/>
      <c r="V35" s="2296"/>
      <c r="W35" s="2296"/>
      <c r="X35" s="2296"/>
      <c r="Y35" s="2296"/>
      <c r="Z35" s="2296"/>
      <c r="AA35" s="2296"/>
      <c r="AB35" s="2296"/>
      <c r="AC35" s="2296"/>
      <c r="AD35" s="2296"/>
      <c r="AE35" s="2296"/>
      <c r="AF35" s="2296"/>
      <c r="AG35" s="2296"/>
      <c r="AH35" s="2296"/>
      <c r="AI35" s="2296"/>
      <c r="AJ35" s="2297"/>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291" t="s">
        <v>822</v>
      </c>
      <c r="C37" s="2291"/>
      <c r="D37" s="1025"/>
      <c r="E37" s="2298" t="s">
        <v>2136</v>
      </c>
      <c r="F37" s="2299"/>
      <c r="G37" s="2299"/>
      <c r="H37" s="2299"/>
      <c r="I37" s="2299"/>
      <c r="J37" s="2299"/>
      <c r="K37" s="2299"/>
      <c r="L37" s="2299"/>
      <c r="M37" s="2299"/>
      <c r="N37" s="2299"/>
      <c r="O37" s="2299"/>
      <c r="P37" s="2299"/>
      <c r="Q37" s="2299"/>
      <c r="R37" s="2299"/>
      <c r="S37" s="2299"/>
      <c r="T37" s="2299"/>
      <c r="U37" s="2299"/>
      <c r="V37" s="2299"/>
      <c r="W37" s="2299"/>
      <c r="X37" s="2299"/>
      <c r="Y37" s="2299"/>
      <c r="Z37" s="2299"/>
      <c r="AA37" s="2299"/>
      <c r="AB37" s="2299"/>
      <c r="AC37" s="2299"/>
      <c r="AD37" s="2299"/>
      <c r="AE37" s="2299"/>
      <c r="AF37" s="2299"/>
      <c r="AG37" s="2299"/>
      <c r="AH37" s="2299"/>
      <c r="AI37" s="2299"/>
      <c r="AJ37" s="230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291" t="s">
        <v>822</v>
      </c>
      <c r="C39" s="2291"/>
      <c r="D39" s="1025"/>
      <c r="E39" s="2298" t="s">
        <v>2137</v>
      </c>
      <c r="F39" s="2299"/>
      <c r="G39" s="2299"/>
      <c r="H39" s="2299"/>
      <c r="I39" s="2299"/>
      <c r="J39" s="2299"/>
      <c r="K39" s="2299"/>
      <c r="L39" s="2299"/>
      <c r="M39" s="2299"/>
      <c r="N39" s="2299"/>
      <c r="O39" s="2299"/>
      <c r="P39" s="2299"/>
      <c r="Q39" s="2299"/>
      <c r="R39" s="2299"/>
      <c r="S39" s="2299"/>
      <c r="T39" s="2299"/>
      <c r="U39" s="2299"/>
      <c r="V39" s="2299"/>
      <c r="W39" s="2299"/>
      <c r="X39" s="2299"/>
      <c r="Y39" s="2299"/>
      <c r="Z39" s="2299"/>
      <c r="AA39" s="2299"/>
      <c r="AB39" s="2299"/>
      <c r="AC39" s="2299"/>
      <c r="AD39" s="2299"/>
      <c r="AE39" s="2299"/>
      <c r="AF39" s="2299"/>
      <c r="AG39" s="2299"/>
      <c r="AH39" s="2299"/>
      <c r="AI39" s="2299"/>
      <c r="AJ39" s="230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2138</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291" t="s">
        <v>822</v>
      </c>
      <c r="C43" s="2291"/>
      <c r="D43" s="446"/>
      <c r="E43" s="2301" t="s">
        <v>2139</v>
      </c>
      <c r="F43" s="2302"/>
      <c r="G43" s="2302"/>
      <c r="H43" s="2302"/>
      <c r="I43" s="2302"/>
      <c r="J43" s="2302"/>
      <c r="K43" s="2302"/>
      <c r="L43" s="2302"/>
      <c r="M43" s="2302"/>
      <c r="N43" s="2302"/>
      <c r="O43" s="2302"/>
      <c r="P43" s="2302"/>
      <c r="Q43" s="2302"/>
      <c r="R43" s="2302"/>
      <c r="S43" s="2302"/>
      <c r="T43" s="2302"/>
      <c r="U43" s="2302"/>
      <c r="V43" s="2302"/>
      <c r="W43" s="2302"/>
      <c r="X43" s="2302"/>
      <c r="Y43" s="2302"/>
      <c r="Z43" s="2302"/>
      <c r="AA43" s="2302"/>
      <c r="AB43" s="2302"/>
      <c r="AC43" s="2302"/>
      <c r="AD43" s="2302"/>
      <c r="AE43" s="2302"/>
      <c r="AF43" s="2302"/>
      <c r="AG43" s="2302"/>
      <c r="AH43" s="2302"/>
      <c r="AI43" s="2302"/>
      <c r="AJ43" s="2303"/>
      <c r="AK43" s="440"/>
      <c r="AL43" s="440"/>
      <c r="AM43" s="440"/>
      <c r="AN43" s="435"/>
      <c r="AO43" s="449">
        <f>IF($B43="yes",8,0)</f>
        <v>0</v>
      </c>
      <c r="AP43" s="13"/>
    </row>
    <row r="44" spans="1:43" s="436" customFormat="1" ht="12.75" customHeight="1">
      <c r="A44" s="440"/>
      <c r="B44" s="440"/>
      <c r="C44" s="440"/>
      <c r="D44" s="450"/>
      <c r="E44" s="2304"/>
      <c r="F44" s="2305"/>
      <c r="G44" s="2305"/>
      <c r="H44" s="2305"/>
      <c r="I44" s="2305"/>
      <c r="J44" s="2305"/>
      <c r="K44" s="2305"/>
      <c r="L44" s="2305"/>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291" t="s">
        <v>822</v>
      </c>
      <c r="C46" s="2291"/>
      <c r="D46" s="446"/>
      <c r="E46" s="2292" t="s">
        <v>2140</v>
      </c>
      <c r="F46" s="2293"/>
      <c r="G46" s="2293"/>
      <c r="H46" s="2293"/>
      <c r="I46" s="2293"/>
      <c r="J46" s="2293"/>
      <c r="K46" s="2293"/>
      <c r="L46" s="2293"/>
      <c r="M46" s="2293"/>
      <c r="N46" s="2293"/>
      <c r="O46" s="2293"/>
      <c r="P46" s="2293"/>
      <c r="Q46" s="2293"/>
      <c r="R46" s="2293"/>
      <c r="S46" s="2293"/>
      <c r="T46" s="2293"/>
      <c r="U46" s="2293"/>
      <c r="V46" s="2293"/>
      <c r="W46" s="2293"/>
      <c r="X46" s="2293"/>
      <c r="Y46" s="2293"/>
      <c r="Z46" s="2293"/>
      <c r="AA46" s="2293"/>
      <c r="AB46" s="2293"/>
      <c r="AC46" s="2293"/>
      <c r="AD46" s="2293"/>
      <c r="AE46" s="2293"/>
      <c r="AF46" s="2293"/>
      <c r="AG46" s="2293"/>
      <c r="AH46" s="2293"/>
      <c r="AI46" s="2293"/>
      <c r="AJ46" s="2294"/>
      <c r="AK46" s="440"/>
      <c r="AL46" s="440"/>
      <c r="AM46" s="440"/>
      <c r="AN46" s="435"/>
      <c r="AO46" s="449">
        <f>IF($B52="yes",8,0)</f>
        <v>0</v>
      </c>
    </row>
    <row r="47" spans="1:43" s="436" customFormat="1" ht="12.75" customHeight="1">
      <c r="A47" s="440"/>
      <c r="B47" s="440"/>
      <c r="C47" s="440"/>
      <c r="D47" s="449"/>
      <c r="E47" s="2295"/>
      <c r="F47" s="2296"/>
      <c r="G47" s="2296"/>
      <c r="H47" s="2296"/>
      <c r="I47" s="2296"/>
      <c r="J47" s="2296"/>
      <c r="K47" s="2296"/>
      <c r="L47" s="2296"/>
      <c r="M47" s="2296"/>
      <c r="N47" s="2296"/>
      <c r="O47" s="2296"/>
      <c r="P47" s="2296"/>
      <c r="Q47" s="2296"/>
      <c r="R47" s="2296"/>
      <c r="S47" s="2296"/>
      <c r="T47" s="2296"/>
      <c r="U47" s="2296"/>
      <c r="V47" s="2296"/>
      <c r="W47" s="2296"/>
      <c r="X47" s="2296"/>
      <c r="Y47" s="2296"/>
      <c r="Z47" s="2296"/>
      <c r="AA47" s="2296"/>
      <c r="AB47" s="2296"/>
      <c r="AC47" s="2296"/>
      <c r="AD47" s="2296"/>
      <c r="AE47" s="2296"/>
      <c r="AF47" s="2296"/>
      <c r="AG47" s="2296"/>
      <c r="AH47" s="2296"/>
      <c r="AI47" s="2296"/>
      <c r="AJ47" s="2297"/>
      <c r="AK47" s="440"/>
      <c r="AL47" s="440"/>
      <c r="AM47" s="440"/>
      <c r="AN47" s="435"/>
      <c r="AO47" s="436">
        <f>MAX(AO43,AO44,AO45,AO46)</f>
        <v>0</v>
      </c>
      <c r="AP47" s="436" t="s">
        <v>2129</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291" t="s">
        <v>822</v>
      </c>
      <c r="C49" s="2291"/>
      <c r="D49" s="446"/>
      <c r="E49" s="2307" t="s">
        <v>2141</v>
      </c>
      <c r="F49" s="2308"/>
      <c r="G49" s="2308"/>
      <c r="H49" s="2308"/>
      <c r="I49" s="2308"/>
      <c r="J49" s="2308"/>
      <c r="K49" s="2308"/>
      <c r="L49" s="2308"/>
      <c r="M49" s="2308"/>
      <c r="N49" s="2308"/>
      <c r="O49" s="2308"/>
      <c r="P49" s="2308"/>
      <c r="Q49" s="2308"/>
      <c r="R49" s="2308"/>
      <c r="S49" s="2308"/>
      <c r="T49" s="2308"/>
      <c r="U49" s="2308"/>
      <c r="V49" s="2308"/>
      <c r="W49" s="2308"/>
      <c r="X49" s="2308"/>
      <c r="Y49" s="2308"/>
      <c r="Z49" s="2308"/>
      <c r="AA49" s="2308"/>
      <c r="AB49" s="2308"/>
      <c r="AC49" s="2308"/>
      <c r="AD49" s="2308"/>
      <c r="AE49" s="2308"/>
      <c r="AF49" s="2308"/>
      <c r="AG49" s="2308"/>
      <c r="AH49" s="2308"/>
      <c r="AI49" s="2308"/>
      <c r="AJ49" s="2309"/>
      <c r="AK49" s="440"/>
      <c r="AL49" s="440"/>
      <c r="AM49" s="440"/>
      <c r="AN49" s="435"/>
      <c r="AO49" s="449"/>
    </row>
    <row r="50" spans="1:42" s="436" customFormat="1" ht="12.75" customHeight="1">
      <c r="A50" s="440"/>
      <c r="B50" s="440"/>
      <c r="C50" s="440"/>
      <c r="D50" s="449"/>
      <c r="E50" s="2310"/>
      <c r="F50" s="2311"/>
      <c r="G50" s="2311"/>
      <c r="H50" s="2311"/>
      <c r="I50" s="2311"/>
      <c r="J50" s="2311"/>
      <c r="K50" s="2311"/>
      <c r="L50" s="2311"/>
      <c r="M50" s="2311"/>
      <c r="N50" s="2311"/>
      <c r="O50" s="2311"/>
      <c r="P50" s="2311"/>
      <c r="Q50" s="2311"/>
      <c r="R50" s="2311"/>
      <c r="S50" s="2311"/>
      <c r="T50" s="2311"/>
      <c r="U50" s="2311"/>
      <c r="V50" s="2311"/>
      <c r="W50" s="2311"/>
      <c r="X50" s="2311"/>
      <c r="Y50" s="2311"/>
      <c r="Z50" s="2311"/>
      <c r="AA50" s="2311"/>
      <c r="AB50" s="2311"/>
      <c r="AC50" s="2311"/>
      <c r="AD50" s="2311"/>
      <c r="AE50" s="2311"/>
      <c r="AF50" s="2311"/>
      <c r="AG50" s="2311"/>
      <c r="AH50" s="2311"/>
      <c r="AI50" s="2311"/>
      <c r="AJ50" s="231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291" t="s">
        <v>822</v>
      </c>
      <c r="C52" s="2291"/>
      <c r="D52" s="446"/>
      <c r="E52" s="2298" t="s">
        <v>2142</v>
      </c>
      <c r="F52" s="2299"/>
      <c r="G52" s="2299"/>
      <c r="H52" s="2299"/>
      <c r="I52" s="2299"/>
      <c r="J52" s="2299"/>
      <c r="K52" s="2299"/>
      <c r="L52" s="2299"/>
      <c r="M52" s="2299"/>
      <c r="N52" s="2299"/>
      <c r="O52" s="2299"/>
      <c r="P52" s="2299"/>
      <c r="Q52" s="2299"/>
      <c r="R52" s="2299"/>
      <c r="S52" s="2299"/>
      <c r="T52" s="2299"/>
      <c r="U52" s="2299"/>
      <c r="V52" s="2299"/>
      <c r="W52" s="2299"/>
      <c r="X52" s="2299"/>
      <c r="Y52" s="2299"/>
      <c r="Z52" s="2299"/>
      <c r="AA52" s="2299"/>
      <c r="AB52" s="2299"/>
      <c r="AC52" s="2299"/>
      <c r="AD52" s="2299"/>
      <c r="AE52" s="2299"/>
      <c r="AF52" s="2299"/>
      <c r="AG52" s="2299"/>
      <c r="AH52" s="2299"/>
      <c r="AI52" s="2299"/>
      <c r="AJ52" s="230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2143</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291" t="s">
        <v>822</v>
      </c>
      <c r="C56" s="2291"/>
      <c r="D56" s="446"/>
      <c r="E56" s="2307" t="s">
        <v>2144</v>
      </c>
      <c r="F56" s="2308"/>
      <c r="G56" s="2308"/>
      <c r="H56" s="2308"/>
      <c r="I56" s="2308"/>
      <c r="J56" s="2308"/>
      <c r="K56" s="2308"/>
      <c r="L56" s="2308"/>
      <c r="M56" s="2308"/>
      <c r="N56" s="2308"/>
      <c r="O56" s="2308"/>
      <c r="P56" s="2308"/>
      <c r="Q56" s="2308"/>
      <c r="R56" s="2308"/>
      <c r="S56" s="2308"/>
      <c r="T56" s="2308"/>
      <c r="U56" s="2308"/>
      <c r="V56" s="2308"/>
      <c r="W56" s="2308"/>
      <c r="X56" s="2308"/>
      <c r="Y56" s="2308"/>
      <c r="Z56" s="2308"/>
      <c r="AA56" s="2308"/>
      <c r="AB56" s="2308"/>
      <c r="AC56" s="2308"/>
      <c r="AD56" s="2308"/>
      <c r="AE56" s="2308"/>
      <c r="AF56" s="2308"/>
      <c r="AG56" s="2308"/>
      <c r="AH56" s="2308"/>
      <c r="AI56" s="2308"/>
      <c r="AJ56" s="2309"/>
      <c r="AK56" s="440"/>
      <c r="AL56" s="440"/>
      <c r="AM56" s="440"/>
      <c r="AN56" s="435"/>
      <c r="AO56" s="449">
        <f>IF($B59="yes",7,0)</f>
        <v>0</v>
      </c>
    </row>
    <row r="57" spans="1:42" s="436" customFormat="1" ht="12.75" customHeight="1">
      <c r="A57" s="440"/>
      <c r="B57" s="440"/>
      <c r="C57" s="440"/>
      <c r="D57" s="449"/>
      <c r="E57" s="2310"/>
      <c r="F57" s="2311"/>
      <c r="G57" s="2311"/>
      <c r="H57" s="2311"/>
      <c r="I57" s="2311"/>
      <c r="J57" s="2311"/>
      <c r="K57" s="2311"/>
      <c r="L57" s="2311"/>
      <c r="M57" s="2311"/>
      <c r="N57" s="2311"/>
      <c r="O57" s="2311"/>
      <c r="P57" s="2311"/>
      <c r="Q57" s="2311"/>
      <c r="R57" s="2311"/>
      <c r="S57" s="2311"/>
      <c r="T57" s="2311"/>
      <c r="U57" s="2311"/>
      <c r="V57" s="2311"/>
      <c r="W57" s="2311"/>
      <c r="X57" s="2311"/>
      <c r="Y57" s="2311"/>
      <c r="Z57" s="2311"/>
      <c r="AA57" s="2311"/>
      <c r="AB57" s="2311"/>
      <c r="AC57" s="2311"/>
      <c r="AD57" s="2311"/>
      <c r="AE57" s="2311"/>
      <c r="AF57" s="2311"/>
      <c r="AG57" s="2311"/>
      <c r="AH57" s="2311"/>
      <c r="AI57" s="2311"/>
      <c r="AJ57" s="2312"/>
      <c r="AK57" s="440"/>
      <c r="AL57" s="440"/>
      <c r="AM57" s="440"/>
      <c r="AN57" s="435"/>
      <c r="AO57" s="436">
        <f>MAX(AO55:AO56)</f>
        <v>0</v>
      </c>
      <c r="AP57" s="436" t="s">
        <v>2129</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291" t="s">
        <v>822</v>
      </c>
      <c r="C59" s="2291"/>
      <c r="D59" s="446"/>
      <c r="E59" s="2298" t="s">
        <v>2145</v>
      </c>
      <c r="F59" s="2299"/>
      <c r="G59" s="2299"/>
      <c r="H59" s="2299"/>
      <c r="I59" s="2299"/>
      <c r="J59" s="2299"/>
      <c r="K59" s="2299"/>
      <c r="L59" s="2299"/>
      <c r="M59" s="2299"/>
      <c r="N59" s="2299"/>
      <c r="O59" s="2299"/>
      <c r="P59" s="2299"/>
      <c r="Q59" s="2299"/>
      <c r="R59" s="2299"/>
      <c r="S59" s="2299"/>
      <c r="T59" s="2299"/>
      <c r="U59" s="2299"/>
      <c r="V59" s="2299"/>
      <c r="W59" s="2299"/>
      <c r="X59" s="2299"/>
      <c r="Y59" s="2299"/>
      <c r="Z59" s="2299"/>
      <c r="AA59" s="2299"/>
      <c r="AB59" s="2299"/>
      <c r="AC59" s="2299"/>
      <c r="AD59" s="2299"/>
      <c r="AE59" s="2299"/>
      <c r="AF59" s="2299"/>
      <c r="AG59" s="2299"/>
      <c r="AH59" s="2299"/>
      <c r="AI59" s="2299"/>
      <c r="AJ59" s="230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2129</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2146</v>
      </c>
      <c r="AK61" s="2330">
        <f>AO60</f>
        <v>0</v>
      </c>
      <c r="AL61" s="2331"/>
      <c r="AM61" s="233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2147</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19" t="s">
        <v>2148</v>
      </c>
      <c r="AF64" s="2319"/>
      <c r="AG64" s="2319"/>
      <c r="AH64" s="2319"/>
      <c r="AI64" s="2319"/>
      <c r="AJ64" s="2319"/>
      <c r="AK64" s="2319"/>
      <c r="AL64" s="440"/>
      <c r="AM64" s="440"/>
      <c r="AN64" s="435"/>
    </row>
    <row r="65" spans="1:42" s="436" customFormat="1" ht="12.75" customHeight="1">
      <c r="A65" s="438"/>
      <c r="B65" s="439" t="s">
        <v>2149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291" t="s">
        <v>822</v>
      </c>
      <c r="C67" s="2291"/>
      <c r="D67" s="446" t="s">
        <v>2150</v>
      </c>
      <c r="E67" s="2301" t="s">
        <v>2151</v>
      </c>
      <c r="F67" s="2302"/>
      <c r="G67" s="2302"/>
      <c r="H67" s="2302"/>
      <c r="I67" s="2302"/>
      <c r="J67" s="2302"/>
      <c r="K67" s="2302"/>
      <c r="L67" s="2302"/>
      <c r="M67" s="2302"/>
      <c r="N67" s="2302"/>
      <c r="O67" s="2302"/>
      <c r="P67" s="2302"/>
      <c r="Q67" s="2302"/>
      <c r="R67" s="2302"/>
      <c r="S67" s="2302"/>
      <c r="T67" s="2302"/>
      <c r="U67" s="2302"/>
      <c r="V67" s="2302"/>
      <c r="W67" s="2302"/>
      <c r="X67" s="2302"/>
      <c r="Y67" s="2302"/>
      <c r="Z67" s="2302"/>
      <c r="AA67" s="2302"/>
      <c r="AB67" s="2302"/>
      <c r="AC67" s="2302"/>
      <c r="AD67" s="2302"/>
      <c r="AE67" s="2302"/>
      <c r="AF67" s="2302"/>
      <c r="AG67" s="2302"/>
      <c r="AH67" s="2302"/>
      <c r="AI67" s="2302"/>
      <c r="AJ67" s="2303"/>
      <c r="AK67" s="443"/>
      <c r="AL67" s="440"/>
      <c r="AM67" s="440"/>
      <c r="AN67" s="435"/>
      <c r="AO67" s="449">
        <f>IF($B67="yes",10,0)</f>
        <v>0</v>
      </c>
    </row>
    <row r="68" spans="1:42" s="436" customFormat="1" ht="12.75" customHeight="1">
      <c r="A68" s="438"/>
      <c r="B68" s="440"/>
      <c r="C68" s="440"/>
      <c r="D68" s="450"/>
      <c r="E68" s="2320"/>
      <c r="F68" s="2321"/>
      <c r="G68" s="2321"/>
      <c r="H68" s="2321"/>
      <c r="I68" s="2321"/>
      <c r="J68" s="2321"/>
      <c r="K68" s="2321"/>
      <c r="L68" s="2321"/>
      <c r="M68" s="2321"/>
      <c r="N68" s="2321"/>
      <c r="O68" s="2321"/>
      <c r="P68" s="2321"/>
      <c r="Q68" s="2321"/>
      <c r="R68" s="2321"/>
      <c r="S68" s="2321"/>
      <c r="T68" s="2321"/>
      <c r="U68" s="2321"/>
      <c r="V68" s="2321"/>
      <c r="W68" s="2321"/>
      <c r="X68" s="2321"/>
      <c r="Y68" s="2321"/>
      <c r="Z68" s="2321"/>
      <c r="AA68" s="2321"/>
      <c r="AB68" s="2321"/>
      <c r="AC68" s="2321"/>
      <c r="AD68" s="2321"/>
      <c r="AE68" s="2321"/>
      <c r="AF68" s="2321"/>
      <c r="AG68" s="2321"/>
      <c r="AH68" s="2321"/>
      <c r="AI68" s="2321"/>
      <c r="AJ68" s="2322"/>
      <c r="AK68" s="443"/>
      <c r="AL68" s="440"/>
      <c r="AM68" s="440"/>
      <c r="AN68" s="435"/>
      <c r="AO68" s="449">
        <f>IF(AND($B73="yes",OR(E74="Yes",E75="Yes",E76="Yes")),10,0)</f>
        <v>10</v>
      </c>
    </row>
    <row r="69" spans="1:42" s="436" customFormat="1" ht="12.75" customHeight="1">
      <c r="A69" s="438"/>
      <c r="B69" s="440"/>
      <c r="C69" s="440"/>
      <c r="D69" s="450"/>
      <c r="E69" s="2320"/>
      <c r="F69" s="2321"/>
      <c r="G69" s="2321"/>
      <c r="H69" s="2321"/>
      <c r="I69" s="2321"/>
      <c r="J69" s="2321"/>
      <c r="K69" s="2321"/>
      <c r="L69" s="2321"/>
      <c r="M69" s="2321"/>
      <c r="N69" s="2321"/>
      <c r="O69" s="2321"/>
      <c r="P69" s="2321"/>
      <c r="Q69" s="2321"/>
      <c r="R69" s="2321"/>
      <c r="S69" s="2321"/>
      <c r="T69" s="2321"/>
      <c r="U69" s="2321"/>
      <c r="V69" s="2321"/>
      <c r="W69" s="2321"/>
      <c r="X69" s="2321"/>
      <c r="Y69" s="2321"/>
      <c r="Z69" s="2321"/>
      <c r="AA69" s="2321"/>
      <c r="AB69" s="2321"/>
      <c r="AC69" s="2321"/>
      <c r="AD69" s="2321"/>
      <c r="AE69" s="2321"/>
      <c r="AF69" s="2321"/>
      <c r="AG69" s="2321"/>
      <c r="AH69" s="2321"/>
      <c r="AI69" s="2321"/>
      <c r="AJ69" s="2322"/>
      <c r="AK69" s="443"/>
      <c r="AL69" s="440"/>
      <c r="AM69" s="440"/>
      <c r="AN69" s="435"/>
      <c r="AO69" s="449">
        <f>IF($B78="yes",10,0)</f>
        <v>0</v>
      </c>
    </row>
    <row r="70" spans="1:42" s="436" customFormat="1" ht="12.75" customHeight="1">
      <c r="A70" s="438"/>
      <c r="B70" s="440"/>
      <c r="C70" s="440"/>
      <c r="D70" s="450"/>
      <c r="E70" s="2320"/>
      <c r="F70" s="2321"/>
      <c r="G70" s="2321"/>
      <c r="H70" s="2321"/>
      <c r="I70" s="2321"/>
      <c r="J70" s="2321"/>
      <c r="K70" s="2321"/>
      <c r="L70" s="2321"/>
      <c r="M70" s="2321"/>
      <c r="N70" s="2321"/>
      <c r="O70" s="2321"/>
      <c r="P70" s="2321"/>
      <c r="Q70" s="2321"/>
      <c r="R70" s="2321"/>
      <c r="S70" s="2321"/>
      <c r="T70" s="2321"/>
      <c r="U70" s="2321"/>
      <c r="V70" s="2321"/>
      <c r="W70" s="2321"/>
      <c r="X70" s="2321"/>
      <c r="Y70" s="2321"/>
      <c r="Z70" s="2321"/>
      <c r="AA70" s="2321"/>
      <c r="AB70" s="2321"/>
      <c r="AC70" s="2321"/>
      <c r="AD70" s="2321"/>
      <c r="AE70" s="2321"/>
      <c r="AF70" s="2321"/>
      <c r="AG70" s="2321"/>
      <c r="AH70" s="2321"/>
      <c r="AI70" s="2321"/>
      <c r="AJ70" s="2322"/>
      <c r="AK70" s="443"/>
      <c r="AL70" s="440"/>
      <c r="AM70" s="440"/>
      <c r="AN70" s="435"/>
      <c r="AO70" s="449">
        <f>IF($B81="yes",10,0)</f>
        <v>0</v>
      </c>
    </row>
    <row r="71" spans="1:42" s="436" customFormat="1" ht="12.75" customHeight="1">
      <c r="A71" s="438"/>
      <c r="B71" s="440"/>
      <c r="C71" s="440"/>
      <c r="D71" s="450"/>
      <c r="E71" s="2304"/>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2305"/>
      <c r="AB71" s="2305"/>
      <c r="AC71" s="2305"/>
      <c r="AD71" s="2305"/>
      <c r="AE71" s="2305"/>
      <c r="AF71" s="2305"/>
      <c r="AG71" s="2305"/>
      <c r="AH71" s="2305"/>
      <c r="AI71" s="2305"/>
      <c r="AJ71" s="2306"/>
      <c r="AK71" s="443"/>
      <c r="AL71" s="440"/>
      <c r="AM71" s="440"/>
      <c r="AN71" s="435"/>
      <c r="AO71" s="436">
        <f>IF(SUM(AO67:AO69)&gt;10,10,(SUM(AO67:AO69)))</f>
        <v>10</v>
      </c>
      <c r="AP71" s="472" t="s">
        <v>2152</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291" t="s">
        <v>857</v>
      </c>
      <c r="C73" s="2291"/>
      <c r="D73" s="446" t="s">
        <v>2153</v>
      </c>
      <c r="E73" s="861" t="s">
        <v>2154</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23" t="s">
        <v>857</v>
      </c>
      <c r="F74" s="2291"/>
      <c r="G74" s="473"/>
      <c r="H74" s="456" t="s">
        <v>2155</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17" t="s">
        <v>822</v>
      </c>
      <c r="F75" s="2318"/>
      <c r="G75" s="473"/>
      <c r="H75" s="456" t="s">
        <v>2156</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17" t="s">
        <v>822</v>
      </c>
      <c r="F76" s="2318"/>
      <c r="G76" s="798"/>
      <c r="H76" s="1088" t="s">
        <v>2157</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291" t="s">
        <v>822</v>
      </c>
      <c r="C78" s="2291"/>
      <c r="D78" s="446" t="s">
        <v>2158</v>
      </c>
      <c r="E78" s="2307" t="s">
        <v>2159</v>
      </c>
      <c r="F78" s="2308"/>
      <c r="G78" s="2308"/>
      <c r="H78" s="2308"/>
      <c r="I78" s="2308"/>
      <c r="J78" s="2308"/>
      <c r="K78" s="2308"/>
      <c r="L78" s="2308"/>
      <c r="M78" s="2308"/>
      <c r="N78" s="2308"/>
      <c r="O78" s="2308"/>
      <c r="P78" s="2308"/>
      <c r="Q78" s="2308"/>
      <c r="R78" s="2308"/>
      <c r="S78" s="2308"/>
      <c r="T78" s="2308"/>
      <c r="U78" s="2308"/>
      <c r="V78" s="2308"/>
      <c r="W78" s="2308"/>
      <c r="X78" s="2308"/>
      <c r="Y78" s="2308"/>
      <c r="Z78" s="2308"/>
      <c r="AA78" s="2308"/>
      <c r="AB78" s="2308"/>
      <c r="AC78" s="2308"/>
      <c r="AD78" s="2308"/>
      <c r="AE78" s="2308"/>
      <c r="AF78" s="2308"/>
      <c r="AG78" s="2308"/>
      <c r="AH78" s="2308"/>
      <c r="AI78" s="2308"/>
      <c r="AJ78" s="2309"/>
      <c r="AK78" s="443"/>
      <c r="AL78" s="440"/>
      <c r="AM78" s="440"/>
      <c r="AN78" s="435"/>
    </row>
    <row r="79" spans="1:42" s="436" customFormat="1" ht="12.75" customHeight="1">
      <c r="A79" s="438"/>
      <c r="B79" s="440"/>
      <c r="C79" s="440"/>
      <c r="E79" s="2310"/>
      <c r="F79" s="2311"/>
      <c r="G79" s="2311"/>
      <c r="H79" s="2311"/>
      <c r="I79" s="2311"/>
      <c r="J79" s="2311"/>
      <c r="K79" s="2311"/>
      <c r="L79" s="2311"/>
      <c r="M79" s="2311"/>
      <c r="N79" s="2311"/>
      <c r="O79" s="2311"/>
      <c r="P79" s="2311"/>
      <c r="Q79" s="2311"/>
      <c r="R79" s="2311"/>
      <c r="S79" s="2311"/>
      <c r="T79" s="2311"/>
      <c r="U79" s="2311"/>
      <c r="V79" s="2311"/>
      <c r="W79" s="2311"/>
      <c r="X79" s="2311"/>
      <c r="Y79" s="2311"/>
      <c r="Z79" s="2311"/>
      <c r="AA79" s="2311"/>
      <c r="AB79" s="2311"/>
      <c r="AC79" s="2311"/>
      <c r="AD79" s="2311"/>
      <c r="AE79" s="2311"/>
      <c r="AF79" s="2311"/>
      <c r="AG79" s="2311"/>
      <c r="AH79" s="2311"/>
      <c r="AI79" s="2311"/>
      <c r="AJ79" s="231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291" t="s">
        <v>822</v>
      </c>
      <c r="C81" s="2291"/>
      <c r="D81" s="446" t="s">
        <v>2160</v>
      </c>
      <c r="E81" s="2298" t="s">
        <v>2161</v>
      </c>
      <c r="F81" s="2299"/>
      <c r="G81" s="2299"/>
      <c r="H81" s="2299"/>
      <c r="I81" s="2299"/>
      <c r="J81" s="2299"/>
      <c r="K81" s="2299"/>
      <c r="L81" s="2299"/>
      <c r="M81" s="2299"/>
      <c r="N81" s="2299"/>
      <c r="O81" s="2299"/>
      <c r="P81" s="2299"/>
      <c r="Q81" s="2299"/>
      <c r="R81" s="2299"/>
      <c r="S81" s="2299"/>
      <c r="T81" s="2299"/>
      <c r="U81" s="2299"/>
      <c r="V81" s="2299"/>
      <c r="W81" s="2299"/>
      <c r="X81" s="2299"/>
      <c r="Y81" s="2299"/>
      <c r="Z81" s="2299"/>
      <c r="AA81" s="2299"/>
      <c r="AB81" s="2299"/>
      <c r="AC81" s="2299"/>
      <c r="AD81" s="2299"/>
      <c r="AE81" s="2299"/>
      <c r="AF81" s="2299"/>
      <c r="AG81" s="2299"/>
      <c r="AH81" s="2299"/>
      <c r="AI81" s="2299"/>
      <c r="AJ81" s="230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2162</v>
      </c>
      <c r="AK83" s="2330">
        <f>IF(AK61&gt;0,0,AO71)</f>
        <v>10</v>
      </c>
      <c r="AL83" s="2331"/>
      <c r="AM83" s="233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2163</v>
      </c>
      <c r="B86" s="439" t="s">
        <v>2164</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19" t="s">
        <v>2123</v>
      </c>
      <c r="AF86" s="2319"/>
      <c r="AG86" s="2319"/>
      <c r="AH86" s="2319"/>
      <c r="AI86" s="2319"/>
      <c r="AJ86" s="2319"/>
      <c r="AK86" s="2319"/>
      <c r="AL86" s="440"/>
      <c r="AM86" s="440"/>
      <c r="AN86" s="435"/>
    </row>
    <row r="87" spans="1:43" s="436" customFormat="1" ht="12.75" customHeight="1">
      <c r="A87" s="438"/>
      <c r="B87" s="439" t="s">
        <v>2165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291" t="s">
        <v>857</v>
      </c>
      <c r="C89" s="2291"/>
      <c r="D89" s="446" t="s">
        <v>2150</v>
      </c>
      <c r="E89" s="2301" t="s">
        <v>2166</v>
      </c>
      <c r="F89" s="2302"/>
      <c r="G89" s="2302"/>
      <c r="H89" s="2302"/>
      <c r="I89" s="2302"/>
      <c r="J89" s="2302"/>
      <c r="K89" s="2302"/>
      <c r="L89" s="2302"/>
      <c r="M89" s="2302"/>
      <c r="N89" s="2302"/>
      <c r="O89" s="2302"/>
      <c r="P89" s="2302"/>
      <c r="Q89" s="2302"/>
      <c r="R89" s="2302"/>
      <c r="S89" s="2302"/>
      <c r="T89" s="2302"/>
      <c r="U89" s="2302"/>
      <c r="V89" s="2302"/>
      <c r="W89" s="2302"/>
      <c r="X89" s="2302"/>
      <c r="Y89" s="2302"/>
      <c r="Z89" s="2302"/>
      <c r="AA89" s="2302"/>
      <c r="AB89" s="2302"/>
      <c r="AC89" s="2302"/>
      <c r="AD89" s="2302"/>
      <c r="AE89" s="2302"/>
      <c r="AF89" s="2302"/>
      <c r="AG89" s="2302"/>
      <c r="AH89" s="2302"/>
      <c r="AI89" s="2302"/>
      <c r="AJ89" s="2303"/>
      <c r="AK89" s="443"/>
      <c r="AL89" s="440"/>
      <c r="AM89" s="440"/>
      <c r="AN89" s="435"/>
    </row>
    <row r="90" spans="1:43" s="436" customFormat="1" ht="12.75" customHeight="1">
      <c r="A90" s="438"/>
      <c r="B90" s="439"/>
      <c r="C90" s="439"/>
      <c r="D90" s="439"/>
      <c r="E90" s="2320"/>
      <c r="F90" s="2321"/>
      <c r="G90" s="2321"/>
      <c r="H90" s="2321"/>
      <c r="I90" s="2321"/>
      <c r="J90" s="2321"/>
      <c r="K90" s="2321"/>
      <c r="L90" s="2321"/>
      <c r="M90" s="2321"/>
      <c r="N90" s="2321"/>
      <c r="O90" s="2321"/>
      <c r="P90" s="2321"/>
      <c r="Q90" s="2321"/>
      <c r="R90" s="2321"/>
      <c r="S90" s="2321"/>
      <c r="T90" s="2321"/>
      <c r="U90" s="2321"/>
      <c r="V90" s="2321"/>
      <c r="W90" s="2321"/>
      <c r="X90" s="2321"/>
      <c r="Y90" s="2321"/>
      <c r="Z90" s="2321"/>
      <c r="AA90" s="2321"/>
      <c r="AB90" s="2321"/>
      <c r="AC90" s="2321"/>
      <c r="AD90" s="2321"/>
      <c r="AE90" s="2321"/>
      <c r="AF90" s="2321"/>
      <c r="AG90" s="2321"/>
      <c r="AH90" s="2321"/>
      <c r="AI90" s="2321"/>
      <c r="AJ90" s="2322"/>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13">
        <f>Application!AC761</f>
        <v>0.49999999999999994</v>
      </c>
      <c r="F92" s="2314"/>
      <c r="G92" s="2314"/>
      <c r="H92" s="2314"/>
      <c r="I92" s="475"/>
      <c r="J92" s="478" t="s">
        <v>2167</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15">
        <f>0.6-ROUNDUP(E92,2)</f>
        <v>9.9999999999999978E-2</v>
      </c>
      <c r="F93" s="2316"/>
      <c r="G93" s="2316"/>
      <c r="H93" s="2316"/>
      <c r="I93" s="475"/>
      <c r="J93" s="478" t="s">
        <v>2168</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42">
        <f>IF(E93*200&gt;20,20,E93*200)</f>
        <v>19.999999999999996</v>
      </c>
      <c r="F94" s="2343"/>
      <c r="G94" s="2343"/>
      <c r="H94" s="2343"/>
      <c r="I94" s="475"/>
      <c r="J94" s="478" t="s">
        <v>2169</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19.999999999999996</v>
      </c>
      <c r="AQ94" s="436" t="s">
        <v>2129</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291" t="s">
        <v>857</v>
      </c>
      <c r="C97" s="2291"/>
      <c r="D97" s="446" t="s">
        <v>2153</v>
      </c>
      <c r="E97" s="2301" t="s">
        <v>2170</v>
      </c>
      <c r="F97" s="2302"/>
      <c r="G97" s="2302"/>
      <c r="H97" s="2302"/>
      <c r="I97" s="2302"/>
      <c r="J97" s="2302"/>
      <c r="K97" s="2302"/>
      <c r="L97" s="2302"/>
      <c r="M97" s="2302"/>
      <c r="N97" s="2302"/>
      <c r="O97" s="2302"/>
      <c r="P97" s="2302"/>
      <c r="Q97" s="2302"/>
      <c r="R97" s="2302"/>
      <c r="S97" s="2302"/>
      <c r="T97" s="2302"/>
      <c r="U97" s="2302"/>
      <c r="V97" s="2302"/>
      <c r="W97" s="2302"/>
      <c r="X97" s="2302"/>
      <c r="Y97" s="2302"/>
      <c r="Z97" s="2302"/>
      <c r="AA97" s="2302"/>
      <c r="AB97" s="2302"/>
      <c r="AC97" s="2302"/>
      <c r="AD97" s="2302"/>
      <c r="AE97" s="2302"/>
      <c r="AF97" s="2302"/>
      <c r="AG97" s="2302"/>
      <c r="AH97" s="2302"/>
      <c r="AI97" s="2302"/>
      <c r="AJ97" s="2303"/>
      <c r="AK97" s="443"/>
      <c r="AL97" s="440"/>
      <c r="AM97" s="440"/>
      <c r="AN97" s="435"/>
    </row>
    <row r="98" spans="1:47" s="436" customFormat="1" ht="12.75" customHeight="1">
      <c r="A98" s="438"/>
      <c r="B98" s="439"/>
      <c r="C98" s="439"/>
      <c r="D98" s="439"/>
      <c r="E98" s="2320"/>
      <c r="F98" s="2321"/>
      <c r="G98" s="2321"/>
      <c r="H98" s="2321"/>
      <c r="I98" s="2321"/>
      <c r="J98" s="2321"/>
      <c r="K98" s="2321"/>
      <c r="L98" s="2321"/>
      <c r="M98" s="2321"/>
      <c r="N98" s="2321"/>
      <c r="O98" s="2321"/>
      <c r="P98" s="2321"/>
      <c r="Q98" s="2321"/>
      <c r="R98" s="2321"/>
      <c r="S98" s="2321"/>
      <c r="T98" s="2321"/>
      <c r="U98" s="2321"/>
      <c r="V98" s="2321"/>
      <c r="W98" s="2321"/>
      <c r="X98" s="2321"/>
      <c r="Y98" s="2321"/>
      <c r="Z98" s="2321"/>
      <c r="AA98" s="2321"/>
      <c r="AB98" s="2321"/>
      <c r="AC98" s="2321"/>
      <c r="AD98" s="2321"/>
      <c r="AE98" s="2321"/>
      <c r="AF98" s="2321"/>
      <c r="AG98" s="2321"/>
      <c r="AH98" s="2321"/>
      <c r="AI98" s="2321"/>
      <c r="AJ98" s="2322"/>
      <c r="AK98" s="443"/>
      <c r="AL98" s="440"/>
      <c r="AM98" s="440"/>
      <c r="AN98" s="435"/>
    </row>
    <row r="99" spans="1:47" s="436" customFormat="1" ht="12.75" customHeight="1">
      <c r="A99" s="438"/>
      <c r="B99" s="439"/>
      <c r="C99" s="439"/>
      <c r="D99" s="439"/>
      <c r="E99" s="2320"/>
      <c r="F99" s="2321"/>
      <c r="G99" s="2321"/>
      <c r="H99" s="2321"/>
      <c r="I99" s="2321"/>
      <c r="J99" s="2321"/>
      <c r="K99" s="2321"/>
      <c r="L99" s="2321"/>
      <c r="M99" s="2321"/>
      <c r="N99" s="2321"/>
      <c r="O99" s="2321"/>
      <c r="P99" s="2321"/>
      <c r="Q99" s="2321"/>
      <c r="R99" s="2321"/>
      <c r="S99" s="2321"/>
      <c r="T99" s="2321"/>
      <c r="U99" s="2321"/>
      <c r="V99" s="2321"/>
      <c r="W99" s="2321"/>
      <c r="X99" s="2321"/>
      <c r="Y99" s="2321"/>
      <c r="Z99" s="2321"/>
      <c r="AA99" s="2321"/>
      <c r="AB99" s="2321"/>
      <c r="AC99" s="2321"/>
      <c r="AD99" s="2321"/>
      <c r="AE99" s="2321"/>
      <c r="AF99" s="2321"/>
      <c r="AG99" s="2321"/>
      <c r="AH99" s="2321"/>
      <c r="AI99" s="2321"/>
      <c r="AJ99" s="2322"/>
      <c r="AK99" s="443"/>
      <c r="AL99" s="440"/>
      <c r="AM99" s="440"/>
      <c r="AN99" s="435"/>
    </row>
    <row r="100" spans="1:47" s="436" customFormat="1" ht="12.75" customHeight="1">
      <c r="A100" s="438"/>
      <c r="B100" s="439"/>
      <c r="C100" s="439"/>
      <c r="D100" s="439"/>
      <c r="E100" s="2320"/>
      <c r="F100" s="2321"/>
      <c r="G100" s="2321"/>
      <c r="H100" s="2321"/>
      <c r="I100" s="2321"/>
      <c r="J100" s="2321"/>
      <c r="K100" s="2321"/>
      <c r="L100" s="2321"/>
      <c r="M100" s="2321"/>
      <c r="N100" s="2321"/>
      <c r="O100" s="2321"/>
      <c r="P100" s="2321"/>
      <c r="Q100" s="2321"/>
      <c r="R100" s="2321"/>
      <c r="S100" s="2321"/>
      <c r="T100" s="2321"/>
      <c r="U100" s="2321"/>
      <c r="V100" s="2321"/>
      <c r="W100" s="2321"/>
      <c r="X100" s="2321"/>
      <c r="Y100" s="2321"/>
      <c r="Z100" s="2321"/>
      <c r="AA100" s="2321"/>
      <c r="AB100" s="2321"/>
      <c r="AC100" s="2321"/>
      <c r="AD100" s="2321"/>
      <c r="AE100" s="2321"/>
      <c r="AF100" s="2321"/>
      <c r="AG100" s="2321"/>
      <c r="AH100" s="2321"/>
      <c r="AI100" s="2321"/>
      <c r="AJ100" s="2322"/>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13">
        <f>Application!AC761</f>
        <v>0.49999999999999994</v>
      </c>
      <c r="F102" s="2314"/>
      <c r="G102" s="2314"/>
      <c r="H102" s="2314"/>
      <c r="I102" s="475"/>
      <c r="J102" s="478" t="s">
        <v>2167</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13">
        <f ca="1">SUMIF(Application!AC726:AG760,0.2,Application!G726:J760)/Application!G761+SUMIF(Application!AC726:AG760,0.25,Application!G726:J760)/Application!G761+SUMIF(Application!AC726:AG760,0.3,Application!G726:J760)/Application!G761</f>
        <v>0.31325301204819278</v>
      </c>
      <c r="F103" s="2314"/>
      <c r="G103" s="2314"/>
      <c r="H103" s="2314"/>
      <c r="I103" s="475"/>
      <c r="J103" s="478" t="s">
        <v>2171</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13">
        <f ca="1">SUMIF(Application!AC726:AG760,0.35,Application!G726:J760)/Application!G761+SUMIF(Application!AC726:AG760,0.4,Application!G726:J760)/Application!G761+SUMIF(Application!AC726:AG760,0.45,Application!G726:J760)/Application!G761+SUMIF(Application!AC726:AG760,0.5,Application!G726:J760)/Application!G761</f>
        <v>0.30120481927710846</v>
      </c>
      <c r="F104" s="2314"/>
      <c r="G104" s="2314"/>
      <c r="H104" s="2314"/>
      <c r="I104" s="475"/>
      <c r="J104" s="478" t="s">
        <v>2172</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48">
        <f ca="1">IF(AND(E102&lt;=0.6,OR(AND(E103&gt;=0.1,E104&gt;=0.1),AND(E103&gt;0.1,(E103+E104)&gt;=0.2))),20,0)</f>
        <v>20</v>
      </c>
      <c r="F105" s="2349"/>
      <c r="G105" s="2349"/>
      <c r="H105" s="2349"/>
      <c r="I105" s="451"/>
      <c r="J105" s="485" t="s">
        <v>2169</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2129</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2173</v>
      </c>
      <c r="AK108" s="2330">
        <f ca="1">MAX(AP94,AP105)</f>
        <v>20</v>
      </c>
      <c r="AL108" s="2331"/>
      <c r="AM108" s="233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2174</v>
      </c>
      <c r="B111" s="439" t="s">
        <v>2175</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19" t="s">
        <v>2148</v>
      </c>
      <c r="AF111" s="2319"/>
      <c r="AG111" s="2319"/>
      <c r="AH111" s="2319"/>
      <c r="AI111" s="2319"/>
      <c r="AJ111" s="2319"/>
      <c r="AK111" s="2319"/>
      <c r="AL111" s="440"/>
      <c r="AM111" s="440"/>
      <c r="AN111" s="435"/>
      <c r="AO111" s="436" t="str">
        <f>Application!B726</f>
        <v>1 Bedroom</v>
      </c>
      <c r="AQ111" s="436">
        <f>Application!O726</f>
        <v>634</v>
      </c>
    </row>
    <row r="112" spans="1:47" s="436" customFormat="1" ht="12.75" customHeight="1">
      <c r="A112" s="440"/>
      <c r="B112" s="439" t="s">
        <v>2165</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754</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1117</v>
      </c>
    </row>
    <row r="114" spans="1:52" s="436" customFormat="1" ht="12.75" customHeight="1">
      <c r="A114" s="440"/>
      <c r="B114" s="2291" t="s">
        <v>857</v>
      </c>
      <c r="C114" s="2291"/>
      <c r="D114" s="446" t="s">
        <v>2150</v>
      </c>
      <c r="E114" s="2301" t="s">
        <v>2176</v>
      </c>
      <c r="F114" s="2302"/>
      <c r="G114" s="2302"/>
      <c r="H114" s="2302"/>
      <c r="I114" s="2302"/>
      <c r="J114" s="2302"/>
      <c r="K114" s="2302"/>
      <c r="L114" s="2302"/>
      <c r="M114" s="2302"/>
      <c r="N114" s="2302"/>
      <c r="O114" s="2302"/>
      <c r="P114" s="2302"/>
      <c r="Q114" s="2302"/>
      <c r="R114" s="2302"/>
      <c r="S114" s="2302"/>
      <c r="T114" s="2302"/>
      <c r="U114" s="2302"/>
      <c r="V114" s="2302"/>
      <c r="W114" s="2302"/>
      <c r="X114" s="2302"/>
      <c r="Y114" s="2302"/>
      <c r="Z114" s="2302"/>
      <c r="AA114" s="2302"/>
      <c r="AB114" s="2302"/>
      <c r="AC114" s="2302"/>
      <c r="AD114" s="2302"/>
      <c r="AE114" s="2302"/>
      <c r="AF114" s="2302"/>
      <c r="AG114" s="2302"/>
      <c r="AH114" s="2302"/>
      <c r="AI114" s="2302"/>
      <c r="AJ114" s="2303"/>
      <c r="AK114" s="440"/>
      <c r="AL114" s="440"/>
      <c r="AM114" s="440"/>
      <c r="AN114" s="435"/>
      <c r="AO114" s="436" t="str">
        <f>Application!B729</f>
        <v>2 Bedrooms</v>
      </c>
      <c r="AQ114" s="436">
        <f>Application!O729</f>
        <v>1333</v>
      </c>
      <c r="AU114" s="436" t="s">
        <v>2177</v>
      </c>
      <c r="AV114" s="493" t="s">
        <v>1674</v>
      </c>
      <c r="AW114" s="436" t="s">
        <v>2178</v>
      </c>
    </row>
    <row r="115" spans="1:52" s="436" customFormat="1" ht="12.75" customHeight="1">
      <c r="A115" s="440"/>
      <c r="B115" s="439"/>
      <c r="C115" s="439"/>
      <c r="D115" s="439"/>
      <c r="E115" s="2320"/>
      <c r="F115" s="2321"/>
      <c r="G115" s="2321"/>
      <c r="H115" s="2321"/>
      <c r="I115" s="2321"/>
      <c r="J115" s="2321"/>
      <c r="K115" s="2321"/>
      <c r="L115" s="2321"/>
      <c r="M115" s="2321"/>
      <c r="N115" s="2321"/>
      <c r="O115" s="2321"/>
      <c r="P115" s="2321"/>
      <c r="Q115" s="2321"/>
      <c r="R115" s="2321"/>
      <c r="S115" s="2321"/>
      <c r="T115" s="2321"/>
      <c r="U115" s="2321"/>
      <c r="V115" s="2321"/>
      <c r="W115" s="2321"/>
      <c r="X115" s="2321"/>
      <c r="Y115" s="2321"/>
      <c r="Z115" s="2321"/>
      <c r="AA115" s="2321"/>
      <c r="AB115" s="2321"/>
      <c r="AC115" s="2321"/>
      <c r="AD115" s="2321"/>
      <c r="AE115" s="2321"/>
      <c r="AF115" s="2321"/>
      <c r="AG115" s="2321"/>
      <c r="AH115" s="2321"/>
      <c r="AI115" s="2321"/>
      <c r="AJ115" s="2322"/>
      <c r="AK115" s="440"/>
      <c r="AL115" s="440"/>
      <c r="AM115" s="440"/>
      <c r="AN115" s="435"/>
      <c r="AO115" s="436" t="str">
        <f>Application!B730</f>
        <v>1 Bedroom</v>
      </c>
      <c r="AQ115" s="436">
        <f>Application!O730</f>
        <v>1358</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20"/>
      <c r="F116" s="2321"/>
      <c r="G116" s="2321"/>
      <c r="H116" s="2321"/>
      <c r="I116" s="2321"/>
      <c r="J116" s="2321"/>
      <c r="K116" s="2321"/>
      <c r="L116" s="2321"/>
      <c r="M116" s="2321"/>
      <c r="N116" s="2321"/>
      <c r="O116" s="2321"/>
      <c r="P116" s="2321"/>
      <c r="Q116" s="2321"/>
      <c r="R116" s="2321"/>
      <c r="S116" s="2321"/>
      <c r="T116" s="2321"/>
      <c r="U116" s="2321"/>
      <c r="V116" s="2321"/>
      <c r="W116" s="2321"/>
      <c r="X116" s="2321"/>
      <c r="Y116" s="2321"/>
      <c r="Z116" s="2321"/>
      <c r="AA116" s="2321"/>
      <c r="AB116" s="2321"/>
      <c r="AC116" s="2321"/>
      <c r="AD116" s="2321"/>
      <c r="AE116" s="2321"/>
      <c r="AF116" s="2321"/>
      <c r="AG116" s="2321"/>
      <c r="AH116" s="2321"/>
      <c r="AI116" s="2321"/>
      <c r="AJ116" s="2322"/>
      <c r="AK116" s="440"/>
      <c r="AL116" s="440"/>
      <c r="AM116" s="440"/>
      <c r="AN116" s="435"/>
      <c r="AO116" s="436" t="str">
        <f>Application!B731</f>
        <v>2 Bedrooms</v>
      </c>
      <c r="AQ116" s="436">
        <f>Application!O731</f>
        <v>1623</v>
      </c>
      <c r="AU116" s="752" t="str">
        <f>J123</f>
        <v>1-bedroom</v>
      </c>
      <c r="AV116" s="436">
        <f t="array" ref="AV116">SUM(IF(Application!B726:F760="1 Bedroom",Application!G726:J760))</f>
        <v>70</v>
      </c>
      <c r="AW116" s="900">
        <f>AV116/AV121</f>
        <v>0.84337349397590367</v>
      </c>
    </row>
    <row r="117" spans="1:52" s="436" customFormat="1" ht="12.75" customHeight="1">
      <c r="A117" s="440"/>
      <c r="B117" s="439"/>
      <c r="C117" s="439"/>
      <c r="D117" s="439"/>
      <c r="E117" s="2320"/>
      <c r="F117" s="2321"/>
      <c r="G117" s="2321"/>
      <c r="H117" s="2321"/>
      <c r="I117" s="2321"/>
      <c r="J117" s="2321"/>
      <c r="K117" s="2321"/>
      <c r="L117" s="2321"/>
      <c r="M117" s="2321"/>
      <c r="N117" s="2321"/>
      <c r="O117" s="2321"/>
      <c r="P117" s="2321"/>
      <c r="Q117" s="2321"/>
      <c r="R117" s="2321"/>
      <c r="S117" s="2321"/>
      <c r="T117" s="2321"/>
      <c r="U117" s="2321"/>
      <c r="V117" s="2321"/>
      <c r="W117" s="2321"/>
      <c r="X117" s="2321"/>
      <c r="Y117" s="2321"/>
      <c r="Z117" s="2321"/>
      <c r="AA117" s="2321"/>
      <c r="AB117" s="2321"/>
      <c r="AC117" s="2321"/>
      <c r="AD117" s="2321"/>
      <c r="AE117" s="2321"/>
      <c r="AF117" s="2321"/>
      <c r="AG117" s="2321"/>
      <c r="AH117" s="2321"/>
      <c r="AI117" s="2321"/>
      <c r="AJ117" s="2322"/>
      <c r="AK117" s="440"/>
      <c r="AL117" s="440"/>
      <c r="AM117" s="440"/>
      <c r="AN117" s="435"/>
      <c r="AO117" s="436" t="str">
        <f>Application!B732</f>
        <v>1 Bedroom</v>
      </c>
      <c r="AQ117" s="436">
        <f>Application!O732</f>
        <v>1671</v>
      </c>
      <c r="AU117" s="752" t="str">
        <f>O123</f>
        <v>2-bedroom</v>
      </c>
      <c r="AV117" s="436">
        <f t="array" ref="AV117">SUM(IF(Application!B726:F760="2 Bedrooms",Application!G726:J760))</f>
        <v>13</v>
      </c>
      <c r="AW117" s="900">
        <f>AV117/AV121</f>
        <v>0.15662650602409639</v>
      </c>
    </row>
    <row r="118" spans="1:52" s="436" customFormat="1" ht="12.75" customHeight="1">
      <c r="A118" s="440"/>
      <c r="B118" s="439"/>
      <c r="C118" s="439"/>
      <c r="D118" s="439"/>
      <c r="E118" s="2320"/>
      <c r="F118" s="2321"/>
      <c r="G118" s="2321"/>
      <c r="H118" s="2321"/>
      <c r="I118" s="2321"/>
      <c r="J118" s="2321"/>
      <c r="K118" s="2321"/>
      <c r="L118" s="2321"/>
      <c r="M118" s="2321"/>
      <c r="N118" s="2321"/>
      <c r="O118" s="2321"/>
      <c r="P118" s="2321"/>
      <c r="Q118" s="2321"/>
      <c r="R118" s="2321"/>
      <c r="S118" s="2321"/>
      <c r="T118" s="2321"/>
      <c r="U118" s="2321"/>
      <c r="V118" s="2321"/>
      <c r="W118" s="2321"/>
      <c r="X118" s="2321"/>
      <c r="Y118" s="2321"/>
      <c r="Z118" s="2321"/>
      <c r="AA118" s="2321"/>
      <c r="AB118" s="2321"/>
      <c r="AC118" s="2321"/>
      <c r="AD118" s="2321"/>
      <c r="AE118" s="2321"/>
      <c r="AF118" s="2321"/>
      <c r="AG118" s="2321"/>
      <c r="AH118" s="2321"/>
      <c r="AI118" s="2321"/>
      <c r="AJ118" s="2322"/>
      <c r="AK118" s="440"/>
      <c r="AL118" s="440"/>
      <c r="AM118" s="440"/>
      <c r="AN118" s="435"/>
      <c r="AO118" s="436" t="str">
        <f>Application!B733</f>
        <v>2 Bedrooms</v>
      </c>
      <c r="AQ118" s="436">
        <f>Application!O733</f>
        <v>2202</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320"/>
      <c r="F119" s="2321"/>
      <c r="G119" s="2321"/>
      <c r="H119" s="2321"/>
      <c r="I119" s="2321"/>
      <c r="J119" s="2321"/>
      <c r="K119" s="2321"/>
      <c r="L119" s="2321"/>
      <c r="M119" s="2321"/>
      <c r="N119" s="2321"/>
      <c r="O119" s="2321"/>
      <c r="P119" s="2321"/>
      <c r="Q119" s="2321"/>
      <c r="R119" s="2321"/>
      <c r="S119" s="2321"/>
      <c r="T119" s="2321"/>
      <c r="U119" s="2321"/>
      <c r="V119" s="2321"/>
      <c r="W119" s="2321"/>
      <c r="X119" s="2321"/>
      <c r="Y119" s="2321"/>
      <c r="Z119" s="2321"/>
      <c r="AA119" s="2321"/>
      <c r="AB119" s="2321"/>
      <c r="AC119" s="2321"/>
      <c r="AD119" s="2321"/>
      <c r="AE119" s="2321"/>
      <c r="AF119" s="2321"/>
      <c r="AG119" s="2321"/>
      <c r="AH119" s="2321"/>
      <c r="AI119" s="2321"/>
      <c r="AJ119" s="2322"/>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20"/>
      <c r="F120" s="2321"/>
      <c r="G120" s="2321"/>
      <c r="H120" s="2321"/>
      <c r="I120" s="2321"/>
      <c r="J120" s="2321"/>
      <c r="K120" s="2321"/>
      <c r="L120" s="2321"/>
      <c r="M120" s="2321"/>
      <c r="N120" s="2321"/>
      <c r="O120" s="2321"/>
      <c r="P120" s="2321"/>
      <c r="Q120" s="2321"/>
      <c r="R120" s="2321"/>
      <c r="S120" s="2321"/>
      <c r="T120" s="2321"/>
      <c r="U120" s="2321"/>
      <c r="V120" s="2321"/>
      <c r="W120" s="2321"/>
      <c r="X120" s="2321"/>
      <c r="Y120" s="2321"/>
      <c r="Z120" s="2321"/>
      <c r="AA120" s="2321"/>
      <c r="AB120" s="2321"/>
      <c r="AC120" s="2321"/>
      <c r="AD120" s="2321"/>
      <c r="AE120" s="2321"/>
      <c r="AF120" s="2321"/>
      <c r="AG120" s="2321"/>
      <c r="AH120" s="2321"/>
      <c r="AI120" s="2321"/>
      <c r="AJ120" s="2322"/>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20"/>
      <c r="F121" s="2321"/>
      <c r="G121" s="2321"/>
      <c r="H121" s="2321"/>
      <c r="I121" s="2321"/>
      <c r="J121" s="2321"/>
      <c r="K121" s="2321"/>
      <c r="L121" s="2321"/>
      <c r="M121" s="2321"/>
      <c r="N121" s="2321"/>
      <c r="O121" s="2321"/>
      <c r="P121" s="2321"/>
      <c r="Q121" s="2321"/>
      <c r="R121" s="2321"/>
      <c r="S121" s="2321"/>
      <c r="T121" s="2321"/>
      <c r="U121" s="2321"/>
      <c r="V121" s="2321"/>
      <c r="W121" s="2321"/>
      <c r="X121" s="2321"/>
      <c r="Y121" s="2321"/>
      <c r="Z121" s="2321"/>
      <c r="AA121" s="2321"/>
      <c r="AB121" s="2321"/>
      <c r="AC121" s="2321"/>
      <c r="AD121" s="2321"/>
      <c r="AE121" s="2321"/>
      <c r="AF121" s="2321"/>
      <c r="AG121" s="2321"/>
      <c r="AH121" s="2321"/>
      <c r="AI121" s="2321"/>
      <c r="AJ121" s="2322"/>
      <c r="AK121" s="440"/>
      <c r="AL121" s="440"/>
      <c r="AM121" s="440"/>
      <c r="AN121" s="435"/>
      <c r="AO121" s="436">
        <f>Application!B736</f>
        <v>0</v>
      </c>
      <c r="AQ121" s="436">
        <f>Application!O736</f>
        <v>0</v>
      </c>
      <c r="AV121" s="436">
        <f>SUM(AV115:AV120)</f>
        <v>83</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13" t="s">
        <v>2179</v>
      </c>
      <c r="F123" s="2314"/>
      <c r="G123" s="2314"/>
      <c r="H123" s="2314"/>
      <c r="I123" s="475"/>
      <c r="J123" s="2314" t="s">
        <v>2180</v>
      </c>
      <c r="K123" s="2314"/>
      <c r="L123" s="2314"/>
      <c r="M123" s="2314"/>
      <c r="N123" s="475"/>
      <c r="O123" s="2314" t="s">
        <v>2181</v>
      </c>
      <c r="P123" s="2314"/>
      <c r="Q123" s="2314"/>
      <c r="R123" s="2314"/>
      <c r="S123" s="475"/>
      <c r="T123" s="2314" t="s">
        <v>2182</v>
      </c>
      <c r="U123" s="2314"/>
      <c r="V123" s="2314"/>
      <c r="W123" s="2314"/>
      <c r="X123" s="475"/>
      <c r="Y123" s="2314" t="s">
        <v>2183</v>
      </c>
      <c r="Z123" s="2314"/>
      <c r="AA123" s="2314"/>
      <c r="AB123" s="2314"/>
      <c r="AC123" s="475"/>
      <c r="AD123" s="2314" t="s">
        <v>2184</v>
      </c>
      <c r="AE123" s="2314"/>
      <c r="AF123" s="2314"/>
      <c r="AG123" s="2314"/>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2185</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50"/>
      <c r="F126" s="2351"/>
      <c r="G126" s="2351"/>
      <c r="H126" s="2351"/>
      <c r="I126" s="759"/>
      <c r="J126" s="2351">
        <v>2477</v>
      </c>
      <c r="K126" s="2351"/>
      <c r="L126" s="2351"/>
      <c r="M126" s="2351"/>
      <c r="N126" s="759"/>
      <c r="O126" s="2351">
        <v>2931</v>
      </c>
      <c r="P126" s="2351"/>
      <c r="Q126" s="2351"/>
      <c r="R126" s="2351"/>
      <c r="S126" s="759"/>
      <c r="T126" s="2351"/>
      <c r="U126" s="2351"/>
      <c r="V126" s="2351"/>
      <c r="W126" s="2351"/>
      <c r="X126" s="759"/>
      <c r="Y126" s="2351"/>
      <c r="Z126" s="2351"/>
      <c r="AA126" s="2351"/>
      <c r="AB126" s="2351"/>
      <c r="AC126" s="759"/>
      <c r="AD126" s="2351"/>
      <c r="AE126" s="2351"/>
      <c r="AF126" s="2351"/>
      <c r="AG126" s="2351"/>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2186</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24">
        <f>Application!DX678</f>
        <v>0</v>
      </c>
      <c r="F129" s="2325"/>
      <c r="G129" s="2325"/>
      <c r="H129" s="2325"/>
      <c r="I129" s="759"/>
      <c r="J129" s="2325">
        <f>Application!EC678</f>
        <v>1083.5857142857142</v>
      </c>
      <c r="K129" s="2325"/>
      <c r="L129" s="2325"/>
      <c r="M129" s="2325"/>
      <c r="N129" s="759"/>
      <c r="O129" s="2325">
        <f>Application!EH678</f>
        <v>1422.3076923076924</v>
      </c>
      <c r="P129" s="2325"/>
      <c r="Q129" s="2325"/>
      <c r="R129" s="2325"/>
      <c r="S129" s="763"/>
      <c r="T129" s="2325">
        <f>Application!EM678</f>
        <v>0</v>
      </c>
      <c r="U129" s="2325"/>
      <c r="V129" s="2325"/>
      <c r="W129" s="2325"/>
      <c r="X129" s="763"/>
      <c r="Y129" s="2325">
        <f>Application!ER678</f>
        <v>0</v>
      </c>
      <c r="Z129" s="2325"/>
      <c r="AA129" s="2325"/>
      <c r="AB129" s="2325"/>
      <c r="AC129" s="763"/>
      <c r="AD129" s="2325">
        <f>Application!EW678</f>
        <v>0</v>
      </c>
      <c r="AE129" s="2325"/>
      <c r="AF129" s="2325"/>
      <c r="AG129" s="232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2187</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22" t="e">
        <f>(E126-E129)/E126</f>
        <v>#DIV/0!</v>
      </c>
      <c r="F132" s="2316"/>
      <c r="G132" s="2316"/>
      <c r="H132" s="2523"/>
      <c r="I132" s="475"/>
      <c r="J132" s="2522">
        <f>(J126-J129)/J126</f>
        <v>0.56254109233519811</v>
      </c>
      <c r="K132" s="2316"/>
      <c r="L132" s="2316"/>
      <c r="M132" s="2523"/>
      <c r="N132" s="475"/>
      <c r="O132" s="2522">
        <f>(O126-O129)/O126</f>
        <v>0.51473637246411041</v>
      </c>
      <c r="P132" s="2316"/>
      <c r="Q132" s="2316"/>
      <c r="R132" s="2523"/>
      <c r="S132" s="475"/>
      <c r="T132" s="2522" t="e">
        <f>(T126-T129)/T126</f>
        <v>#DIV/0!</v>
      </c>
      <c r="U132" s="2316"/>
      <c r="V132" s="2316"/>
      <c r="W132" s="2523"/>
      <c r="X132" s="475"/>
      <c r="Y132" s="2522" t="e">
        <f>(Y126-Y129)/Y126</f>
        <v>#DIV/0!</v>
      </c>
      <c r="Z132" s="2316"/>
      <c r="AA132" s="2316"/>
      <c r="AB132" s="2523"/>
      <c r="AC132" s="475"/>
      <c r="AD132" s="2522" t="e">
        <f>(AD126-AD129)/AD126</f>
        <v>#DIV/0!</v>
      </c>
      <c r="AE132" s="2316"/>
      <c r="AF132" s="2316"/>
      <c r="AG132" s="2523"/>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2188</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39" t="e">
        <f>IF(((E132-0.1)*AW115)&gt;0,((E132-0.1)*AW115),0)</f>
        <v>#DIV/0!</v>
      </c>
      <c r="F135" s="2340"/>
      <c r="G135" s="2340"/>
      <c r="H135" s="2341"/>
      <c r="I135" s="475"/>
      <c r="J135" s="2339">
        <f>IF(((J132-0.1)*AW116)&gt;0,((J132-0.1)*AW116),0)</f>
        <v>0.3900948971501671</v>
      </c>
      <c r="K135" s="2340"/>
      <c r="L135" s="2340"/>
      <c r="M135" s="2341"/>
      <c r="N135" s="475"/>
      <c r="O135" s="2339">
        <f>IF(((O132-0.1)*AW117)&gt;0,((O132-0.1)*AW117),0)</f>
        <v>6.4958708940161883E-2</v>
      </c>
      <c r="P135" s="2340"/>
      <c r="Q135" s="2340"/>
      <c r="R135" s="2341"/>
      <c r="S135" s="475"/>
      <c r="T135" s="2339" t="e">
        <f>IF(((T132-0.1)*AW118)&gt;0,((T132-0.1)*AW118),0)</f>
        <v>#DIV/0!</v>
      </c>
      <c r="U135" s="2340"/>
      <c r="V135" s="2340"/>
      <c r="W135" s="2341"/>
      <c r="X135" s="475"/>
      <c r="Y135" s="2339" t="e">
        <f>IF(((Y132-0.1)*AW119)&gt;0,((Y132-0.1)*AW119),0)</f>
        <v>#DIV/0!</v>
      </c>
      <c r="Z135" s="2340"/>
      <c r="AA135" s="2340"/>
      <c r="AB135" s="2341"/>
      <c r="AC135" s="475"/>
      <c r="AD135" s="2339" t="e">
        <f>IF(((AD132-0.1)*AW120)&gt;0,((AD132-0.1)*AW120),0)</f>
        <v>#DIV/0!</v>
      </c>
      <c r="AE135" s="2340"/>
      <c r="AF135" s="2340"/>
      <c r="AG135" s="234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22">
        <f>ROUNDDOWN(SUMIF(E135:AG135,"&gt;0"),2)</f>
        <v>0.45</v>
      </c>
      <c r="F137" s="2316"/>
      <c r="G137" s="2316"/>
      <c r="H137" s="2523"/>
      <c r="I137" s="475"/>
      <c r="J137" s="478" t="s">
        <v>2189</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30">
        <f>IF((E137*100)&gt;10,10,E137*100)</f>
        <v>10</v>
      </c>
      <c r="F138" s="2331"/>
      <c r="G138" s="2331"/>
      <c r="H138" s="2332"/>
      <c r="I138" s="475"/>
      <c r="J138" s="478" t="s">
        <v>2169</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2190</v>
      </c>
      <c r="AK142" s="2330">
        <f>E138</f>
        <v>10</v>
      </c>
      <c r="AL142" s="2331"/>
      <c r="AM142" s="233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2191</v>
      </c>
      <c r="AE145" s="2319" t="s">
        <v>2148</v>
      </c>
      <c r="AF145" s="2319"/>
      <c r="AG145" s="2319"/>
      <c r="AH145" s="2319"/>
      <c r="AI145" s="2319"/>
      <c r="AJ145" s="2319"/>
      <c r="AK145" s="2319"/>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2192</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52" t="s">
        <v>2193</v>
      </c>
      <c r="AG147" s="2352"/>
      <c r="AH147" s="2352"/>
      <c r="AI147" s="2352"/>
      <c r="AJ147" s="2352"/>
      <c r="AK147" s="2352"/>
      <c r="AL147" s="2352"/>
      <c r="AM147" s="439"/>
      <c r="AN147" s="435"/>
    </row>
    <row r="148" spans="1:42" s="436" customFormat="1" ht="12.75" customHeight="1">
      <c r="A148" s="438"/>
      <c r="B148" s="438" t="s">
        <v>1096</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62" t="s">
        <v>2194</v>
      </c>
      <c r="C149" s="2362"/>
      <c r="D149" s="2362"/>
      <c r="E149" s="2362"/>
      <c r="F149" s="2362"/>
      <c r="G149" s="2362"/>
      <c r="H149" s="2362"/>
      <c r="I149" s="2362"/>
      <c r="J149" s="2362"/>
      <c r="K149" s="2362"/>
      <c r="L149" s="2362"/>
      <c r="M149" s="2362"/>
      <c r="N149" s="2362"/>
      <c r="O149" s="2362"/>
      <c r="P149" s="2362"/>
      <c r="Q149" s="2362"/>
      <c r="R149" s="2362"/>
      <c r="S149" s="2362"/>
      <c r="T149" s="2362"/>
      <c r="U149" s="2362"/>
      <c r="V149" s="2362"/>
      <c r="W149" s="2362"/>
      <c r="X149" s="2362"/>
      <c r="Y149" s="2362"/>
      <c r="Z149" s="2362"/>
      <c r="AA149" s="2362"/>
      <c r="AB149" s="2362"/>
      <c r="AC149" s="2362"/>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2195</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2196</v>
      </c>
      <c r="AP151" s="390">
        <v>5</v>
      </c>
    </row>
    <row r="152" spans="1:42" s="436" customFormat="1" ht="12.75" customHeight="1">
      <c r="A152" s="438"/>
      <c r="B152" s="2363" t="s">
        <v>2197</v>
      </c>
      <c r="C152" s="2363"/>
      <c r="D152" s="2363"/>
      <c r="E152" s="2363"/>
      <c r="F152" s="2363"/>
      <c r="G152" s="2363"/>
      <c r="H152" s="2363"/>
      <c r="I152" s="2363"/>
      <c r="J152" s="2363"/>
      <c r="K152" s="2363"/>
      <c r="L152" s="2363"/>
      <c r="M152" s="2363"/>
      <c r="N152" s="2363"/>
      <c r="O152" s="2363"/>
      <c r="P152" s="2363"/>
      <c r="Q152" s="2363"/>
      <c r="R152" s="2363"/>
      <c r="S152" s="2363"/>
      <c r="T152" s="2363"/>
      <c r="U152" s="2363"/>
      <c r="V152" s="2363"/>
      <c r="W152" s="2363"/>
      <c r="X152" s="2363"/>
      <c r="Y152" s="2363"/>
      <c r="Z152" s="2363"/>
      <c r="AA152" s="2363"/>
      <c r="AB152" s="2363"/>
      <c r="AC152" s="2363"/>
      <c r="AD152" s="2363"/>
      <c r="AE152" s="2363"/>
      <c r="AF152" s="2363"/>
      <c r="AG152" s="2363"/>
      <c r="AH152" s="2363"/>
      <c r="AI152" s="2363"/>
      <c r="AM152" s="439"/>
      <c r="AN152" s="435"/>
      <c r="AO152" s="377" t="s">
        <v>2197</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2198</v>
      </c>
      <c r="AP153" s="390">
        <v>7</v>
      </c>
    </row>
    <row r="154" spans="1:42" s="436" customFormat="1" ht="12.75" customHeight="1">
      <c r="A154" s="438"/>
      <c r="B154" s="439" t="s">
        <v>2199</v>
      </c>
      <c r="AB154" s="2364" t="s">
        <v>822</v>
      </c>
      <c r="AC154" s="236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2200</v>
      </c>
      <c r="AP155" s="390"/>
    </row>
    <row r="156" spans="1:42" s="436" customFormat="1" ht="12.75" customHeight="1">
      <c r="A156" s="438"/>
      <c r="B156" s="438" t="s">
        <v>2201</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2202</v>
      </c>
      <c r="AP156" s="390">
        <v>5</v>
      </c>
    </row>
    <row r="157" spans="1:42" s="436" customFormat="1" ht="12.75" customHeight="1">
      <c r="A157" s="438"/>
      <c r="B157" s="2363" t="s">
        <v>2200</v>
      </c>
      <c r="C157" s="2363"/>
      <c r="D157" s="2363"/>
      <c r="E157" s="2363"/>
      <c r="F157" s="2363"/>
      <c r="G157" s="2363"/>
      <c r="H157" s="2363"/>
      <c r="I157" s="2363"/>
      <c r="J157" s="2363"/>
      <c r="K157" s="2363"/>
      <c r="L157" s="2363"/>
      <c r="M157" s="2363"/>
      <c r="N157" s="2363"/>
      <c r="O157" s="2363"/>
      <c r="P157" s="2363"/>
      <c r="Q157" s="2363"/>
      <c r="R157" s="2363"/>
      <c r="S157" s="2363"/>
      <c r="T157" s="2363"/>
      <c r="U157" s="2363"/>
      <c r="V157" s="2363"/>
      <c r="W157" s="2363"/>
      <c r="X157" s="2363"/>
      <c r="Y157" s="2363"/>
      <c r="Z157" s="2363"/>
      <c r="AA157" s="2363"/>
      <c r="AB157" s="2363"/>
      <c r="AC157" s="2363"/>
      <c r="AD157" s="2363"/>
      <c r="AE157" s="2363"/>
      <c r="AF157" s="2363"/>
      <c r="AG157" s="2363"/>
      <c r="AH157" s="2363"/>
      <c r="AI157" s="2363"/>
      <c r="AJ157" s="2363"/>
      <c r="AN157" s="435"/>
      <c r="AO157" s="377" t="s">
        <v>2203</v>
      </c>
      <c r="AP157" s="390">
        <v>7</v>
      </c>
    </row>
    <row r="158" spans="1:42" s="436" customFormat="1" ht="12.75" customHeight="1">
      <c r="B158" s="439" t="s">
        <v>2204</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27" t="s">
        <v>2205</v>
      </c>
      <c r="C160" s="2527"/>
      <c r="D160" s="2527"/>
      <c r="E160" s="2527"/>
      <c r="F160" s="2527"/>
      <c r="G160" s="2527"/>
      <c r="H160" s="2527"/>
      <c r="I160" s="2527"/>
      <c r="J160" s="2527"/>
      <c r="K160" s="2527"/>
      <c r="L160" s="2527"/>
      <c r="M160" s="2527"/>
      <c r="N160" s="2527"/>
      <c r="O160" s="2527"/>
      <c r="P160" s="2527"/>
      <c r="Q160" s="2527"/>
      <c r="R160" s="2527"/>
      <c r="S160" s="2527"/>
      <c r="T160" s="2527"/>
      <c r="U160" s="2527"/>
      <c r="V160" s="2527"/>
      <c r="W160" s="2527"/>
      <c r="X160" s="2527"/>
      <c r="Y160" s="2527"/>
      <c r="Z160" s="2527"/>
      <c r="AA160" s="2527"/>
      <c r="AB160" s="2527"/>
      <c r="AC160" s="2527"/>
      <c r="AD160" s="2527"/>
      <c r="AE160" s="2527"/>
      <c r="AF160" s="2527"/>
      <c r="AG160" s="2527"/>
      <c r="AH160" s="2527"/>
      <c r="AI160" s="2527"/>
      <c r="AJ160" s="2527"/>
      <c r="AK160" s="1062"/>
      <c r="AM160" s="439"/>
      <c r="AN160" s="435"/>
      <c r="AO160" s="377"/>
      <c r="AP160" s="390"/>
    </row>
    <row r="161" spans="1:42" s="436" customFormat="1" ht="12.75" customHeight="1">
      <c r="B161" s="2527"/>
      <c r="C161" s="2527"/>
      <c r="D161" s="2527"/>
      <c r="E161" s="2527"/>
      <c r="F161" s="2527"/>
      <c r="G161" s="2527"/>
      <c r="H161" s="2527"/>
      <c r="I161" s="2527"/>
      <c r="J161" s="2527"/>
      <c r="K161" s="2527"/>
      <c r="L161" s="2527"/>
      <c r="M161" s="2527"/>
      <c r="N161" s="2527"/>
      <c r="O161" s="2527"/>
      <c r="P161" s="2527"/>
      <c r="Q161" s="2527"/>
      <c r="R161" s="2527"/>
      <c r="S161" s="2527"/>
      <c r="T161" s="2527"/>
      <c r="U161" s="2527"/>
      <c r="V161" s="2527"/>
      <c r="W161" s="2527"/>
      <c r="X161" s="2527"/>
      <c r="Y161" s="2527"/>
      <c r="Z161" s="2527"/>
      <c r="AA161" s="2527"/>
      <c r="AB161" s="2527"/>
      <c r="AC161" s="2527"/>
      <c r="AD161" s="2527"/>
      <c r="AE161" s="2527"/>
      <c r="AF161" s="2527"/>
      <c r="AG161" s="2527"/>
      <c r="AH161" s="2527"/>
      <c r="AI161" s="2527"/>
      <c r="AJ161" s="2527"/>
      <c r="AK161" s="1062"/>
      <c r="AM161" s="439"/>
      <c r="AN161" s="435"/>
      <c r="AO161" s="377"/>
      <c r="AP161" s="390"/>
    </row>
    <row r="162" spans="1:42" s="436" customFormat="1" ht="12.75" customHeight="1">
      <c r="C162" s="2438" t="s">
        <v>2206</v>
      </c>
      <c r="D162" s="2438"/>
      <c r="E162" s="2438"/>
      <c r="F162" s="2438"/>
      <c r="G162" s="2438"/>
      <c r="H162" s="2438"/>
      <c r="I162" s="2438"/>
      <c r="J162" s="2438"/>
      <c r="K162" s="2438"/>
      <c r="L162" s="2438"/>
      <c r="M162" s="2438"/>
      <c r="N162" s="2438"/>
      <c r="O162" s="2438"/>
      <c r="P162" s="2438"/>
      <c r="Q162" s="2438"/>
      <c r="R162" s="2438"/>
      <c r="S162" s="2438"/>
      <c r="T162" s="2438"/>
      <c r="U162" s="2438"/>
      <c r="V162" s="2438"/>
      <c r="W162" s="2438"/>
      <c r="X162" s="2438"/>
      <c r="Y162" s="2438"/>
      <c r="Z162" s="2438"/>
      <c r="AA162" s="2438"/>
      <c r="AB162" s="2438"/>
      <c r="AC162" s="2438"/>
      <c r="AD162" s="2438"/>
      <c r="AE162" s="2438"/>
      <c r="AF162" s="2438"/>
      <c r="AG162" s="2438"/>
      <c r="AH162" s="2438"/>
      <c r="AI162" s="2438"/>
      <c r="AJ162" s="2438"/>
      <c r="AK162" s="1062"/>
      <c r="AM162" s="439"/>
      <c r="AN162" s="435"/>
      <c r="AO162" s="377"/>
      <c r="AP162" s="390"/>
    </row>
    <row r="163" spans="1:42" s="436" customFormat="1" ht="12.75" customHeight="1">
      <c r="B163" s="1062"/>
      <c r="C163" s="2361" t="s">
        <v>2207</v>
      </c>
      <c r="D163" s="2361"/>
      <c r="E163" s="2361"/>
      <c r="F163" s="2361"/>
      <c r="G163" s="2361"/>
      <c r="H163" s="2361"/>
      <c r="I163" s="2361"/>
      <c r="J163" s="2361"/>
      <c r="K163" s="2361"/>
      <c r="L163" s="2361"/>
      <c r="M163" s="2361"/>
      <c r="N163" s="2361"/>
      <c r="O163" s="2361"/>
      <c r="P163" s="2361"/>
      <c r="Q163" s="2361"/>
      <c r="R163" s="2361"/>
      <c r="S163" s="2361"/>
      <c r="T163" s="2361"/>
      <c r="U163" s="2361"/>
      <c r="V163" s="2361"/>
      <c r="W163" s="2361"/>
      <c r="X163" s="2361"/>
      <c r="Y163" s="2361"/>
      <c r="Z163" s="2361"/>
      <c r="AA163" s="1052"/>
      <c r="AB163" s="1052"/>
      <c r="AC163" s="1052"/>
      <c r="AD163" s="1052"/>
      <c r="AE163" s="1052"/>
      <c r="AF163" s="1052"/>
      <c r="AG163" s="1052"/>
      <c r="AH163" s="1052"/>
      <c r="AJ163" s="2364" t="s">
        <v>822</v>
      </c>
      <c r="AK163" s="236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2208</v>
      </c>
      <c r="AJ165" s="2367">
        <f>IF($AB$154="N/A",VLOOKUP($B$152,$AO$150:$AP$153,2,FALSE),VLOOKUP($B$157,$AO$155:$AP$157,2,FALSE))</f>
        <v>7</v>
      </c>
      <c r="AK165" s="236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2209</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52" t="s">
        <v>2210</v>
      </c>
      <c r="AG167" s="2352"/>
      <c r="AH167" s="2352"/>
      <c r="AI167" s="2352"/>
      <c r="AJ167" s="2352"/>
      <c r="AK167" s="2352"/>
      <c r="AL167" s="2352"/>
      <c r="AM167" s="501"/>
      <c r="AN167" s="496"/>
    </row>
    <row r="168" spans="1:42" s="449" customFormat="1" ht="12.75" customHeight="1">
      <c r="A168" s="436"/>
      <c r="B168" s="439" t="s">
        <v>2211</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63" t="s">
        <v>2212</v>
      </c>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2213</v>
      </c>
      <c r="AP170" s="497">
        <v>2</v>
      </c>
    </row>
    <row r="171" spans="1:42" s="449" customFormat="1" ht="12.75" customHeight="1">
      <c r="A171" s="436"/>
      <c r="B171" s="436"/>
      <c r="C171" s="439" t="s">
        <v>2214</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64" t="s">
        <v>822</v>
      </c>
      <c r="AG171" s="2364"/>
      <c r="AH171" s="436"/>
      <c r="AI171" s="436"/>
      <c r="AJ171" s="436"/>
      <c r="AK171" s="436"/>
      <c r="AL171" s="436"/>
      <c r="AM171" s="501"/>
      <c r="AN171" s="495"/>
      <c r="AO171" s="377" t="s">
        <v>2212</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2215</v>
      </c>
      <c r="AP172" s="497">
        <v>3</v>
      </c>
    </row>
    <row r="173" spans="1:42" s="449" customFormat="1" ht="12.75" customHeight="1">
      <c r="A173" s="436"/>
      <c r="B173" s="436"/>
      <c r="C173" s="2363" t="s">
        <v>2200</v>
      </c>
      <c r="D173" s="2363"/>
      <c r="E173" s="2363"/>
      <c r="F173" s="2363"/>
      <c r="G173" s="2363"/>
      <c r="H173" s="2363"/>
      <c r="I173" s="2363"/>
      <c r="J173" s="2363"/>
      <c r="K173" s="2363"/>
      <c r="L173" s="2363"/>
      <c r="M173" s="2363"/>
      <c r="N173" s="2363"/>
      <c r="O173" s="2363"/>
      <c r="P173" s="2363"/>
      <c r="Q173" s="2363"/>
      <c r="R173" s="2363"/>
      <c r="S173" s="2363"/>
      <c r="T173" s="2363"/>
      <c r="U173" s="2363"/>
      <c r="V173" s="2363"/>
      <c r="W173" s="2363"/>
      <c r="X173" s="2363"/>
      <c r="Y173" s="2363"/>
      <c r="Z173" s="2363"/>
      <c r="AA173" s="2363"/>
      <c r="AB173" s="2363"/>
      <c r="AC173" s="2363"/>
      <c r="AD173" s="2363"/>
      <c r="AE173" s="436"/>
      <c r="AF173" s="436"/>
      <c r="AG173" s="436"/>
      <c r="AH173" s="436"/>
      <c r="AI173" s="436"/>
      <c r="AJ173" s="436"/>
      <c r="AK173" s="436"/>
      <c r="AL173" s="436"/>
      <c r="AM173" s="501"/>
      <c r="AN173" s="495"/>
      <c r="AO173" s="500"/>
      <c r="AP173" s="497"/>
    </row>
    <row r="174" spans="1:42" s="449" customFormat="1" ht="12.75" customHeight="1">
      <c r="A174" s="436"/>
      <c r="B174" s="436"/>
      <c r="C174" s="439" t="s">
        <v>2204</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2216</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2200</v>
      </c>
      <c r="AP176" s="377"/>
    </row>
    <row r="177" spans="1:73" s="449" customFormat="1" ht="12.75" customHeight="1">
      <c r="A177" s="436"/>
      <c r="B177" s="436"/>
      <c r="C177" s="2365" t="str">
        <f>Application!AA344</f>
        <v>ConAm Management Group</v>
      </c>
      <c r="D177" s="2365"/>
      <c r="E177" s="2365"/>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D177" s="2365"/>
      <c r="AE177" s="436"/>
      <c r="AF177" s="436"/>
      <c r="AG177" s="436"/>
      <c r="AH177" s="436"/>
      <c r="AI177" s="436"/>
      <c r="AJ177" s="436"/>
      <c r="AK177" s="436"/>
      <c r="AL177" s="436"/>
      <c r="AM177" s="501"/>
      <c r="AN177" s="495"/>
      <c r="AO177" s="377" t="s">
        <v>2217</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2218</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2219</v>
      </c>
      <c r="AJ179" s="2366">
        <f>IF($AF$171="N/A",VLOOKUP($C$169,$AO$169:$AP$172,2,FALSE),VLOOKUP($C$173,$AO$176:$AP$178,2,FALSE))</f>
        <v>3</v>
      </c>
      <c r="AK179" s="236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2220</v>
      </c>
      <c r="AK182" s="2330">
        <f>$AJ$165+$AJ$179</f>
        <v>10</v>
      </c>
      <c r="AL182" s="2331"/>
      <c r="AM182" s="233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2221</v>
      </c>
      <c r="AQ184" s="510">
        <v>0</v>
      </c>
    </row>
    <row r="185" spans="1:73" s="449" customFormat="1" ht="12.75" customHeight="1">
      <c r="A185" s="438" t="s">
        <v>2222</v>
      </c>
      <c r="B185" s="438" t="s">
        <v>2223</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19" t="s">
        <v>2148</v>
      </c>
      <c r="AF185" s="2319"/>
      <c r="AG185" s="2319"/>
      <c r="AH185" s="2319"/>
      <c r="AI185" s="2319"/>
      <c r="AJ185" s="2319"/>
      <c r="AK185" s="2319"/>
      <c r="AL185" s="489"/>
      <c r="AN185" s="495"/>
      <c r="AP185" s="449" t="s">
        <v>948</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2224</v>
      </c>
      <c r="AQ186" s="449">
        <v>10</v>
      </c>
    </row>
    <row r="187" spans="1:73" s="449" customFormat="1" ht="12.75" customHeight="1">
      <c r="A187" s="436"/>
      <c r="B187" s="2360" t="s">
        <v>2225</v>
      </c>
      <c r="C187" s="2360"/>
      <c r="D187" s="2360"/>
      <c r="E187" s="2360"/>
      <c r="F187" s="2360"/>
      <c r="G187" s="2360"/>
      <c r="H187" s="2360"/>
      <c r="I187" s="2360"/>
      <c r="J187" s="2360"/>
      <c r="K187" s="2360"/>
      <c r="L187" s="2360"/>
      <c r="M187" s="2360"/>
      <c r="N187" s="2360"/>
      <c r="O187" s="2360"/>
      <c r="P187" s="2360"/>
      <c r="Q187" s="2360"/>
      <c r="R187" s="2360"/>
      <c r="S187" s="2360"/>
      <c r="T187" s="2360"/>
      <c r="U187" s="2360"/>
      <c r="V187" s="2360"/>
      <c r="W187" s="2360"/>
      <c r="X187" s="2360"/>
      <c r="Y187" s="2360"/>
      <c r="Z187" s="2360"/>
      <c r="AA187" s="2360"/>
      <c r="AB187" s="2360"/>
      <c r="AC187" s="2360"/>
      <c r="AD187" s="436"/>
      <c r="AE187" s="436"/>
      <c r="AF187" s="2352" t="s">
        <v>2226</v>
      </c>
      <c r="AG187" s="2352"/>
      <c r="AH187" s="2352"/>
      <c r="AI187" s="2352"/>
      <c r="AJ187" s="2352"/>
      <c r="AK187" s="2352"/>
      <c r="AL187" s="2352"/>
      <c r="AN187" s="495"/>
      <c r="AP187" s="449" t="s">
        <v>955</v>
      </c>
      <c r="AQ187" s="449">
        <v>10</v>
      </c>
    </row>
    <row r="188" spans="1:73" s="449" customFormat="1" ht="12.75" customHeight="1">
      <c r="A188" s="436"/>
      <c r="B188" s="2361" t="s">
        <v>2227</v>
      </c>
      <c r="C188" s="2361"/>
      <c r="D188" s="2361"/>
      <c r="E188" s="2361"/>
      <c r="F188" s="2361"/>
      <c r="G188" s="2361"/>
      <c r="H188" s="2361"/>
      <c r="I188" s="2361"/>
      <c r="J188" s="2361"/>
      <c r="K188" s="2361"/>
      <c r="L188" s="2361"/>
      <c r="M188" s="2361"/>
      <c r="N188" s="2361"/>
      <c r="O188" s="2361"/>
      <c r="P188" s="2361"/>
      <c r="Q188" s="2361"/>
      <c r="R188" s="2361"/>
      <c r="S188" s="2361"/>
      <c r="T188" s="2362" t="s">
        <v>822</v>
      </c>
      <c r="U188" s="2362"/>
      <c r="V188" s="2362"/>
      <c r="W188" s="2362"/>
      <c r="X188" s="2362"/>
      <c r="Y188" s="2362"/>
      <c r="Z188" s="2362"/>
      <c r="AA188" s="2362"/>
      <c r="AB188" s="2362"/>
      <c r="AC188" s="2362"/>
      <c r="AD188" s="436"/>
      <c r="AE188" s="436"/>
      <c r="AF188" s="436"/>
      <c r="AG188" s="436"/>
      <c r="AH188" s="436"/>
      <c r="AI188" s="436"/>
      <c r="AJ188" s="443"/>
      <c r="AK188" s="493"/>
      <c r="AL188" s="493"/>
      <c r="AM188" s="493"/>
      <c r="AN188" s="495"/>
      <c r="AP188" s="449" t="s">
        <v>956</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2225</v>
      </c>
      <c r="AQ189" s="449">
        <v>10</v>
      </c>
      <c r="AS189" s="449" t="s">
        <v>2228</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2229</v>
      </c>
      <c r="AK190" s="2377">
        <f>IF(AK83&gt;0,VLOOKUP($B$187,AP184:AQ190,2,FALSE),0)</f>
        <v>10</v>
      </c>
      <c r="AL190" s="2378"/>
      <c r="AM190" s="2379"/>
      <c r="AN190" s="435"/>
      <c r="AP190" s="449" t="s">
        <v>2230</v>
      </c>
      <c r="AQ190" s="449">
        <v>10</v>
      </c>
      <c r="AS190" s="449" t="s">
        <v>2231</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2232</v>
      </c>
      <c r="B193" s="438" t="s">
        <v>2233</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19" t="s">
        <v>2234</v>
      </c>
      <c r="AF193" s="2319"/>
      <c r="AG193" s="2319"/>
      <c r="AH193" s="2319"/>
      <c r="AI193" s="2319"/>
      <c r="AJ193" s="2319"/>
      <c r="AK193" s="231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2235</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2236</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54"/>
      <c r="C198" s="2354"/>
      <c r="D198" s="2354"/>
      <c r="E198" s="2354"/>
      <c r="F198" s="2354"/>
      <c r="G198" s="2354"/>
      <c r="H198" s="2354"/>
      <c r="I198" s="2354"/>
      <c r="J198" s="2354"/>
      <c r="K198" s="2354"/>
      <c r="L198" s="2354"/>
      <c r="M198" s="2354"/>
      <c r="N198" s="2354"/>
      <c r="O198" s="2354"/>
      <c r="P198" s="2354"/>
      <c r="Q198" s="2354"/>
      <c r="R198" s="2354"/>
      <c r="S198" s="2354"/>
      <c r="T198" s="2354"/>
      <c r="U198" s="2354"/>
      <c r="V198" s="2354"/>
      <c r="W198" s="2354"/>
      <c r="X198" s="2354"/>
      <c r="Y198" s="2354"/>
      <c r="Z198" s="2354"/>
      <c r="AA198" s="2354"/>
      <c r="AB198" s="2354"/>
      <c r="AC198" s="742"/>
      <c r="AD198" s="2355"/>
      <c r="AE198" s="2355"/>
      <c r="AF198" s="2355"/>
      <c r="AG198" s="2355"/>
      <c r="AH198" s="2355"/>
      <c r="AI198" s="2355"/>
      <c r="AJ198" s="2355"/>
      <c r="AK198" s="508"/>
    </row>
    <row r="199" spans="1:37" hidden="1">
      <c r="A199" s="503"/>
      <c r="B199" s="2354"/>
      <c r="C199" s="2354"/>
      <c r="D199" s="2354"/>
      <c r="E199" s="2354"/>
      <c r="F199" s="2354"/>
      <c r="G199" s="2354"/>
      <c r="H199" s="2354"/>
      <c r="I199" s="2354"/>
      <c r="J199" s="2354"/>
      <c r="K199" s="2354"/>
      <c r="L199" s="2354"/>
      <c r="M199" s="2354"/>
      <c r="N199" s="2354"/>
      <c r="O199" s="2354"/>
      <c r="P199" s="2354"/>
      <c r="Q199" s="2354"/>
      <c r="R199" s="2354"/>
      <c r="S199" s="2354"/>
      <c r="T199" s="2354"/>
      <c r="U199" s="2354"/>
      <c r="V199" s="2354"/>
      <c r="W199" s="2354"/>
      <c r="X199" s="2354"/>
      <c r="Y199" s="2354"/>
      <c r="Z199" s="2354"/>
      <c r="AA199" s="2354"/>
      <c r="AB199" s="2354"/>
      <c r="AC199" s="742"/>
      <c r="AD199" s="2355"/>
      <c r="AE199" s="2355"/>
      <c r="AF199" s="2355"/>
      <c r="AG199" s="2355"/>
      <c r="AH199" s="2355"/>
      <c r="AI199" s="2355"/>
      <c r="AJ199" s="2355"/>
      <c r="AK199" s="508"/>
    </row>
    <row r="200" spans="1:37" hidden="1">
      <c r="A200" s="503"/>
      <c r="B200" s="2354"/>
      <c r="C200" s="2354"/>
      <c r="D200" s="2354"/>
      <c r="E200" s="2354"/>
      <c r="F200" s="2354"/>
      <c r="G200" s="2354"/>
      <c r="H200" s="2354"/>
      <c r="I200" s="2354"/>
      <c r="J200" s="2354"/>
      <c r="K200" s="2354"/>
      <c r="L200" s="2354"/>
      <c r="M200" s="2354"/>
      <c r="N200" s="2354"/>
      <c r="O200" s="2354"/>
      <c r="P200" s="2354"/>
      <c r="Q200" s="2354"/>
      <c r="R200" s="2354"/>
      <c r="S200" s="2354"/>
      <c r="T200" s="2354"/>
      <c r="U200" s="2354"/>
      <c r="V200" s="2354"/>
      <c r="W200" s="2354"/>
      <c r="X200" s="2354"/>
      <c r="Y200" s="2354"/>
      <c r="Z200" s="2354"/>
      <c r="AA200" s="2354"/>
      <c r="AB200" s="2354"/>
      <c r="AC200" s="742"/>
      <c r="AD200" s="2355"/>
      <c r="AE200" s="2355"/>
      <c r="AF200" s="2355"/>
      <c r="AG200" s="2355"/>
      <c r="AH200" s="2355"/>
      <c r="AI200" s="2355"/>
      <c r="AJ200" s="2355"/>
      <c r="AK200" s="508"/>
    </row>
    <row r="201" spans="1:37" hidden="1">
      <c r="A201" s="503"/>
      <c r="B201" s="2354"/>
      <c r="C201" s="2354"/>
      <c r="D201" s="2354"/>
      <c r="E201" s="2354"/>
      <c r="F201" s="2354"/>
      <c r="G201" s="2354"/>
      <c r="H201" s="2354"/>
      <c r="I201" s="2354"/>
      <c r="J201" s="2354"/>
      <c r="K201" s="2354"/>
      <c r="L201" s="2354"/>
      <c r="M201" s="2354"/>
      <c r="N201" s="2354"/>
      <c r="O201" s="2354"/>
      <c r="P201" s="2354"/>
      <c r="Q201" s="2354"/>
      <c r="R201" s="2354"/>
      <c r="S201" s="2354"/>
      <c r="T201" s="2354"/>
      <c r="U201" s="2354"/>
      <c r="V201" s="2354"/>
      <c r="W201" s="2354"/>
      <c r="X201" s="2354"/>
      <c r="Y201" s="2354"/>
      <c r="Z201" s="2354"/>
      <c r="AA201" s="2354"/>
      <c r="AB201" s="2354"/>
      <c r="AC201" s="742"/>
      <c r="AD201" s="2355"/>
      <c r="AE201" s="2355"/>
      <c r="AF201" s="2355"/>
      <c r="AG201" s="2355"/>
      <c r="AH201" s="2355"/>
      <c r="AI201" s="2355"/>
      <c r="AJ201" s="2355"/>
      <c r="AK201" s="508"/>
    </row>
    <row r="202" spans="1:37" hidden="1">
      <c r="A202" s="503"/>
      <c r="B202" s="2354"/>
      <c r="C202" s="2354"/>
      <c r="D202" s="2354"/>
      <c r="E202" s="2354"/>
      <c r="F202" s="2354"/>
      <c r="G202" s="2354"/>
      <c r="H202" s="2354"/>
      <c r="I202" s="2354"/>
      <c r="J202" s="2354"/>
      <c r="K202" s="2354"/>
      <c r="L202" s="2354"/>
      <c r="M202" s="2354"/>
      <c r="N202" s="2354"/>
      <c r="O202" s="2354"/>
      <c r="P202" s="2354"/>
      <c r="Q202" s="2354"/>
      <c r="R202" s="2354"/>
      <c r="S202" s="2354"/>
      <c r="T202" s="2354"/>
      <c r="U202" s="2354"/>
      <c r="V202" s="2354"/>
      <c r="W202" s="2354"/>
      <c r="X202" s="2354"/>
      <c r="Y202" s="2354"/>
      <c r="Z202" s="2354"/>
      <c r="AA202" s="2354"/>
      <c r="AB202" s="2354"/>
      <c r="AC202" s="742"/>
      <c r="AD202" s="2355"/>
      <c r="AE202" s="2355"/>
      <c r="AF202" s="2355"/>
      <c r="AG202" s="2355"/>
      <c r="AH202" s="2355"/>
      <c r="AI202" s="2355"/>
      <c r="AJ202" s="2355"/>
      <c r="AK202" s="508"/>
    </row>
    <row r="203" spans="1:37" hidden="1">
      <c r="A203" s="503"/>
      <c r="B203" s="2354"/>
      <c r="C203" s="2354"/>
      <c r="D203" s="2354"/>
      <c r="E203" s="2354"/>
      <c r="F203" s="2354"/>
      <c r="G203" s="2354"/>
      <c r="H203" s="2354"/>
      <c r="I203" s="2354"/>
      <c r="J203" s="2354"/>
      <c r="K203" s="2354"/>
      <c r="L203" s="2354"/>
      <c r="M203" s="2354"/>
      <c r="N203" s="2354"/>
      <c r="O203" s="2354"/>
      <c r="P203" s="2354"/>
      <c r="Q203" s="2354"/>
      <c r="R203" s="2354"/>
      <c r="S203" s="2354"/>
      <c r="T203" s="2354"/>
      <c r="U203" s="2354"/>
      <c r="V203" s="2354"/>
      <c r="W203" s="2354"/>
      <c r="X203" s="2354"/>
      <c r="Y203" s="2354"/>
      <c r="Z203" s="2354"/>
      <c r="AA203" s="2354"/>
      <c r="AB203" s="2354"/>
      <c r="AC203" s="742"/>
      <c r="AD203" s="2355"/>
      <c r="AE203" s="2355"/>
      <c r="AF203" s="2355"/>
      <c r="AG203" s="2355"/>
      <c r="AH203" s="2355"/>
      <c r="AI203" s="2355"/>
      <c r="AJ203" s="2355"/>
      <c r="AK203" s="508"/>
    </row>
    <row r="204" spans="1:37" hidden="1">
      <c r="A204" s="503"/>
      <c r="B204" s="2354"/>
      <c r="C204" s="2354"/>
      <c r="D204" s="2354"/>
      <c r="E204" s="2354"/>
      <c r="F204" s="2354"/>
      <c r="G204" s="2354"/>
      <c r="H204" s="2354"/>
      <c r="I204" s="2354"/>
      <c r="J204" s="2354"/>
      <c r="K204" s="2354"/>
      <c r="L204" s="2354"/>
      <c r="M204" s="2354"/>
      <c r="N204" s="2354"/>
      <c r="O204" s="2354"/>
      <c r="P204" s="2354"/>
      <c r="Q204" s="2354"/>
      <c r="R204" s="2354"/>
      <c r="S204" s="2354"/>
      <c r="T204" s="2354"/>
      <c r="U204" s="2354"/>
      <c r="V204" s="2354"/>
      <c r="W204" s="2354"/>
      <c r="X204" s="2354"/>
      <c r="Y204" s="2354"/>
      <c r="Z204" s="2354"/>
      <c r="AA204" s="2354"/>
      <c r="AB204" s="2354"/>
      <c r="AC204" s="742"/>
      <c r="AD204" s="2355"/>
      <c r="AE204" s="2355"/>
      <c r="AF204" s="2355"/>
      <c r="AG204" s="2355"/>
      <c r="AH204" s="2355"/>
      <c r="AI204" s="2355"/>
      <c r="AJ204" s="2355"/>
      <c r="AK204" s="508"/>
    </row>
    <row r="205" spans="1:37" hidden="1">
      <c r="A205" s="503"/>
      <c r="B205" s="2354"/>
      <c r="C205" s="2354"/>
      <c r="D205" s="2354"/>
      <c r="E205" s="2354"/>
      <c r="F205" s="2354"/>
      <c r="G205" s="2354"/>
      <c r="H205" s="2354"/>
      <c r="I205" s="2354"/>
      <c r="J205" s="2354"/>
      <c r="K205" s="2354"/>
      <c r="L205" s="2354"/>
      <c r="M205" s="2354"/>
      <c r="N205" s="2354"/>
      <c r="O205" s="2354"/>
      <c r="P205" s="2354"/>
      <c r="Q205" s="2354"/>
      <c r="R205" s="2354"/>
      <c r="S205" s="2354"/>
      <c r="T205" s="2354"/>
      <c r="U205" s="2354"/>
      <c r="V205" s="2354"/>
      <c r="W205" s="2354"/>
      <c r="X205" s="2354"/>
      <c r="Y205" s="2354"/>
      <c r="Z205" s="2354"/>
      <c r="AA205" s="2354"/>
      <c r="AB205" s="2354"/>
      <c r="AC205" s="742"/>
      <c r="AD205" s="2355"/>
      <c r="AE205" s="2355"/>
      <c r="AF205" s="2355"/>
      <c r="AG205" s="2355"/>
      <c r="AH205" s="2355"/>
      <c r="AI205" s="2355"/>
      <c r="AJ205" s="2355"/>
      <c r="AK205" s="508"/>
    </row>
    <row r="206" spans="1:37" hidden="1">
      <c r="A206" s="503"/>
      <c r="B206" s="2354"/>
      <c r="C206" s="2354"/>
      <c r="D206" s="2354"/>
      <c r="E206" s="2354"/>
      <c r="F206" s="2354"/>
      <c r="G206" s="2354"/>
      <c r="H206" s="2354"/>
      <c r="I206" s="2354"/>
      <c r="J206" s="2354"/>
      <c r="K206" s="2354"/>
      <c r="L206" s="2354"/>
      <c r="M206" s="2354"/>
      <c r="N206" s="2354"/>
      <c r="O206" s="2354"/>
      <c r="P206" s="2354"/>
      <c r="Q206" s="2354"/>
      <c r="R206" s="2354"/>
      <c r="S206" s="2354"/>
      <c r="T206" s="2354"/>
      <c r="U206" s="2354"/>
      <c r="V206" s="2354"/>
      <c r="W206" s="2354"/>
      <c r="X206" s="2354"/>
      <c r="Y206" s="2354"/>
      <c r="Z206" s="2354"/>
      <c r="AA206" s="2354"/>
      <c r="AB206" s="2354"/>
      <c r="AC206" s="742"/>
      <c r="AD206" s="2355"/>
      <c r="AE206" s="2355"/>
      <c r="AF206" s="2355"/>
      <c r="AG206" s="2355"/>
      <c r="AH206" s="2355"/>
      <c r="AI206" s="2355"/>
      <c r="AJ206" s="2355"/>
      <c r="AK206" s="508"/>
    </row>
    <row r="207" spans="1:37" hidden="1">
      <c r="A207" s="503"/>
      <c r="B207" s="2354"/>
      <c r="C207" s="2354"/>
      <c r="D207" s="2354"/>
      <c r="E207" s="2354"/>
      <c r="F207" s="2354"/>
      <c r="G207" s="2354"/>
      <c r="H207" s="2354"/>
      <c r="I207" s="2354"/>
      <c r="J207" s="2354"/>
      <c r="K207" s="2354"/>
      <c r="L207" s="2354"/>
      <c r="M207" s="2354"/>
      <c r="N207" s="2354"/>
      <c r="O207" s="2354"/>
      <c r="P207" s="2354"/>
      <c r="Q207" s="2354"/>
      <c r="R207" s="2354"/>
      <c r="S207" s="2354"/>
      <c r="T207" s="2354"/>
      <c r="U207" s="2354"/>
      <c r="V207" s="2354"/>
      <c r="W207" s="2354"/>
      <c r="X207" s="2354"/>
      <c r="Y207" s="2354"/>
      <c r="Z207" s="2354"/>
      <c r="AA207" s="2354"/>
      <c r="AB207" s="2354"/>
      <c r="AC207" s="742"/>
      <c r="AD207" s="2355"/>
      <c r="AE207" s="2355"/>
      <c r="AF207" s="2355"/>
      <c r="AG207" s="2355"/>
      <c r="AH207" s="2355"/>
      <c r="AI207" s="2355"/>
      <c r="AJ207" s="2355"/>
      <c r="AK207" s="508"/>
    </row>
    <row r="208" spans="1:37" hidden="1">
      <c r="A208" s="503"/>
      <c r="B208" s="2400" t="s">
        <v>2237</v>
      </c>
      <c r="C208" s="2400"/>
      <c r="D208" s="2400"/>
      <c r="E208" s="2400"/>
      <c r="F208" s="2400"/>
      <c r="G208" s="2400"/>
      <c r="H208" s="2400"/>
      <c r="I208" s="2400"/>
      <c r="J208" s="2400"/>
      <c r="K208" s="2400"/>
      <c r="L208" s="2400"/>
      <c r="M208" s="2400"/>
      <c r="N208" s="2400"/>
      <c r="O208" s="2400"/>
      <c r="P208" s="2400"/>
      <c r="Q208" s="2400"/>
      <c r="R208" s="2400"/>
      <c r="S208" s="2400"/>
      <c r="T208" s="2400"/>
      <c r="U208" s="2400"/>
      <c r="V208" s="2400"/>
      <c r="W208" s="2400"/>
      <c r="X208" s="2400"/>
      <c r="Y208" s="2400"/>
      <c r="Z208" s="2400"/>
      <c r="AA208" s="2400"/>
      <c r="AB208" s="2400"/>
      <c r="AC208" s="436"/>
      <c r="AD208" s="2384">
        <f>AB259</f>
        <v>0</v>
      </c>
      <c r="AE208" s="2384"/>
      <c r="AF208" s="2384"/>
      <c r="AG208" s="2384"/>
      <c r="AH208" s="2384"/>
      <c r="AI208" s="2384"/>
      <c r="AJ208" s="2384"/>
      <c r="AK208" s="508"/>
    </row>
    <row r="209" spans="1:37" hidden="1">
      <c r="A209" s="503"/>
      <c r="B209" s="2538" t="s">
        <v>2238</v>
      </c>
      <c r="C209" s="2538"/>
      <c r="D209" s="2538"/>
      <c r="E209" s="2538"/>
      <c r="F209" s="2538"/>
      <c r="G209" s="2538"/>
      <c r="H209" s="2538"/>
      <c r="I209" s="2538"/>
      <c r="J209" s="2538"/>
      <c r="K209" s="2538"/>
      <c r="L209" s="2538"/>
      <c r="M209" s="2538"/>
      <c r="N209" s="2538"/>
      <c r="O209" s="2538"/>
      <c r="P209" s="2538"/>
      <c r="Q209" s="2538"/>
      <c r="R209" s="2538"/>
      <c r="S209" s="2538"/>
      <c r="T209" s="2538"/>
      <c r="U209" s="2538"/>
      <c r="V209" s="2538"/>
      <c r="W209" s="2538"/>
      <c r="X209" s="2538"/>
      <c r="Y209" s="2538"/>
      <c r="Z209" s="2538"/>
      <c r="AA209" s="2538"/>
      <c r="AB209" s="2538"/>
      <c r="AC209" s="742"/>
      <c r="AD209" s="2385">
        <f>'Sources and Uses Budget'!B15</f>
        <v>0</v>
      </c>
      <c r="AE209" s="2385"/>
      <c r="AF209" s="2385"/>
      <c r="AG209" s="2385"/>
      <c r="AH209" s="2385"/>
      <c r="AI209" s="2385"/>
      <c r="AJ209" s="2385"/>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1480</v>
      </c>
      <c r="AC210" s="436"/>
      <c r="AD210" s="2389">
        <f>SUM(AD198:AJ208)-AD209</f>
        <v>0</v>
      </c>
      <c r="AE210" s="2389"/>
      <c r="AF210" s="2389"/>
      <c r="AG210" s="2389"/>
      <c r="AH210" s="2389"/>
      <c r="AI210" s="2389"/>
      <c r="AJ210" s="238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2239</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2240</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2241</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2242</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2243</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2244</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2245</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2246</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58" t="s">
        <v>2247</v>
      </c>
      <c r="J221" s="2358"/>
      <c r="K221" s="2358"/>
      <c r="L221" s="436"/>
      <c r="M221" s="436"/>
      <c r="N221" s="436"/>
      <c r="O221" s="436"/>
      <c r="P221" s="436"/>
      <c r="Q221" s="436"/>
      <c r="R221" s="436"/>
      <c r="S221" s="436"/>
      <c r="T221" s="2525" t="s">
        <v>2248</v>
      </c>
      <c r="U221" s="2525"/>
      <c r="V221" s="2525"/>
      <c r="W221" s="2525"/>
      <c r="X221" s="2525"/>
      <c r="Y221" s="2525"/>
      <c r="Z221" s="745"/>
      <c r="AA221" s="390"/>
      <c r="AB221" s="2353" t="s">
        <v>2249</v>
      </c>
      <c r="AC221" s="2353"/>
      <c r="AD221" s="2353"/>
      <c r="AE221" s="2353"/>
      <c r="AF221" s="2353"/>
      <c r="AG221" s="2353"/>
      <c r="AH221" s="723"/>
      <c r="AI221" s="723"/>
      <c r="AJ221" s="723"/>
      <c r="AK221" s="508"/>
    </row>
    <row r="222" spans="1:37" hidden="1">
      <c r="A222" s="503"/>
      <c r="B222" s="2356" t="s">
        <v>2250</v>
      </c>
      <c r="C222" s="2356"/>
      <c r="D222" s="2356"/>
      <c r="E222" s="2356"/>
      <c r="F222" s="2356"/>
      <c r="G222" s="2356"/>
      <c r="I222" s="2357" t="s">
        <v>2251</v>
      </c>
      <c r="J222" s="2357"/>
      <c r="K222" s="2357"/>
      <c r="L222" s="897"/>
      <c r="N222" s="2347" t="s">
        <v>2252</v>
      </c>
      <c r="O222" s="2347"/>
      <c r="P222" s="2347"/>
      <c r="Q222" s="2347"/>
      <c r="R222" s="2347"/>
      <c r="T222" s="2347" t="s">
        <v>2253</v>
      </c>
      <c r="U222" s="2347"/>
      <c r="V222" s="2347"/>
      <c r="W222" s="2347"/>
      <c r="X222" s="2347"/>
      <c r="Y222" s="2347"/>
      <c r="Z222" s="746"/>
      <c r="AA222" s="390"/>
      <c r="AB222" s="2504" t="s">
        <v>2254</v>
      </c>
      <c r="AC222" s="2504"/>
      <c r="AD222" s="2504"/>
      <c r="AE222" s="2504"/>
      <c r="AF222" s="2504"/>
      <c r="AG222" s="2504"/>
      <c r="AH222" s="723"/>
      <c r="AI222" s="723"/>
      <c r="AJ222" s="723"/>
      <c r="AK222" s="508"/>
    </row>
    <row r="223" spans="1:37" hidden="1">
      <c r="A223" s="503"/>
      <c r="B223" s="2359" t="s">
        <v>1038</v>
      </c>
      <c r="C223" s="2359"/>
      <c r="D223" s="2359"/>
      <c r="E223" s="2359"/>
      <c r="F223" s="2359"/>
      <c r="G223" s="2359"/>
      <c r="H223" s="748"/>
      <c r="I223" s="2345"/>
      <c r="J223" s="2345"/>
      <c r="K223" s="2345"/>
      <c r="L223" s="897"/>
      <c r="N223" s="2399"/>
      <c r="O223" s="2399"/>
      <c r="P223" s="2399"/>
      <c r="Q223" s="2399"/>
      <c r="R223" s="2399"/>
      <c r="T223" s="2503"/>
      <c r="U223" s="2503"/>
      <c r="V223" s="2503"/>
      <c r="W223" s="2503"/>
      <c r="X223" s="2503"/>
      <c r="Y223" s="2503"/>
      <c r="Z223" s="747"/>
      <c r="AA223" s="747"/>
      <c r="AB223" s="2344">
        <f t="shared" ref="AB223:AB232" si="0">MAX(($T223-$N223)*$I223*12,0)</f>
        <v>0</v>
      </c>
      <c r="AC223" s="2344"/>
      <c r="AD223" s="2344"/>
      <c r="AE223" s="2344"/>
      <c r="AF223" s="2344"/>
      <c r="AG223" s="2344"/>
      <c r="AH223" s="723"/>
      <c r="AI223" s="723"/>
      <c r="AJ223" s="723"/>
      <c r="AK223" s="508"/>
    </row>
    <row r="224" spans="1:37" hidden="1">
      <c r="A224" s="503"/>
      <c r="B224" s="2359" t="s">
        <v>1038</v>
      </c>
      <c r="C224" s="2359"/>
      <c r="D224" s="2359"/>
      <c r="E224" s="2359"/>
      <c r="F224" s="2359"/>
      <c r="G224" s="2359"/>
      <c r="I224" s="2345"/>
      <c r="J224" s="2345"/>
      <c r="K224" s="2345"/>
      <c r="L224" s="897"/>
      <c r="N224" s="2399"/>
      <c r="O224" s="2399"/>
      <c r="P224" s="2399"/>
      <c r="Q224" s="2399"/>
      <c r="R224" s="2399"/>
      <c r="T224" s="2503"/>
      <c r="U224" s="2503"/>
      <c r="V224" s="2503"/>
      <c r="W224" s="2503"/>
      <c r="X224" s="2503"/>
      <c r="Y224" s="2503"/>
      <c r="Z224" s="747"/>
      <c r="AA224" s="747"/>
      <c r="AB224" s="2344">
        <f t="shared" si="0"/>
        <v>0</v>
      </c>
      <c r="AC224" s="2344"/>
      <c r="AD224" s="2344"/>
      <c r="AE224" s="2344"/>
      <c r="AF224" s="2344"/>
      <c r="AG224" s="2344"/>
      <c r="AH224" s="723"/>
      <c r="AI224" s="723"/>
      <c r="AJ224" s="723"/>
      <c r="AK224" s="508"/>
    </row>
    <row r="225" spans="1:37" hidden="1">
      <c r="A225" s="503"/>
      <c r="B225" s="2359" t="s">
        <v>1038</v>
      </c>
      <c r="C225" s="2359"/>
      <c r="D225" s="2359"/>
      <c r="E225" s="2359"/>
      <c r="F225" s="2359"/>
      <c r="G225" s="2359"/>
      <c r="I225" s="2345"/>
      <c r="J225" s="2345"/>
      <c r="K225" s="2345"/>
      <c r="L225" s="897"/>
      <c r="N225" s="2399"/>
      <c r="O225" s="2399"/>
      <c r="P225" s="2399"/>
      <c r="Q225" s="2399"/>
      <c r="R225" s="2399"/>
      <c r="T225" s="2503"/>
      <c r="U225" s="2503"/>
      <c r="V225" s="2503"/>
      <c r="W225" s="2503"/>
      <c r="X225" s="2503"/>
      <c r="Y225" s="2503"/>
      <c r="Z225" s="747"/>
      <c r="AA225" s="747"/>
      <c r="AB225" s="2344">
        <f t="shared" si="0"/>
        <v>0</v>
      </c>
      <c r="AC225" s="2344"/>
      <c r="AD225" s="2344"/>
      <c r="AE225" s="2344"/>
      <c r="AF225" s="2344"/>
      <c r="AG225" s="2344"/>
      <c r="AH225" s="723"/>
      <c r="AI225" s="723"/>
      <c r="AJ225" s="723"/>
      <c r="AK225" s="508"/>
    </row>
    <row r="226" spans="1:37" hidden="1">
      <c r="A226" s="503"/>
      <c r="B226" s="2359" t="s">
        <v>1038</v>
      </c>
      <c r="C226" s="2359"/>
      <c r="D226" s="2359"/>
      <c r="E226" s="2359"/>
      <c r="F226" s="2359"/>
      <c r="G226" s="2359"/>
      <c r="I226" s="2345"/>
      <c r="J226" s="2345"/>
      <c r="K226" s="2345"/>
      <c r="L226" s="897"/>
      <c r="N226" s="2399"/>
      <c r="O226" s="2399"/>
      <c r="P226" s="2399"/>
      <c r="Q226" s="2399"/>
      <c r="R226" s="2399"/>
      <c r="T226" s="2503"/>
      <c r="U226" s="2503"/>
      <c r="V226" s="2503"/>
      <c r="W226" s="2503"/>
      <c r="X226" s="2503"/>
      <c r="Y226" s="2503"/>
      <c r="Z226" s="747"/>
      <c r="AA226" s="747"/>
      <c r="AB226" s="2344">
        <f t="shared" si="0"/>
        <v>0</v>
      </c>
      <c r="AC226" s="2344"/>
      <c r="AD226" s="2344"/>
      <c r="AE226" s="2344"/>
      <c r="AF226" s="2344"/>
      <c r="AG226" s="2344"/>
      <c r="AH226" s="723"/>
      <c r="AI226" s="723"/>
      <c r="AJ226" s="723"/>
      <c r="AK226" s="508"/>
    </row>
    <row r="227" spans="1:37" hidden="1">
      <c r="A227" s="503"/>
      <c r="B227" s="2359" t="s">
        <v>1038</v>
      </c>
      <c r="C227" s="2359"/>
      <c r="D227" s="2359"/>
      <c r="E227" s="2359"/>
      <c r="F227" s="2359"/>
      <c r="G227" s="2359"/>
      <c r="I227" s="2345"/>
      <c r="J227" s="2345"/>
      <c r="K227" s="2345"/>
      <c r="L227" s="902"/>
      <c r="N227" s="2399"/>
      <c r="O227" s="2399"/>
      <c r="P227" s="2399"/>
      <c r="Q227" s="2399"/>
      <c r="R227" s="2399"/>
      <c r="T227" s="2503"/>
      <c r="U227" s="2503"/>
      <c r="V227" s="2503"/>
      <c r="W227" s="2503"/>
      <c r="X227" s="2503"/>
      <c r="Y227" s="2503"/>
      <c r="Z227" s="747"/>
      <c r="AA227" s="747"/>
      <c r="AB227" s="2344">
        <f t="shared" si="0"/>
        <v>0</v>
      </c>
      <c r="AC227" s="2344"/>
      <c r="AD227" s="2344"/>
      <c r="AE227" s="2344"/>
      <c r="AF227" s="2344"/>
      <c r="AG227" s="2344"/>
      <c r="AH227" s="723"/>
      <c r="AI227" s="723"/>
      <c r="AJ227" s="723"/>
      <c r="AK227" s="508"/>
    </row>
    <row r="228" spans="1:37" hidden="1">
      <c r="A228" s="503"/>
      <c r="B228" s="2359" t="s">
        <v>1038</v>
      </c>
      <c r="C228" s="2359"/>
      <c r="D228" s="2359"/>
      <c r="E228" s="2359"/>
      <c r="F228" s="2359"/>
      <c r="G228" s="2359"/>
      <c r="I228" s="2345"/>
      <c r="J228" s="2345"/>
      <c r="K228" s="2345"/>
      <c r="L228" s="902"/>
      <c r="N228" s="2399"/>
      <c r="O228" s="2399"/>
      <c r="P228" s="2399"/>
      <c r="Q228" s="2399"/>
      <c r="R228" s="2399"/>
      <c r="T228" s="2503"/>
      <c r="U228" s="2503"/>
      <c r="V228" s="2503"/>
      <c r="W228" s="2503"/>
      <c r="X228" s="2503"/>
      <c r="Y228" s="2503"/>
      <c r="Z228" s="747"/>
      <c r="AA228" s="747"/>
      <c r="AB228" s="2344">
        <f t="shared" si="0"/>
        <v>0</v>
      </c>
      <c r="AC228" s="2344"/>
      <c r="AD228" s="2344"/>
      <c r="AE228" s="2344"/>
      <c r="AF228" s="2344"/>
      <c r="AG228" s="2344"/>
      <c r="AH228" s="723"/>
      <c r="AI228" s="723"/>
      <c r="AJ228" s="723"/>
      <c r="AK228" s="508"/>
    </row>
    <row r="229" spans="1:37" hidden="1">
      <c r="A229" s="503"/>
      <c r="B229" s="2359" t="s">
        <v>1038</v>
      </c>
      <c r="C229" s="2359"/>
      <c r="D229" s="2359"/>
      <c r="E229" s="2359"/>
      <c r="F229" s="2359"/>
      <c r="G229" s="2359"/>
      <c r="I229" s="2345"/>
      <c r="J229" s="2345"/>
      <c r="K229" s="2345"/>
      <c r="L229" s="902"/>
      <c r="N229" s="2399"/>
      <c r="O229" s="2399"/>
      <c r="P229" s="2399"/>
      <c r="Q229" s="2399"/>
      <c r="R229" s="2399"/>
      <c r="T229" s="2503"/>
      <c r="U229" s="2503"/>
      <c r="V229" s="2503"/>
      <c r="W229" s="2503"/>
      <c r="X229" s="2503"/>
      <c r="Y229" s="2503"/>
      <c r="Z229" s="747"/>
      <c r="AA229" s="747"/>
      <c r="AB229" s="2344">
        <f t="shared" si="0"/>
        <v>0</v>
      </c>
      <c r="AC229" s="2344"/>
      <c r="AD229" s="2344"/>
      <c r="AE229" s="2344"/>
      <c r="AF229" s="2344"/>
      <c r="AG229" s="2344"/>
      <c r="AH229" s="723"/>
      <c r="AI229" s="723"/>
      <c r="AJ229" s="723"/>
      <c r="AK229" s="508"/>
    </row>
    <row r="230" spans="1:37" hidden="1">
      <c r="A230" s="503"/>
      <c r="B230" s="2359" t="s">
        <v>1038</v>
      </c>
      <c r="C230" s="2359"/>
      <c r="D230" s="2359"/>
      <c r="E230" s="2359"/>
      <c r="F230" s="2359"/>
      <c r="G230" s="2359"/>
      <c r="I230" s="2345"/>
      <c r="J230" s="2345"/>
      <c r="K230" s="2345"/>
      <c r="L230" s="902"/>
      <c r="N230" s="2399"/>
      <c r="O230" s="2399"/>
      <c r="P230" s="2399"/>
      <c r="Q230" s="2399"/>
      <c r="R230" s="2399"/>
      <c r="T230" s="2503"/>
      <c r="U230" s="2503"/>
      <c r="V230" s="2503"/>
      <c r="W230" s="2503"/>
      <c r="X230" s="2503"/>
      <c r="Y230" s="2503"/>
      <c r="Z230" s="747"/>
      <c r="AA230" s="747"/>
      <c r="AB230" s="2344">
        <f t="shared" si="0"/>
        <v>0</v>
      </c>
      <c r="AC230" s="2344"/>
      <c r="AD230" s="2344"/>
      <c r="AE230" s="2344"/>
      <c r="AF230" s="2344"/>
      <c r="AG230" s="2344"/>
      <c r="AH230" s="723"/>
      <c r="AI230" s="723"/>
      <c r="AJ230" s="723"/>
      <c r="AK230" s="508"/>
    </row>
    <row r="231" spans="1:37" hidden="1">
      <c r="A231" s="503"/>
      <c r="B231" s="2359" t="s">
        <v>1038</v>
      </c>
      <c r="C231" s="2359"/>
      <c r="D231" s="2359"/>
      <c r="E231" s="2359"/>
      <c r="F231" s="2359"/>
      <c r="G231" s="2359"/>
      <c r="I231" s="2345"/>
      <c r="J231" s="2345"/>
      <c r="K231" s="2345"/>
      <c r="L231" s="902"/>
      <c r="N231" s="2399"/>
      <c r="O231" s="2399"/>
      <c r="P231" s="2399"/>
      <c r="Q231" s="2399"/>
      <c r="R231" s="2399"/>
      <c r="T231" s="2503"/>
      <c r="U231" s="2503"/>
      <c r="V231" s="2503"/>
      <c r="W231" s="2503"/>
      <c r="X231" s="2503"/>
      <c r="Y231" s="2503"/>
      <c r="Z231" s="747"/>
      <c r="AA231" s="747"/>
      <c r="AB231" s="2344">
        <f t="shared" si="0"/>
        <v>0</v>
      </c>
      <c r="AC231" s="2344"/>
      <c r="AD231" s="2344"/>
      <c r="AE231" s="2344"/>
      <c r="AF231" s="2344"/>
      <c r="AG231" s="2344"/>
      <c r="AH231" s="723"/>
      <c r="AI231" s="723"/>
      <c r="AJ231" s="723"/>
      <c r="AK231" s="508"/>
    </row>
    <row r="232" spans="1:37" hidden="1">
      <c r="A232" s="503"/>
      <c r="B232" s="2359" t="s">
        <v>1038</v>
      </c>
      <c r="C232" s="2359"/>
      <c r="D232" s="2359"/>
      <c r="E232" s="2359"/>
      <c r="F232" s="2359"/>
      <c r="G232" s="2359"/>
      <c r="I232" s="2346"/>
      <c r="J232" s="2346"/>
      <c r="K232" s="2346"/>
      <c r="L232" s="902"/>
      <c r="N232" s="2399"/>
      <c r="O232" s="2399"/>
      <c r="P232" s="2399"/>
      <c r="Q232" s="2399"/>
      <c r="R232" s="2399"/>
      <c r="T232" s="2503"/>
      <c r="U232" s="2503"/>
      <c r="V232" s="2503"/>
      <c r="W232" s="2503"/>
      <c r="X232" s="2503"/>
      <c r="Y232" s="2503"/>
      <c r="Z232" s="747"/>
      <c r="AA232" s="747"/>
      <c r="AB232" s="2512">
        <f t="shared" si="0"/>
        <v>0</v>
      </c>
      <c r="AC232" s="2512"/>
      <c r="AD232" s="2512"/>
      <c r="AE232" s="2512"/>
      <c r="AF232" s="2512"/>
      <c r="AG232" s="2512"/>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2255</v>
      </c>
      <c r="AA233" s="749"/>
      <c r="AB233" s="2344">
        <f>SUM(AB223:AB232)</f>
        <v>0</v>
      </c>
      <c r="AC233" s="2344"/>
      <c r="AD233" s="2344"/>
      <c r="AE233" s="2344"/>
      <c r="AF233" s="2344"/>
      <c r="AG233" s="234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2256</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2257</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2258</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2259</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13"/>
      <c r="AC239" s="2513"/>
      <c r="AD239" s="2513"/>
      <c r="AE239" s="2513"/>
      <c r="AF239" s="2513"/>
      <c r="AG239" s="2513"/>
      <c r="AH239" s="508"/>
      <c r="AI239" s="508"/>
      <c r="AJ239" s="508"/>
      <c r="AK239" s="508"/>
    </row>
    <row r="240" spans="1:37" hidden="1">
      <c r="A240" s="503"/>
      <c r="B240" s="733" t="s">
        <v>2260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13"/>
      <c r="AC242" s="2513"/>
      <c r="AD242" s="2513"/>
      <c r="AE242" s="2513"/>
      <c r="AF242" s="2513"/>
      <c r="AG242" s="2513"/>
      <c r="AH242" s="508"/>
      <c r="AI242" s="508"/>
      <c r="AJ242" s="508"/>
      <c r="AK242" s="508"/>
    </row>
    <row r="243" spans="1:37" hidden="1">
      <c r="A243" s="503"/>
      <c r="B243" s="734" t="s">
        <v>2263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24"/>
      <c r="AC243" s="2524"/>
      <c r="AD243" s="2524"/>
      <c r="AE243" s="2524"/>
      <c r="AF243" s="2524"/>
      <c r="AG243" s="2524"/>
      <c r="AH243" s="508"/>
      <c r="AI243" s="508"/>
      <c r="AJ243" s="508"/>
      <c r="AK243" s="508"/>
    </row>
    <row r="244" spans="1:37" hidden="1">
      <c r="A244" s="503"/>
      <c r="B244" s="734" t="s">
        <v>2264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37">
        <f>IFERROR(AB242/AB243,0)</f>
        <v>0</v>
      </c>
      <c r="AC244" s="2537"/>
      <c r="AD244" s="2537"/>
      <c r="AE244" s="2537"/>
      <c r="AF244" s="2537"/>
      <c r="AG244" s="2537"/>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12">
        <f>MAX(AB239,AB244)</f>
        <v>0</v>
      </c>
      <c r="AC246" s="2512"/>
      <c r="AD246" s="2512"/>
      <c r="AE246" s="2512"/>
      <c r="AF246" s="2512"/>
      <c r="AG246" s="2512"/>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2266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4">
        <f>AB233+AB246</f>
        <v>0</v>
      </c>
      <c r="AC249" s="2344"/>
      <c r="AD249" s="2344"/>
      <c r="AE249" s="2344"/>
      <c r="AF249" s="2344"/>
      <c r="AG249" s="2344"/>
      <c r="AH249" s="508"/>
      <c r="AI249" s="508"/>
      <c r="AJ249" s="508"/>
      <c r="AK249" s="508"/>
    </row>
    <row r="250" spans="1:37" hidden="1">
      <c r="A250" s="503"/>
      <c r="B250" s="377" t="s">
        <v>2267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393">
        <v>0.05</v>
      </c>
      <c r="AC250" s="2393"/>
      <c r="AD250" s="2393"/>
      <c r="AE250" s="2393"/>
      <c r="AF250" s="2393"/>
      <c r="AG250" s="2393"/>
      <c r="AH250" s="508"/>
      <c r="AI250" s="508"/>
      <c r="AJ250" s="508"/>
      <c r="AK250" s="508"/>
    </row>
    <row r="251" spans="1:37" hidden="1">
      <c r="A251" s="503"/>
      <c r="B251" s="377" t="s">
        <v>2268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394">
        <f>AB249-(AB249*AB250)</f>
        <v>0</v>
      </c>
      <c r="AC251" s="2394"/>
      <c r="AD251" s="2394"/>
      <c r="AE251" s="2394"/>
      <c r="AF251" s="2394"/>
      <c r="AG251" s="2394"/>
      <c r="AH251" s="508"/>
      <c r="AI251" s="508"/>
      <c r="AJ251" s="508"/>
      <c r="AK251" s="508"/>
    </row>
    <row r="252" spans="1:37" hidden="1">
      <c r="A252" s="503"/>
      <c r="B252" s="377" t="s">
        <v>2269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4">
        <f>AB251/AB257</f>
        <v>0</v>
      </c>
      <c r="AC253" s="2344"/>
      <c r="AD253" s="2344"/>
      <c r="AE253" s="2344"/>
      <c r="AF253" s="2344"/>
      <c r="AG253" s="234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53">
        <v>15</v>
      </c>
      <c r="AC255" s="2353"/>
      <c r="AD255" s="2353"/>
      <c r="AE255" s="2353"/>
      <c r="AF255" s="2353"/>
      <c r="AG255" s="2353"/>
      <c r="AH255" s="508"/>
      <c r="AI255" s="508"/>
      <c r="AJ255" s="508"/>
      <c r="AK255" s="508"/>
    </row>
    <row r="256" spans="1:37" hidden="1">
      <c r="A256" s="503"/>
      <c r="B256" s="377" t="s">
        <v>2272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395">
        <v>0.04</v>
      </c>
      <c r="AC256" s="2395"/>
      <c r="AD256" s="2395"/>
      <c r="AE256" s="2395"/>
      <c r="AF256" s="2395"/>
      <c r="AG256" s="2395"/>
      <c r="AH256" s="508"/>
      <c r="AI256" s="508"/>
      <c r="AJ256" s="508"/>
      <c r="AK256" s="508"/>
    </row>
    <row r="257" spans="1:39" hidden="1">
      <c r="A257" s="503"/>
      <c r="B257" s="377" t="s">
        <v>2273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01">
        <v>1.1499999999999999</v>
      </c>
      <c r="AC257" s="2401"/>
      <c r="AD257" s="2401"/>
      <c r="AE257" s="2401"/>
      <c r="AF257" s="2401"/>
      <c r="AG257" s="2401"/>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2274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386">
        <f>PV(AB256/12,AB255*12,-AB253/12, ,0)</f>
        <v>0</v>
      </c>
      <c r="AC259" s="2387"/>
      <c r="AD259" s="2387"/>
      <c r="AE259" s="2387"/>
      <c r="AF259" s="2387"/>
      <c r="AG259" s="2388"/>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2275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2276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390">
        <f>IFERROR(('Sources and Uses Budget'!D105/'Sources and Uses Budget'!B105),0)</f>
        <v>0</v>
      </c>
      <c r="AC265" s="2391"/>
      <c r="AD265" s="2391"/>
      <c r="AE265" s="2391"/>
      <c r="AF265" s="2391"/>
      <c r="AG265" s="239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2279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80">
        <f>AD210*(1-AB265)</f>
        <v>0</v>
      </c>
      <c r="AH267" s="2380"/>
      <c r="AI267" s="2380"/>
      <c r="AJ267" s="2380"/>
      <c r="AK267" s="2380"/>
    </row>
    <row r="268" spans="1:39" hidden="1">
      <c r="A268" s="520"/>
      <c r="B268" s="523" t="s">
        <v>2280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80">
        <f>'Sources and Uses Budget'!C105</f>
        <v>66736372</v>
      </c>
      <c r="AH268" s="2380"/>
      <c r="AI268" s="2380"/>
      <c r="AJ268" s="2380"/>
      <c r="AK268" s="2380"/>
    </row>
    <row r="269" spans="1:39" hidden="1">
      <c r="A269" s="520"/>
      <c r="B269" s="522" t="s">
        <v>1633</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381">
        <f>ROUNDDOWN(IF(AND(C305="Yes",AK83=10),((AG267*2)/AG268),AG267/AG268),2)</f>
        <v>0</v>
      </c>
      <c r="AH269" s="2381"/>
      <c r="AI269" s="2381"/>
      <c r="AJ269" s="2381"/>
      <c r="AK269" s="2381"/>
    </row>
    <row r="270" spans="1:39" hidden="1">
      <c r="A270" s="520"/>
      <c r="B270" s="867" t="s">
        <v>2281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2282</v>
      </c>
      <c r="AK272" s="2382">
        <f>IFERROR(IF(AG269=0,0,IF((AG269*100)&gt;8,8,(AG269*100))),0)</f>
        <v>0</v>
      </c>
      <c r="AL272" s="2382"/>
      <c r="AM272" s="2383"/>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2232</v>
      </c>
      <c r="B275" s="438" t="s">
        <v>2283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2148</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2284</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74" t="s">
        <v>857</v>
      </c>
      <c r="D279" s="2374"/>
      <c r="E279" s="446"/>
      <c r="F279" s="2528" t="s">
        <v>2285</v>
      </c>
      <c r="G279" s="2529"/>
      <c r="H279" s="2529"/>
      <c r="I279" s="2529"/>
      <c r="J279" s="2529"/>
      <c r="K279" s="2529"/>
      <c r="L279" s="2529"/>
      <c r="M279" s="2529"/>
      <c r="N279" s="2529"/>
      <c r="O279" s="2529"/>
      <c r="P279" s="2529"/>
      <c r="Q279" s="2529"/>
      <c r="R279" s="2529"/>
      <c r="S279" s="2529"/>
      <c r="T279" s="2529"/>
      <c r="U279" s="2529"/>
      <c r="V279" s="2529"/>
      <c r="W279" s="2529"/>
      <c r="X279" s="2529"/>
      <c r="Y279" s="2529"/>
      <c r="Z279" s="2529"/>
      <c r="AA279" s="2529"/>
      <c r="AB279" s="2529"/>
      <c r="AC279" s="2529"/>
      <c r="AD279" s="2530"/>
      <c r="AE279" s="449"/>
      <c r="AF279" s="533"/>
      <c r="AG279" s="2375" t="s">
        <v>2226</v>
      </c>
      <c r="AH279" s="2375"/>
      <c r="AI279" s="2375"/>
      <c r="AJ279" s="2375"/>
      <c r="AK279" s="449"/>
      <c r="AL279" s="449"/>
      <c r="AM279" s="449"/>
      <c r="AO279" s="449"/>
    </row>
    <row r="280" spans="1:52" ht="13.7" customHeight="1">
      <c r="A280" s="449"/>
      <c r="B280" s="494"/>
      <c r="C280" s="534"/>
      <c r="D280" s="449"/>
      <c r="E280" s="446"/>
      <c r="F280" s="2531"/>
      <c r="G280" s="2532"/>
      <c r="H280" s="2532"/>
      <c r="I280" s="2532"/>
      <c r="J280" s="2532"/>
      <c r="K280" s="2532"/>
      <c r="L280" s="2532"/>
      <c r="M280" s="2532"/>
      <c r="N280" s="2532"/>
      <c r="O280" s="2532"/>
      <c r="P280" s="2532"/>
      <c r="Q280" s="2532"/>
      <c r="R280" s="2532"/>
      <c r="S280" s="2532"/>
      <c r="T280" s="2532"/>
      <c r="U280" s="2532"/>
      <c r="V280" s="2532"/>
      <c r="W280" s="2532"/>
      <c r="X280" s="2532"/>
      <c r="Y280" s="2532"/>
      <c r="Z280" s="2532"/>
      <c r="AA280" s="2532"/>
      <c r="AB280" s="2532"/>
      <c r="AC280" s="2532"/>
      <c r="AD280" s="2533"/>
      <c r="AE280" s="449"/>
      <c r="AF280" s="533"/>
      <c r="AG280" s="533"/>
      <c r="AH280" s="533"/>
      <c r="AI280" s="533"/>
      <c r="AJ280" s="449"/>
      <c r="AK280" s="449"/>
      <c r="AL280" s="449"/>
      <c r="AM280" s="449"/>
      <c r="AO280" s="449"/>
    </row>
    <row r="281" spans="1:52" ht="13.7" customHeight="1">
      <c r="A281" s="449"/>
      <c r="B281" s="494"/>
      <c r="C281" s="534"/>
      <c r="D281" s="449"/>
      <c r="E281" s="446"/>
      <c r="F281" s="2531"/>
      <c r="G281" s="2532"/>
      <c r="H281" s="2532"/>
      <c r="I281" s="2532"/>
      <c r="J281" s="2532"/>
      <c r="K281" s="2532"/>
      <c r="L281" s="2532"/>
      <c r="M281" s="2532"/>
      <c r="N281" s="2532"/>
      <c r="O281" s="2532"/>
      <c r="P281" s="2532"/>
      <c r="Q281" s="2532"/>
      <c r="R281" s="2532"/>
      <c r="S281" s="2532"/>
      <c r="T281" s="2532"/>
      <c r="U281" s="2532"/>
      <c r="V281" s="2532"/>
      <c r="W281" s="2532"/>
      <c r="X281" s="2532"/>
      <c r="Y281" s="2532"/>
      <c r="Z281" s="2532"/>
      <c r="AA281" s="2532"/>
      <c r="AB281" s="2532"/>
      <c r="AC281" s="2532"/>
      <c r="AD281" s="2533"/>
      <c r="AE281" s="449"/>
      <c r="AF281" s="533"/>
      <c r="AG281" s="533"/>
      <c r="AH281" s="533"/>
      <c r="AI281" s="533"/>
      <c r="AJ281" s="449"/>
      <c r="AK281" s="449"/>
      <c r="AL281" s="449"/>
      <c r="AM281" s="449"/>
      <c r="AO281" s="449"/>
    </row>
    <row r="282" spans="1:52" ht="13.7" customHeight="1">
      <c r="A282" s="449"/>
      <c r="B282" s="494"/>
      <c r="C282" s="534"/>
      <c r="D282" s="449"/>
      <c r="E282" s="446"/>
      <c r="F282" s="2531"/>
      <c r="G282" s="2532"/>
      <c r="H282" s="2532"/>
      <c r="I282" s="2532"/>
      <c r="J282" s="2532"/>
      <c r="K282" s="2532"/>
      <c r="L282" s="2532"/>
      <c r="M282" s="2532"/>
      <c r="N282" s="2532"/>
      <c r="O282" s="2532"/>
      <c r="P282" s="2532"/>
      <c r="Q282" s="2532"/>
      <c r="R282" s="2532"/>
      <c r="S282" s="2532"/>
      <c r="T282" s="2532"/>
      <c r="U282" s="2532"/>
      <c r="V282" s="2532"/>
      <c r="W282" s="2532"/>
      <c r="X282" s="2532"/>
      <c r="Y282" s="2532"/>
      <c r="Z282" s="2532"/>
      <c r="AA282" s="2532"/>
      <c r="AB282" s="2532"/>
      <c r="AC282" s="2532"/>
      <c r="AD282" s="2533"/>
      <c r="AE282" s="449"/>
      <c r="AF282" s="533"/>
      <c r="AG282" s="533"/>
      <c r="AH282" s="533"/>
      <c r="AI282" s="533"/>
      <c r="AJ282" s="449"/>
      <c r="AK282" s="449"/>
      <c r="AL282" s="449"/>
      <c r="AM282" s="449"/>
      <c r="AO282" s="449"/>
    </row>
    <row r="283" spans="1:52" ht="13.7" customHeight="1">
      <c r="A283" s="449"/>
      <c r="B283" s="494"/>
      <c r="C283" s="534"/>
      <c r="D283" s="449"/>
      <c r="E283" s="446"/>
      <c r="F283" s="2531"/>
      <c r="G283" s="2532"/>
      <c r="H283" s="2532"/>
      <c r="I283" s="2532"/>
      <c r="J283" s="2532"/>
      <c r="K283" s="2532"/>
      <c r="L283" s="2532"/>
      <c r="M283" s="2532"/>
      <c r="N283" s="2532"/>
      <c r="O283" s="2532"/>
      <c r="P283" s="2532"/>
      <c r="Q283" s="2532"/>
      <c r="R283" s="2532"/>
      <c r="S283" s="2532"/>
      <c r="T283" s="2532"/>
      <c r="U283" s="2532"/>
      <c r="V283" s="2532"/>
      <c r="W283" s="2532"/>
      <c r="X283" s="2532"/>
      <c r="Y283" s="2532"/>
      <c r="Z283" s="2532"/>
      <c r="AA283" s="2532"/>
      <c r="AB283" s="2532"/>
      <c r="AC283" s="2532"/>
      <c r="AD283" s="2533"/>
      <c r="AE283" s="449"/>
      <c r="AF283" s="533"/>
      <c r="AG283" s="533"/>
      <c r="AH283" s="533"/>
      <c r="AI283" s="533"/>
      <c r="AJ283" s="449"/>
      <c r="AK283" s="449"/>
      <c r="AL283" s="449"/>
      <c r="AM283" s="449"/>
      <c r="AO283" s="449"/>
    </row>
    <row r="284" spans="1:52">
      <c r="A284" s="449"/>
      <c r="B284" s="494"/>
      <c r="C284" s="534"/>
      <c r="D284" s="449"/>
      <c r="E284" s="446"/>
      <c r="F284" s="2531"/>
      <c r="G284" s="2532"/>
      <c r="H284" s="2532"/>
      <c r="I284" s="2532"/>
      <c r="J284" s="2532"/>
      <c r="K284" s="2532"/>
      <c r="L284" s="2532"/>
      <c r="M284" s="2532"/>
      <c r="N284" s="2532"/>
      <c r="O284" s="2532"/>
      <c r="P284" s="2532"/>
      <c r="Q284" s="2532"/>
      <c r="R284" s="2532"/>
      <c r="S284" s="2532"/>
      <c r="T284" s="2532"/>
      <c r="U284" s="2532"/>
      <c r="V284" s="2532"/>
      <c r="W284" s="2532"/>
      <c r="X284" s="2532"/>
      <c r="Y284" s="2532"/>
      <c r="Z284" s="2532"/>
      <c r="AA284" s="2532"/>
      <c r="AB284" s="2532"/>
      <c r="AC284" s="2532"/>
      <c r="AD284" s="2533"/>
      <c r="AE284" s="449"/>
      <c r="AF284" s="533"/>
      <c r="AG284" s="533"/>
      <c r="AH284" s="533"/>
      <c r="AI284" s="533"/>
      <c r="AJ284" s="449"/>
      <c r="AK284" s="449"/>
      <c r="AL284" s="449"/>
      <c r="AM284" s="449"/>
      <c r="AO284" s="449"/>
      <c r="AP284" s="535"/>
    </row>
    <row r="285" spans="1:52">
      <c r="A285" s="449"/>
      <c r="B285" s="494"/>
      <c r="C285" s="534"/>
      <c r="D285" s="449"/>
      <c r="E285" s="446"/>
      <c r="F285" s="2531"/>
      <c r="G285" s="2532"/>
      <c r="H285" s="2532"/>
      <c r="I285" s="2532"/>
      <c r="J285" s="2532"/>
      <c r="K285" s="2532"/>
      <c r="L285" s="2532"/>
      <c r="M285" s="2532"/>
      <c r="N285" s="2532"/>
      <c r="O285" s="2532"/>
      <c r="P285" s="2532"/>
      <c r="Q285" s="2532"/>
      <c r="R285" s="2532"/>
      <c r="S285" s="2532"/>
      <c r="T285" s="2532"/>
      <c r="U285" s="2532"/>
      <c r="V285" s="2532"/>
      <c r="W285" s="2532"/>
      <c r="X285" s="2532"/>
      <c r="Y285" s="2532"/>
      <c r="Z285" s="2532"/>
      <c r="AA285" s="2532"/>
      <c r="AB285" s="2532"/>
      <c r="AC285" s="2532"/>
      <c r="AD285" s="2533"/>
      <c r="AE285" s="449"/>
      <c r="AF285" s="533"/>
      <c r="AG285" s="533"/>
      <c r="AH285" s="533"/>
      <c r="AI285" s="533"/>
      <c r="AJ285" s="449"/>
      <c r="AK285" s="449"/>
      <c r="AL285" s="449"/>
      <c r="AM285" s="449"/>
      <c r="AO285" s="449"/>
      <c r="AP285" s="535"/>
    </row>
    <row r="286" spans="1:52" ht="13.7" customHeight="1">
      <c r="A286" s="449"/>
      <c r="B286" s="494"/>
      <c r="C286" s="2376"/>
      <c r="D286" s="2376"/>
      <c r="E286" s="446"/>
      <c r="F286" s="2534"/>
      <c r="G286" s="2535"/>
      <c r="H286" s="2535"/>
      <c r="I286" s="2535"/>
      <c r="J286" s="2535"/>
      <c r="K286" s="2535"/>
      <c r="L286" s="2535"/>
      <c r="M286" s="2535"/>
      <c r="N286" s="2535"/>
      <c r="O286" s="2535"/>
      <c r="P286" s="2535"/>
      <c r="Q286" s="2535"/>
      <c r="R286" s="2535"/>
      <c r="S286" s="2535"/>
      <c r="T286" s="2535"/>
      <c r="U286" s="2535"/>
      <c r="V286" s="2535"/>
      <c r="W286" s="2535"/>
      <c r="X286" s="2535"/>
      <c r="Y286" s="2535"/>
      <c r="Z286" s="2535"/>
      <c r="AA286" s="2535"/>
      <c r="AB286" s="2535"/>
      <c r="AC286" s="2535"/>
      <c r="AD286" s="2536"/>
      <c r="AE286" s="449"/>
      <c r="AF286" s="533"/>
      <c r="AG286" s="2375"/>
      <c r="AH286" s="2375"/>
      <c r="AI286" s="2375"/>
      <c r="AJ286" s="2375"/>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290" t="s">
        <v>2286</v>
      </c>
      <c r="C289" s="2290"/>
      <c r="D289" s="2290"/>
      <c r="E289" s="2290"/>
      <c r="F289" s="2290"/>
      <c r="G289" s="2290"/>
      <c r="H289" s="2290"/>
      <c r="I289" s="2290"/>
      <c r="J289" s="2290"/>
      <c r="K289" s="2290"/>
      <c r="L289" s="2290"/>
      <c r="M289" s="2290"/>
      <c r="N289" s="2290"/>
      <c r="O289" s="2290"/>
      <c r="P289" s="2290"/>
      <c r="Q289" s="2290"/>
      <c r="R289" s="2290"/>
      <c r="S289" s="2290"/>
      <c r="T289" s="2290"/>
      <c r="U289" s="2290"/>
      <c r="V289" s="2290"/>
      <c r="W289" s="2290"/>
      <c r="X289" s="2290"/>
      <c r="Y289" s="2290"/>
      <c r="Z289" s="2290"/>
      <c r="AA289" s="2290"/>
      <c r="AB289" s="2290"/>
      <c r="AC289" s="2290"/>
      <c r="AD289" s="2290"/>
      <c r="AE289" s="2290"/>
      <c r="AF289" s="2290"/>
      <c r="AG289" s="2290"/>
      <c r="AH289" s="2290"/>
      <c r="AI289" s="2290"/>
      <c r="AJ289" s="2290"/>
      <c r="AK289" s="2290"/>
      <c r="AL289" s="2290"/>
      <c r="AM289" s="449"/>
      <c r="AN289" s="58"/>
    </row>
    <row r="290" spans="1:49">
      <c r="A290" s="449"/>
      <c r="B290" s="2290"/>
      <c r="C290" s="2290"/>
      <c r="D290" s="2290"/>
      <c r="E290" s="2290"/>
      <c r="F290" s="2290"/>
      <c r="G290" s="2290"/>
      <c r="H290" s="2290"/>
      <c r="I290" s="2290"/>
      <c r="J290" s="2290"/>
      <c r="K290" s="2290"/>
      <c r="L290" s="2290"/>
      <c r="M290" s="2290"/>
      <c r="N290" s="2290"/>
      <c r="O290" s="2290"/>
      <c r="P290" s="2290"/>
      <c r="Q290" s="2290"/>
      <c r="R290" s="2290"/>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449"/>
      <c r="AN290" s="58"/>
    </row>
    <row r="291" spans="1:49">
      <c r="A291" s="449"/>
      <c r="B291" s="2290"/>
      <c r="C291" s="2290"/>
      <c r="D291" s="2290"/>
      <c r="E291" s="2290"/>
      <c r="F291" s="2290"/>
      <c r="G291" s="2290"/>
      <c r="H291" s="2290"/>
      <c r="I291" s="2290"/>
      <c r="J291" s="2290"/>
      <c r="K291" s="2290"/>
      <c r="L291" s="2290"/>
      <c r="M291" s="2290"/>
      <c r="N291" s="2290"/>
      <c r="O291" s="2290"/>
      <c r="P291" s="2290"/>
      <c r="Q291" s="2290"/>
      <c r="R291" s="2290"/>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449"/>
      <c r="AN291" s="58"/>
    </row>
    <row r="292" spans="1:49">
      <c r="A292" s="449"/>
      <c r="B292" s="2290"/>
      <c r="C292" s="2290"/>
      <c r="D292" s="2290"/>
      <c r="E292" s="2290"/>
      <c r="F292" s="2290"/>
      <c r="G292" s="2290"/>
      <c r="H292" s="2290"/>
      <c r="I292" s="2290"/>
      <c r="J292" s="2290"/>
      <c r="K292" s="2290"/>
      <c r="L292" s="2290"/>
      <c r="M292" s="2290"/>
      <c r="N292" s="2290"/>
      <c r="O292" s="2290"/>
      <c r="P292" s="2290"/>
      <c r="Q292" s="2290"/>
      <c r="R292" s="2290"/>
      <c r="S292" s="2290"/>
      <c r="T292" s="2290"/>
      <c r="U292" s="2290"/>
      <c r="V292" s="2290"/>
      <c r="W292" s="2290"/>
      <c r="X292" s="2290"/>
      <c r="Y292" s="2290"/>
      <c r="Z292" s="2290"/>
      <c r="AA292" s="2290"/>
      <c r="AB292" s="2290"/>
      <c r="AC292" s="2290"/>
      <c r="AD292" s="2290"/>
      <c r="AE292" s="2290"/>
      <c r="AF292" s="2290"/>
      <c r="AG292" s="2290"/>
      <c r="AH292" s="2290"/>
      <c r="AI292" s="2290"/>
      <c r="AJ292" s="2290"/>
      <c r="AK292" s="2290"/>
      <c r="AL292" s="2290"/>
      <c r="AM292" s="449"/>
      <c r="AN292" s="58"/>
    </row>
    <row r="293" spans="1:49">
      <c r="A293" s="449"/>
      <c r="B293" s="2290"/>
      <c r="C293" s="2290"/>
      <c r="D293" s="2290"/>
      <c r="E293" s="2290"/>
      <c r="F293" s="2290"/>
      <c r="G293" s="2290"/>
      <c r="H293" s="2290"/>
      <c r="I293" s="2290"/>
      <c r="J293" s="2290"/>
      <c r="K293" s="2290"/>
      <c r="L293" s="2290"/>
      <c r="M293" s="2290"/>
      <c r="N293" s="2290"/>
      <c r="O293" s="2290"/>
      <c r="P293" s="2290"/>
      <c r="Q293" s="2290"/>
      <c r="R293" s="2290"/>
      <c r="S293" s="2290"/>
      <c r="T293" s="2290"/>
      <c r="U293" s="2290"/>
      <c r="V293" s="2290"/>
      <c r="W293" s="2290"/>
      <c r="X293" s="2290"/>
      <c r="Y293" s="2290"/>
      <c r="Z293" s="2290"/>
      <c r="AA293" s="2290"/>
      <c r="AB293" s="2290"/>
      <c r="AC293" s="2290"/>
      <c r="AD293" s="2290"/>
      <c r="AE293" s="2290"/>
      <c r="AF293" s="2290"/>
      <c r="AG293" s="2290"/>
      <c r="AH293" s="2290"/>
      <c r="AI293" s="2290"/>
      <c r="AJ293" s="2290"/>
      <c r="AK293" s="2290"/>
      <c r="AL293" s="2290"/>
      <c r="AM293" s="449"/>
      <c r="AN293" s="58"/>
    </row>
    <row r="294" spans="1:49">
      <c r="A294" s="449"/>
      <c r="B294" s="2290"/>
      <c r="C294" s="2290"/>
      <c r="D294" s="2290"/>
      <c r="E294" s="2290"/>
      <c r="F294" s="2290"/>
      <c r="G294" s="2290"/>
      <c r="H294" s="2290"/>
      <c r="I294" s="2290"/>
      <c r="J294" s="2290"/>
      <c r="K294" s="2290"/>
      <c r="L294" s="2290"/>
      <c r="M294" s="2290"/>
      <c r="N294" s="2290"/>
      <c r="O294" s="2290"/>
      <c r="P294" s="2290"/>
      <c r="Q294" s="2290"/>
      <c r="R294" s="2290"/>
      <c r="S294" s="2290"/>
      <c r="T294" s="2290"/>
      <c r="U294" s="2290"/>
      <c r="V294" s="2290"/>
      <c r="W294" s="2290"/>
      <c r="X294" s="2290"/>
      <c r="Y294" s="2290"/>
      <c r="Z294" s="2290"/>
      <c r="AA294" s="2290"/>
      <c r="AB294" s="2290"/>
      <c r="AC294" s="2290"/>
      <c r="AD294" s="2290"/>
      <c r="AE294" s="2290"/>
      <c r="AF294" s="2290"/>
      <c r="AG294" s="2290"/>
      <c r="AH294" s="2290"/>
      <c r="AI294" s="2290"/>
      <c r="AJ294" s="2290"/>
      <c r="AK294" s="2290"/>
      <c r="AL294" s="2290"/>
      <c r="AM294" s="449"/>
      <c r="AN294" s="58"/>
    </row>
    <row r="295" spans="1:49">
      <c r="A295" s="449"/>
      <c r="B295" s="2290"/>
      <c r="C295" s="2290"/>
      <c r="D295" s="2290"/>
      <c r="E295" s="2290"/>
      <c r="F295" s="2290"/>
      <c r="G295" s="2290"/>
      <c r="H295" s="2290"/>
      <c r="I295" s="2290"/>
      <c r="J295" s="2290"/>
      <c r="K295" s="2290"/>
      <c r="L295" s="2290"/>
      <c r="M295" s="2290"/>
      <c r="N295" s="2290"/>
      <c r="O295" s="2290"/>
      <c r="P295" s="2290"/>
      <c r="Q295" s="2290"/>
      <c r="R295" s="2290"/>
      <c r="S295" s="2290"/>
      <c r="T295" s="2290"/>
      <c r="U295" s="2290"/>
      <c r="V295" s="2290"/>
      <c r="W295" s="2290"/>
      <c r="X295" s="2290"/>
      <c r="Y295" s="2290"/>
      <c r="Z295" s="2290"/>
      <c r="AA295" s="2290"/>
      <c r="AB295" s="2290"/>
      <c r="AC295" s="2290"/>
      <c r="AD295" s="2290"/>
      <c r="AE295" s="2290"/>
      <c r="AF295" s="2290"/>
      <c r="AG295" s="2290"/>
      <c r="AH295" s="2290"/>
      <c r="AI295" s="2290"/>
      <c r="AJ295" s="2290"/>
      <c r="AK295" s="2290"/>
      <c r="AL295" s="2290"/>
      <c r="AM295" s="449"/>
      <c r="AN295" s="58"/>
    </row>
    <row r="296" spans="1:49">
      <c r="A296" s="449"/>
      <c r="B296" s="2290"/>
      <c r="C296" s="2290"/>
      <c r="D296" s="2290"/>
      <c r="E296" s="2290"/>
      <c r="F296" s="2290"/>
      <c r="G296" s="2290"/>
      <c r="H296" s="2290"/>
      <c r="I296" s="2290"/>
      <c r="J296" s="2290"/>
      <c r="K296" s="2290"/>
      <c r="L296" s="2290"/>
      <c r="M296" s="2290"/>
      <c r="N296" s="2290"/>
      <c r="O296" s="2290"/>
      <c r="P296" s="2290"/>
      <c r="Q296" s="2290"/>
      <c r="R296" s="2290"/>
      <c r="S296" s="2290"/>
      <c r="T296" s="2290"/>
      <c r="U296" s="2290"/>
      <c r="V296" s="2290"/>
      <c r="W296" s="2290"/>
      <c r="X296" s="2290"/>
      <c r="Y296" s="2290"/>
      <c r="Z296" s="2290"/>
      <c r="AA296" s="2290"/>
      <c r="AB296" s="2290"/>
      <c r="AC296" s="2290"/>
      <c r="AD296" s="2290"/>
      <c r="AE296" s="2290"/>
      <c r="AF296" s="2290"/>
      <c r="AG296" s="2290"/>
      <c r="AH296" s="2290"/>
      <c r="AI296" s="2290"/>
      <c r="AJ296" s="2290"/>
      <c r="AK296" s="2290"/>
      <c r="AL296" s="229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2287</v>
      </c>
      <c r="AK298" s="2382">
        <f>IF($C$279="yes",10,0)</f>
        <v>10</v>
      </c>
      <c r="AL298" s="2382"/>
      <c r="AM298" s="2383"/>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2288</v>
      </c>
      <c r="B301" s="438" t="s">
        <v>2289</v>
      </c>
      <c r="AH301" s="489" t="s">
        <v>2148</v>
      </c>
    </row>
    <row r="302" spans="1:49" ht="15" customHeight="1">
      <c r="B302" s="439"/>
    </row>
    <row r="303" spans="1:49" ht="15" customHeight="1">
      <c r="B303" s="439" t="s">
        <v>2149</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11" t="s">
        <v>2290</v>
      </c>
      <c r="B305" s="1311"/>
      <c r="C305" s="2364" t="s">
        <v>822</v>
      </c>
      <c r="D305" s="2374"/>
      <c r="E305" s="446"/>
      <c r="F305" s="2396" t="s">
        <v>2291</v>
      </c>
      <c r="G305" s="2397"/>
      <c r="H305" s="2397"/>
      <c r="I305" s="2397"/>
      <c r="J305" s="2397"/>
      <c r="K305" s="2397"/>
      <c r="L305" s="2397"/>
      <c r="M305" s="2397"/>
      <c r="N305" s="2397"/>
      <c r="O305" s="2397"/>
      <c r="P305" s="2397"/>
      <c r="Q305" s="2397"/>
      <c r="R305" s="2397"/>
      <c r="S305" s="2397"/>
      <c r="T305" s="2397"/>
      <c r="U305" s="2397"/>
      <c r="V305" s="2397"/>
      <c r="W305" s="2397"/>
      <c r="X305" s="2397"/>
      <c r="Y305" s="2397"/>
      <c r="Z305" s="2397"/>
      <c r="AA305" s="2397"/>
      <c r="AB305" s="2397"/>
      <c r="AC305" s="2397"/>
      <c r="AD305" s="2398"/>
      <c r="AE305" s="540"/>
      <c r="AF305" s="449"/>
      <c r="AG305" s="2608" t="s">
        <v>2292</v>
      </c>
      <c r="AH305" s="2608"/>
      <c r="AI305" s="2608"/>
      <c r="AJ305" s="2608"/>
      <c r="AK305" s="2608"/>
      <c r="AL305" s="449"/>
      <c r="AM305" s="449"/>
      <c r="AN305" s="58"/>
      <c r="AO305" s="13"/>
      <c r="AP305" s="25"/>
      <c r="AS305" s="468"/>
      <c r="AT305" s="468"/>
      <c r="AU305" s="468"/>
      <c r="AV305" s="27"/>
      <c r="AW305" s="27"/>
    </row>
    <row r="306" spans="1:49">
      <c r="A306" s="538"/>
      <c r="B306" s="494"/>
      <c r="F306" s="2368"/>
      <c r="G306" s="2369"/>
      <c r="H306" s="2369"/>
      <c r="I306" s="2369"/>
      <c r="J306" s="2369"/>
      <c r="K306" s="2369"/>
      <c r="L306" s="2369"/>
      <c r="M306" s="2369"/>
      <c r="N306" s="2369"/>
      <c r="O306" s="2369"/>
      <c r="P306" s="2369"/>
      <c r="Q306" s="2369"/>
      <c r="R306" s="2369"/>
      <c r="S306" s="2369"/>
      <c r="T306" s="2369"/>
      <c r="U306" s="2369"/>
      <c r="V306" s="2369"/>
      <c r="W306" s="2369"/>
      <c r="X306" s="2369"/>
      <c r="Y306" s="2369"/>
      <c r="Z306" s="2369"/>
      <c r="AA306" s="2369"/>
      <c r="AB306" s="2369"/>
      <c r="AC306" s="2369"/>
      <c r="AD306" s="2370"/>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8"/>
      <c r="G307" s="2369"/>
      <c r="H307" s="2369"/>
      <c r="I307" s="2369"/>
      <c r="J307" s="2369"/>
      <c r="K307" s="2369"/>
      <c r="L307" s="2369"/>
      <c r="M307" s="2369"/>
      <c r="N307" s="2369"/>
      <c r="O307" s="2369"/>
      <c r="P307" s="2369"/>
      <c r="Q307" s="2369"/>
      <c r="R307" s="2369"/>
      <c r="S307" s="2369"/>
      <c r="T307" s="2369"/>
      <c r="U307" s="2369"/>
      <c r="V307" s="2369"/>
      <c r="W307" s="2369"/>
      <c r="X307" s="2369"/>
      <c r="Y307" s="2369"/>
      <c r="Z307" s="2369"/>
      <c r="AA307" s="2369"/>
      <c r="AB307" s="2369"/>
      <c r="AC307" s="2369"/>
      <c r="AD307" s="2370"/>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8" t="s">
        <v>2293</v>
      </c>
      <c r="G308" s="2369"/>
      <c r="H308" s="2369"/>
      <c r="I308" s="2369"/>
      <c r="J308" s="2369"/>
      <c r="K308" s="2369"/>
      <c r="L308" s="2369"/>
      <c r="M308" s="2369"/>
      <c r="N308" s="2369"/>
      <c r="O308" s="2369"/>
      <c r="P308" s="2369"/>
      <c r="Q308" s="2369"/>
      <c r="R308" s="2369"/>
      <c r="S308" s="2369"/>
      <c r="T308" s="2369"/>
      <c r="U308" s="2369"/>
      <c r="V308" s="2369"/>
      <c r="W308" s="2369"/>
      <c r="X308" s="2369"/>
      <c r="Y308" s="2369"/>
      <c r="Z308" s="2369"/>
      <c r="AA308" s="2369"/>
      <c r="AB308" s="2369"/>
      <c r="AC308" s="2369"/>
      <c r="AD308" s="2370"/>
      <c r="AE308" s="540"/>
      <c r="AF308" s="450"/>
      <c r="AH308" s="450"/>
      <c r="AI308" s="450"/>
      <c r="AJ308" s="449"/>
      <c r="AK308" s="449"/>
      <c r="AL308" s="449"/>
      <c r="AM308" s="449"/>
      <c r="AN308" s="58"/>
      <c r="AO308" s="13"/>
      <c r="AP308" s="509">
        <f>MAX(AP306,AP307)</f>
        <v>9</v>
      </c>
      <c r="AQ308" s="472" t="s">
        <v>2152</v>
      </c>
      <c r="AS308" s="468"/>
      <c r="AT308" s="468"/>
      <c r="AU308" s="468"/>
      <c r="AV308" s="27"/>
      <c r="AW308" s="27"/>
    </row>
    <row r="309" spans="1:49">
      <c r="A309" s="538"/>
      <c r="B309" s="494"/>
      <c r="F309" s="2368"/>
      <c r="G309" s="2369"/>
      <c r="H309" s="2369"/>
      <c r="I309" s="2369"/>
      <c r="J309" s="2369"/>
      <c r="K309" s="2369"/>
      <c r="L309" s="2369"/>
      <c r="M309" s="2369"/>
      <c r="N309" s="2369"/>
      <c r="O309" s="2369"/>
      <c r="P309" s="2369"/>
      <c r="Q309" s="2369"/>
      <c r="R309" s="2369"/>
      <c r="S309" s="2369"/>
      <c r="T309" s="2369"/>
      <c r="U309" s="2369"/>
      <c r="V309" s="2369"/>
      <c r="W309" s="2369"/>
      <c r="X309" s="2369"/>
      <c r="Y309" s="2369"/>
      <c r="Z309" s="2369"/>
      <c r="AA309" s="2369"/>
      <c r="AB309" s="2369"/>
      <c r="AC309" s="2369"/>
      <c r="AD309" s="237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8" t="s">
        <v>2294</v>
      </c>
      <c r="G310" s="2369"/>
      <c r="H310" s="2369"/>
      <c r="I310" s="2369"/>
      <c r="J310" s="2369"/>
      <c r="K310" s="2369"/>
      <c r="L310" s="2369"/>
      <c r="M310" s="2369"/>
      <c r="N310" s="2369"/>
      <c r="O310" s="2369"/>
      <c r="P310" s="2369"/>
      <c r="Q310" s="2369"/>
      <c r="R310" s="2369"/>
      <c r="S310" s="2369"/>
      <c r="T310" s="2369"/>
      <c r="U310" s="2369"/>
      <c r="V310" s="2369"/>
      <c r="W310" s="2369"/>
      <c r="X310" s="2369"/>
      <c r="Y310" s="2369"/>
      <c r="Z310" s="2369"/>
      <c r="AA310" s="2369"/>
      <c r="AB310" s="2369"/>
      <c r="AC310" s="2369"/>
      <c r="AD310" s="237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8"/>
      <c r="G311" s="2369"/>
      <c r="H311" s="2369"/>
      <c r="I311" s="2369"/>
      <c r="J311" s="2369"/>
      <c r="K311" s="2369"/>
      <c r="L311" s="2369"/>
      <c r="M311" s="2369"/>
      <c r="N311" s="2369"/>
      <c r="O311" s="2369"/>
      <c r="P311" s="2369"/>
      <c r="Q311" s="2369"/>
      <c r="R311" s="2369"/>
      <c r="S311" s="2369"/>
      <c r="T311" s="2369"/>
      <c r="U311" s="2369"/>
      <c r="V311" s="2369"/>
      <c r="W311" s="2369"/>
      <c r="X311" s="2369"/>
      <c r="Y311" s="2369"/>
      <c r="Z311" s="2369"/>
      <c r="AA311" s="2369"/>
      <c r="AB311" s="2369"/>
      <c r="AC311" s="2369"/>
      <c r="AD311" s="237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8" t="s">
        <v>2295</v>
      </c>
      <c r="G312" s="2369"/>
      <c r="H312" s="2369"/>
      <c r="I312" s="2369"/>
      <c r="J312" s="2369"/>
      <c r="K312" s="2369"/>
      <c r="L312" s="2369"/>
      <c r="M312" s="2369"/>
      <c r="N312" s="2369"/>
      <c r="O312" s="2369"/>
      <c r="P312" s="2369"/>
      <c r="Q312" s="2369"/>
      <c r="R312" s="2369"/>
      <c r="S312" s="2369"/>
      <c r="T312" s="2369"/>
      <c r="U312" s="2369"/>
      <c r="V312" s="2369"/>
      <c r="W312" s="2369"/>
      <c r="X312" s="2369"/>
      <c r="Y312" s="2369"/>
      <c r="Z312" s="2369"/>
      <c r="AA312" s="2369"/>
      <c r="AB312" s="2369"/>
      <c r="AC312" s="2369"/>
      <c r="AD312" s="237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71"/>
      <c r="G313" s="2372"/>
      <c r="H313" s="2372"/>
      <c r="I313" s="2372"/>
      <c r="J313" s="2372"/>
      <c r="K313" s="2372"/>
      <c r="L313" s="2372"/>
      <c r="M313" s="2372"/>
      <c r="N313" s="2372"/>
      <c r="O313" s="2372"/>
      <c r="P313" s="2372"/>
      <c r="Q313" s="2372"/>
      <c r="R313" s="2372"/>
      <c r="S313" s="2372"/>
      <c r="T313" s="2372"/>
      <c r="U313" s="2372"/>
      <c r="V313" s="2372"/>
      <c r="W313" s="2372"/>
      <c r="X313" s="2372"/>
      <c r="Y313" s="2372"/>
      <c r="Z313" s="2372"/>
      <c r="AA313" s="2372"/>
      <c r="AB313" s="2372"/>
      <c r="AC313" s="2372"/>
      <c r="AD313" s="237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11" t="s">
        <v>2296</v>
      </c>
      <c r="B315" s="1311"/>
      <c r="C315" s="2374" t="s">
        <v>857</v>
      </c>
      <c r="D315" s="2374"/>
      <c r="E315" s="446"/>
      <c r="F315" s="861" t="s">
        <v>2297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2298</v>
      </c>
      <c r="AH315" s="450"/>
      <c r="AI315" s="450"/>
      <c r="AJ315" s="449"/>
      <c r="AK315" s="449"/>
      <c r="AL315" s="449"/>
      <c r="AM315" s="449"/>
      <c r="AN315" s="543"/>
      <c r="AO315" s="13"/>
    </row>
    <row r="316" spans="1:49">
      <c r="A316" s="449"/>
      <c r="B316" s="450"/>
      <c r="C316" s="449"/>
      <c r="D316" s="450"/>
      <c r="E316" s="449"/>
      <c r="F316" s="2368" t="s">
        <v>2299</v>
      </c>
      <c r="G316" s="2369"/>
      <c r="H316" s="2369"/>
      <c r="I316" s="2369"/>
      <c r="J316" s="2369"/>
      <c r="K316" s="2369"/>
      <c r="L316" s="2369"/>
      <c r="M316" s="2369"/>
      <c r="N316" s="2369"/>
      <c r="O316" s="2369"/>
      <c r="P316" s="2369"/>
      <c r="Q316" s="2369"/>
      <c r="R316" s="2369"/>
      <c r="S316" s="2369"/>
      <c r="T316" s="2369"/>
      <c r="U316" s="2369"/>
      <c r="V316" s="2369"/>
      <c r="W316" s="2369"/>
      <c r="X316" s="2369"/>
      <c r="Y316" s="2369"/>
      <c r="Z316" s="2369"/>
      <c r="AA316" s="2369"/>
      <c r="AB316" s="2369"/>
      <c r="AC316" s="2369"/>
      <c r="AD316" s="2370"/>
      <c r="AE316" s="450"/>
      <c r="AF316" s="450"/>
      <c r="AG316" s="450"/>
      <c r="AH316" s="450"/>
      <c r="AI316" s="450"/>
      <c r="AJ316" s="449"/>
      <c r="AK316" s="449"/>
      <c r="AL316" s="449"/>
      <c r="AM316" s="449"/>
      <c r="AR316" s="544"/>
    </row>
    <row r="317" spans="1:49" ht="15" customHeight="1">
      <c r="A317" s="449"/>
      <c r="B317" s="450"/>
      <c r="C317" s="449"/>
      <c r="D317" s="450"/>
      <c r="E317" s="449"/>
      <c r="F317" s="2368"/>
      <c r="G317" s="2369"/>
      <c r="H317" s="2369"/>
      <c r="I317" s="2369"/>
      <c r="J317" s="2369"/>
      <c r="K317" s="2369"/>
      <c r="L317" s="2369"/>
      <c r="M317" s="2369"/>
      <c r="N317" s="2369"/>
      <c r="O317" s="2369"/>
      <c r="P317" s="2369"/>
      <c r="Q317" s="2369"/>
      <c r="R317" s="2369"/>
      <c r="S317" s="2369"/>
      <c r="T317" s="2369"/>
      <c r="U317" s="2369"/>
      <c r="V317" s="2369"/>
      <c r="W317" s="2369"/>
      <c r="X317" s="2369"/>
      <c r="Y317" s="2369"/>
      <c r="Z317" s="2369"/>
      <c r="AA317" s="2369"/>
      <c r="AB317" s="2369"/>
      <c r="AC317" s="2369"/>
      <c r="AD317" s="2370"/>
      <c r="AE317" s="450"/>
      <c r="AF317" s="450"/>
      <c r="AG317" s="450"/>
      <c r="AH317" s="450"/>
      <c r="AI317" s="450"/>
      <c r="AJ317" s="449"/>
      <c r="AK317" s="449"/>
      <c r="AL317" s="449"/>
      <c r="AM317" s="449"/>
      <c r="AR317" s="544"/>
    </row>
    <row r="318" spans="1:49">
      <c r="A318" s="449"/>
      <c r="B318" s="450"/>
      <c r="C318" s="449"/>
      <c r="D318" s="450"/>
      <c r="E318" s="449"/>
      <c r="F318" s="2368"/>
      <c r="G318" s="2369"/>
      <c r="H318" s="2369"/>
      <c r="I318" s="2369"/>
      <c r="J318" s="2369"/>
      <c r="K318" s="2369"/>
      <c r="L318" s="2369"/>
      <c r="M318" s="2369"/>
      <c r="N318" s="2369"/>
      <c r="O318" s="2369"/>
      <c r="P318" s="2369"/>
      <c r="Q318" s="2369"/>
      <c r="R318" s="2369"/>
      <c r="S318" s="2369"/>
      <c r="T318" s="2369"/>
      <c r="U318" s="2369"/>
      <c r="V318" s="2369"/>
      <c r="W318" s="2369"/>
      <c r="X318" s="2369"/>
      <c r="Y318" s="2369"/>
      <c r="Z318" s="2369"/>
      <c r="AA318" s="2369"/>
      <c r="AB318" s="2369"/>
      <c r="AC318" s="2369"/>
      <c r="AD318" s="237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71"/>
      <c r="G319" s="2372"/>
      <c r="H319" s="2372"/>
      <c r="I319" s="2372"/>
      <c r="J319" s="2372"/>
      <c r="K319" s="2372"/>
      <c r="L319" s="2372"/>
      <c r="M319" s="2372"/>
      <c r="N319" s="2372"/>
      <c r="O319" s="2372"/>
      <c r="P319" s="2372"/>
      <c r="Q319" s="2372"/>
      <c r="R319" s="2372"/>
      <c r="S319" s="2372"/>
      <c r="T319" s="2372"/>
      <c r="U319" s="2372"/>
      <c r="V319" s="2372"/>
      <c r="W319" s="2372"/>
      <c r="X319" s="2372"/>
      <c r="Y319" s="2372"/>
      <c r="Z319" s="2372"/>
      <c r="AA319" s="2372"/>
      <c r="AB319" s="2372"/>
      <c r="AC319" s="2372"/>
      <c r="AD319" s="237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11" t="s">
        <v>2300</v>
      </c>
      <c r="B323" s="1311"/>
      <c r="C323" s="2374" t="s">
        <v>822</v>
      </c>
      <c r="D323" s="2374"/>
      <c r="E323" s="446"/>
      <c r="F323" s="542" t="s">
        <v>2301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2298</v>
      </c>
      <c r="AH323" s="450"/>
      <c r="AI323" s="450"/>
      <c r="AJ323" s="449"/>
      <c r="AK323" s="449"/>
      <c r="AL323" s="449"/>
      <c r="AM323" s="449"/>
      <c r="AN323" s="58"/>
      <c r="AO323" s="13"/>
    </row>
    <row r="324" spans="1:44" hidden="1">
      <c r="A324" s="65"/>
      <c r="B324" s="65"/>
      <c r="C324" s="626"/>
      <c r="D324" s="626"/>
      <c r="E324" s="446"/>
      <c r="F324" s="2368" t="s">
        <v>2302</v>
      </c>
      <c r="G324" s="2369"/>
      <c r="H324" s="2369"/>
      <c r="I324" s="2369"/>
      <c r="J324" s="2369"/>
      <c r="K324" s="2369"/>
      <c r="L324" s="2369"/>
      <c r="M324" s="2369"/>
      <c r="N324" s="2369"/>
      <c r="O324" s="2369"/>
      <c r="P324" s="2369"/>
      <c r="Q324" s="2369"/>
      <c r="R324" s="2369"/>
      <c r="S324" s="2369"/>
      <c r="T324" s="2369"/>
      <c r="U324" s="2369"/>
      <c r="V324" s="2369"/>
      <c r="W324" s="2369"/>
      <c r="X324" s="2369"/>
      <c r="Y324" s="2369"/>
      <c r="Z324" s="2369"/>
      <c r="AA324" s="2369"/>
      <c r="AB324" s="2369"/>
      <c r="AC324" s="2369"/>
      <c r="AD324" s="2370"/>
      <c r="AE324" s="450"/>
      <c r="AF324" s="450"/>
      <c r="AG324" s="439"/>
      <c r="AH324" s="450"/>
      <c r="AI324" s="450"/>
      <c r="AJ324" s="449"/>
      <c r="AK324" s="449"/>
      <c r="AL324" s="449"/>
      <c r="AM324" s="449"/>
      <c r="AN324" s="58"/>
      <c r="AO324" s="13"/>
      <c r="AP324" s="455" t="s">
        <v>1038</v>
      </c>
    </row>
    <row r="325" spans="1:44" hidden="1">
      <c r="F325" s="2368"/>
      <c r="G325" s="2369"/>
      <c r="H325" s="2369"/>
      <c r="I325" s="2369"/>
      <c r="J325" s="2369"/>
      <c r="K325" s="2369"/>
      <c r="L325" s="2369"/>
      <c r="M325" s="2369"/>
      <c r="N325" s="2369"/>
      <c r="O325" s="2369"/>
      <c r="P325" s="2369"/>
      <c r="Q325" s="2369"/>
      <c r="R325" s="2369"/>
      <c r="S325" s="2369"/>
      <c r="T325" s="2369"/>
      <c r="U325" s="2369"/>
      <c r="V325" s="2369"/>
      <c r="W325" s="2369"/>
      <c r="X325" s="2369"/>
      <c r="Y325" s="2369"/>
      <c r="Z325" s="2369"/>
      <c r="AA325" s="2369"/>
      <c r="AB325" s="2369"/>
      <c r="AC325" s="2369"/>
      <c r="AD325" s="2370"/>
      <c r="AE325" s="450"/>
      <c r="AF325" s="450"/>
      <c r="AH325" s="450"/>
      <c r="AI325" s="450"/>
      <c r="AJ325" s="449"/>
      <c r="AK325" s="449"/>
      <c r="AL325" s="449"/>
      <c r="AM325" s="449"/>
      <c r="AN325" s="58"/>
      <c r="AO325" s="13"/>
      <c r="AP325" s="455" t="s">
        <v>2303</v>
      </c>
    </row>
    <row r="326" spans="1:44" hidden="1">
      <c r="A326" s="449"/>
      <c r="B326" s="450"/>
      <c r="C326" s="626"/>
      <c r="D326" s="626"/>
      <c r="E326" s="446"/>
      <c r="F326" s="548" t="s">
        <v>2304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2305</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2306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02" t="s">
        <v>1038</v>
      </c>
      <c r="G329" s="2403"/>
      <c r="H329" s="2403"/>
      <c r="I329" s="2403"/>
      <c r="J329" s="2403"/>
      <c r="K329" s="2403"/>
      <c r="L329" s="2403"/>
      <c r="M329" s="2403"/>
      <c r="N329" s="2403"/>
      <c r="O329" s="2403"/>
      <c r="P329" s="2403"/>
      <c r="Q329" s="2403"/>
      <c r="R329" s="2403"/>
      <c r="S329" s="2403"/>
      <c r="T329" s="2403"/>
      <c r="U329" s="2403"/>
      <c r="V329" s="2403"/>
      <c r="W329" s="2403"/>
      <c r="X329" s="2403"/>
      <c r="Y329" s="2403"/>
      <c r="Z329" s="2403"/>
      <c r="AA329" s="2403"/>
      <c r="AB329" s="2403"/>
      <c r="AC329" s="2403"/>
      <c r="AD329" s="2404"/>
      <c r="AE329" s="540"/>
      <c r="AF329" s="540"/>
      <c r="AG329" s="540"/>
      <c r="AH329" s="540"/>
      <c r="AI329" s="540"/>
      <c r="AJ329" s="540"/>
      <c r="AK329" s="540"/>
      <c r="AL329" s="449"/>
      <c r="AM329" s="449"/>
      <c r="AN329" s="58"/>
      <c r="AO329" s="13"/>
      <c r="AP329" s="25"/>
    </row>
    <row r="330" spans="1:44" hidden="1">
      <c r="A330" s="449"/>
      <c r="B330" s="450"/>
      <c r="C330" s="626"/>
      <c r="D330" s="626"/>
      <c r="E330" s="446"/>
      <c r="F330" s="2402"/>
      <c r="G330" s="2403"/>
      <c r="H330" s="2403"/>
      <c r="I330" s="2403"/>
      <c r="J330" s="2403"/>
      <c r="K330" s="2403"/>
      <c r="L330" s="2403"/>
      <c r="M330" s="2403"/>
      <c r="N330" s="2403"/>
      <c r="O330" s="2403"/>
      <c r="P330" s="2403"/>
      <c r="Q330" s="2403"/>
      <c r="R330" s="2403"/>
      <c r="S330" s="2403"/>
      <c r="T330" s="2403"/>
      <c r="U330" s="2403"/>
      <c r="V330" s="2403"/>
      <c r="W330" s="2403"/>
      <c r="X330" s="2403"/>
      <c r="Y330" s="2403"/>
      <c r="Z330" s="2403"/>
      <c r="AA330" s="2403"/>
      <c r="AB330" s="2403"/>
      <c r="AC330" s="2403"/>
      <c r="AD330" s="2404"/>
      <c r="AE330" s="450"/>
      <c r="AF330" s="450"/>
      <c r="AG330" s="439"/>
      <c r="AH330" s="450"/>
      <c r="AI330" s="450"/>
      <c r="AJ330" s="449"/>
      <c r="AK330" s="449"/>
      <c r="AL330" s="449"/>
      <c r="AM330" s="449"/>
      <c r="AN330" s="58"/>
      <c r="AO330" s="13"/>
      <c r="AP330" s="25"/>
    </row>
    <row r="331" spans="1:44" hidden="1">
      <c r="A331" s="449"/>
      <c r="B331" s="450"/>
      <c r="C331" s="626"/>
      <c r="D331" s="626"/>
      <c r="E331" s="446"/>
      <c r="F331" s="2402"/>
      <c r="G331" s="2403"/>
      <c r="H331" s="2403"/>
      <c r="I331" s="2403"/>
      <c r="J331" s="2403"/>
      <c r="K331" s="2403"/>
      <c r="L331" s="2403"/>
      <c r="M331" s="2403"/>
      <c r="N331" s="2403"/>
      <c r="O331" s="2403"/>
      <c r="P331" s="2403"/>
      <c r="Q331" s="2403"/>
      <c r="R331" s="2403"/>
      <c r="S331" s="2403"/>
      <c r="T331" s="2403"/>
      <c r="U331" s="2403"/>
      <c r="V331" s="2403"/>
      <c r="W331" s="2403"/>
      <c r="X331" s="2403"/>
      <c r="Y331" s="2403"/>
      <c r="Z331" s="2403"/>
      <c r="AA331" s="2403"/>
      <c r="AB331" s="2403"/>
      <c r="AC331" s="2403"/>
      <c r="AD331" s="2404"/>
      <c r="AE331" s="450"/>
      <c r="AF331" s="450"/>
      <c r="AG331" s="439"/>
      <c r="AH331" s="450"/>
      <c r="AI331" s="450"/>
      <c r="AJ331" s="449"/>
      <c r="AK331" s="449"/>
      <c r="AL331" s="449"/>
      <c r="AM331" s="449"/>
      <c r="AN331" s="58"/>
      <c r="AO331" s="13"/>
      <c r="AP331" s="25"/>
    </row>
    <row r="332" spans="1:44" hidden="1">
      <c r="A332" s="449"/>
      <c r="B332" s="450"/>
      <c r="C332" s="626"/>
      <c r="D332" s="626"/>
      <c r="E332" s="446"/>
      <c r="F332" s="2402"/>
      <c r="G332" s="2403"/>
      <c r="H332" s="2403"/>
      <c r="I332" s="2403"/>
      <c r="J332" s="2403"/>
      <c r="K332" s="2403"/>
      <c r="L332" s="2403"/>
      <c r="M332" s="2403"/>
      <c r="N332" s="2403"/>
      <c r="O332" s="2403"/>
      <c r="P332" s="2403"/>
      <c r="Q332" s="2403"/>
      <c r="R332" s="2403"/>
      <c r="S332" s="2403"/>
      <c r="T332" s="2403"/>
      <c r="U332" s="2403"/>
      <c r="V332" s="2403"/>
      <c r="W332" s="2403"/>
      <c r="X332" s="2403"/>
      <c r="Y332" s="2403"/>
      <c r="Z332" s="2403"/>
      <c r="AA332" s="2403"/>
      <c r="AB332" s="2403"/>
      <c r="AC332" s="2403"/>
      <c r="AD332" s="2404"/>
      <c r="AE332" s="450"/>
      <c r="AF332" s="450"/>
      <c r="AG332" s="439"/>
      <c r="AH332" s="450"/>
      <c r="AI332" s="450"/>
      <c r="AJ332" s="449"/>
      <c r="AK332" s="449"/>
      <c r="AL332" s="449"/>
      <c r="AM332" s="449"/>
      <c r="AN332" s="58"/>
      <c r="AO332" s="13"/>
      <c r="AP332" s="25"/>
    </row>
    <row r="333" spans="1:44" hidden="1">
      <c r="A333" s="449"/>
      <c r="B333" s="450"/>
      <c r="C333" s="626"/>
      <c r="D333" s="626"/>
      <c r="E333" s="446"/>
      <c r="F333" s="2405"/>
      <c r="G333" s="2406"/>
      <c r="H333" s="2406"/>
      <c r="I333" s="2406"/>
      <c r="J333" s="2406"/>
      <c r="K333" s="2406"/>
      <c r="L333" s="2406"/>
      <c r="M333" s="2406"/>
      <c r="N333" s="2406"/>
      <c r="O333" s="2406"/>
      <c r="P333" s="2406"/>
      <c r="Q333" s="2406"/>
      <c r="R333" s="2406"/>
      <c r="S333" s="2406"/>
      <c r="T333" s="2406"/>
      <c r="U333" s="2406"/>
      <c r="V333" s="2406"/>
      <c r="W333" s="2406"/>
      <c r="X333" s="2406"/>
      <c r="Y333" s="2406"/>
      <c r="Z333" s="2406"/>
      <c r="AA333" s="2406"/>
      <c r="AB333" s="2406"/>
      <c r="AC333" s="2406"/>
      <c r="AD333" s="2407"/>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2307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1038</v>
      </c>
    </row>
    <row r="337" spans="1:42" ht="12.75" hidden="1" customHeight="1">
      <c r="A337" s="449"/>
      <c r="B337" s="450"/>
      <c r="C337" s="626"/>
      <c r="D337" s="626"/>
      <c r="E337" s="446"/>
      <c r="F337" s="552"/>
      <c r="G337" s="473" t="s">
        <v>22</v>
      </c>
      <c r="H337" s="473"/>
      <c r="I337" s="2408" t="s">
        <v>1038</v>
      </c>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9"/>
      <c r="AE337" s="450"/>
      <c r="AF337" s="450"/>
      <c r="AG337" s="439"/>
      <c r="AH337" s="450"/>
      <c r="AI337" s="450"/>
      <c r="AJ337" s="449"/>
      <c r="AK337" s="449"/>
      <c r="AL337" s="449"/>
      <c r="AM337" s="449"/>
      <c r="AN337" s="58"/>
      <c r="AO337" s="13"/>
      <c r="AP337" s="455" t="s">
        <v>2308</v>
      </c>
    </row>
    <row r="338" spans="1:42" hidden="1">
      <c r="A338" s="449"/>
      <c r="B338" s="450"/>
      <c r="C338" s="626"/>
      <c r="D338" s="626"/>
      <c r="E338" s="446"/>
      <c r="F338" s="552"/>
      <c r="G338" s="473"/>
      <c r="H338" s="473"/>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9"/>
      <c r="AE338" s="450"/>
      <c r="AF338" s="450"/>
      <c r="AG338" s="439"/>
      <c r="AH338" s="450"/>
      <c r="AI338" s="450"/>
      <c r="AJ338" s="449"/>
      <c r="AK338" s="449"/>
      <c r="AL338" s="449"/>
      <c r="AM338" s="449"/>
      <c r="AN338" s="58"/>
      <c r="AO338" s="13"/>
      <c r="AP338" s="455" t="s">
        <v>2309</v>
      </c>
    </row>
    <row r="339" spans="1:42" hidden="1">
      <c r="A339" s="449"/>
      <c r="B339" s="450"/>
      <c r="C339" s="547"/>
      <c r="D339" s="547"/>
      <c r="E339" s="446"/>
      <c r="F339" s="552"/>
      <c r="G339" s="473"/>
      <c r="H339" s="473"/>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9"/>
      <c r="AE339" s="450"/>
      <c r="AF339" s="450"/>
      <c r="AG339" s="439"/>
      <c r="AH339" s="450"/>
      <c r="AI339" s="450"/>
      <c r="AJ339" s="449"/>
      <c r="AK339" s="449"/>
      <c r="AL339" s="449"/>
      <c r="AM339" s="449"/>
      <c r="AN339" s="58"/>
      <c r="AO339" s="13"/>
      <c r="AP339" s="455" t="s">
        <v>2310</v>
      </c>
    </row>
    <row r="340" spans="1:42" hidden="1">
      <c r="A340" s="449"/>
      <c r="B340" s="450"/>
      <c r="C340" s="547"/>
      <c r="D340" s="547"/>
      <c r="E340" s="446"/>
      <c r="F340" s="550"/>
      <c r="G340" s="450"/>
      <c r="H340" s="45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1"/>
      <c r="AE340" s="450"/>
      <c r="AF340" s="450"/>
      <c r="AG340" s="439"/>
      <c r="AH340" s="450"/>
      <c r="AI340" s="450"/>
      <c r="AJ340" s="449"/>
      <c r="AK340" s="449"/>
      <c r="AL340" s="449"/>
      <c r="AM340" s="449"/>
      <c r="AN340" s="58"/>
      <c r="AO340" s="13"/>
      <c r="AP340" s="455" t="s">
        <v>2311</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08" t="s">
        <v>1038</v>
      </c>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9"/>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9"/>
      <c r="AE343" s="450"/>
      <c r="AF343" s="450"/>
      <c r="AG343" s="439"/>
      <c r="AH343" s="450"/>
      <c r="AI343" s="450"/>
      <c r="AJ343" s="449"/>
      <c r="AK343" s="449"/>
      <c r="AL343" s="449"/>
      <c r="AM343" s="449"/>
      <c r="AN343" s="58"/>
      <c r="AO343" s="13"/>
      <c r="AP343" s="455" t="s">
        <v>1038</v>
      </c>
    </row>
    <row r="344" spans="1:42" hidden="1">
      <c r="A344" s="449"/>
      <c r="B344" s="450"/>
      <c r="C344" s="547"/>
      <c r="D344" s="547"/>
      <c r="E344" s="446"/>
      <c r="F344" s="553"/>
      <c r="G344" s="554"/>
      <c r="H344" s="554"/>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1"/>
      <c r="AE344" s="450"/>
      <c r="AF344" s="450"/>
      <c r="AG344" s="439"/>
      <c r="AH344" s="450"/>
      <c r="AI344" s="450"/>
      <c r="AJ344" s="449"/>
      <c r="AK344" s="449"/>
      <c r="AL344" s="449"/>
      <c r="AM344" s="449"/>
      <c r="AN344" s="58"/>
      <c r="AO344" s="13"/>
      <c r="AP344" s="455" t="s">
        <v>2312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2313</v>
      </c>
    </row>
    <row r="346" spans="1:42" ht="12.75" hidden="1" customHeight="1">
      <c r="A346" s="1311" t="s">
        <v>2314</v>
      </c>
      <c r="B346" s="1311"/>
      <c r="C346" s="2374" t="s">
        <v>822</v>
      </c>
      <c r="D346" s="2374"/>
      <c r="E346" s="446"/>
      <c r="F346" s="2307" t="s">
        <v>2315</v>
      </c>
      <c r="G346" s="2308"/>
      <c r="H346" s="2308"/>
      <c r="I346" s="2308"/>
      <c r="J346" s="2308"/>
      <c r="K346" s="2308"/>
      <c r="L346" s="2308"/>
      <c r="M346" s="2308"/>
      <c r="N346" s="2308"/>
      <c r="O346" s="2308"/>
      <c r="P346" s="2308"/>
      <c r="Q346" s="2308"/>
      <c r="R346" s="2308"/>
      <c r="S346" s="2308"/>
      <c r="T346" s="2308"/>
      <c r="U346" s="2308"/>
      <c r="V346" s="2308"/>
      <c r="W346" s="2308"/>
      <c r="X346" s="2308"/>
      <c r="Y346" s="2308"/>
      <c r="Z346" s="2308"/>
      <c r="AA346" s="2308"/>
      <c r="AB346" s="2308"/>
      <c r="AC346" s="2308"/>
      <c r="AD346" s="2309"/>
      <c r="AE346" s="450"/>
      <c r="AF346" s="450"/>
      <c r="AG346" s="439" t="s">
        <v>2298</v>
      </c>
      <c r="AH346" s="450"/>
      <c r="AI346" s="450"/>
      <c r="AJ346" s="449"/>
      <c r="AK346" s="449"/>
      <c r="AL346" s="449"/>
      <c r="AM346" s="449"/>
      <c r="AN346" s="58"/>
      <c r="AO346" s="13"/>
    </row>
    <row r="347" spans="1:42" ht="15" hidden="1" customHeight="1">
      <c r="A347" s="449"/>
      <c r="B347" s="450"/>
      <c r="C347" s="450"/>
      <c r="D347" s="450"/>
      <c r="E347" s="450"/>
      <c r="F347" s="2336"/>
      <c r="G347" s="2337"/>
      <c r="H347" s="2337"/>
      <c r="I347" s="2337"/>
      <c r="J347" s="2337"/>
      <c r="K347" s="2337"/>
      <c r="L347" s="2337"/>
      <c r="M347" s="2337"/>
      <c r="N347" s="2337"/>
      <c r="O347" s="2337"/>
      <c r="P347" s="2337"/>
      <c r="Q347" s="2337"/>
      <c r="R347" s="2337"/>
      <c r="S347" s="2337"/>
      <c r="T347" s="2337"/>
      <c r="U347" s="2337"/>
      <c r="V347" s="2337"/>
      <c r="W347" s="2337"/>
      <c r="X347" s="2337"/>
      <c r="Y347" s="2337"/>
      <c r="Z347" s="2337"/>
      <c r="AA347" s="2337"/>
      <c r="AB347" s="2337"/>
      <c r="AC347" s="2337"/>
      <c r="AD347" s="2338"/>
      <c r="AE347" s="450"/>
      <c r="AF347" s="450"/>
      <c r="AG347" s="450"/>
      <c r="AH347" s="450"/>
      <c r="AI347" s="450"/>
      <c r="AJ347" s="449"/>
      <c r="AK347" s="449"/>
      <c r="AL347" s="449"/>
      <c r="AM347" s="449"/>
      <c r="AN347" s="58"/>
      <c r="AO347" s="13"/>
    </row>
    <row r="348" spans="1:42" ht="15" hidden="1" customHeight="1">
      <c r="A348" s="449"/>
      <c r="B348" s="450"/>
      <c r="C348" s="450"/>
      <c r="D348" s="450"/>
      <c r="E348" s="450"/>
      <c r="F348" s="2336"/>
      <c r="G348" s="2337"/>
      <c r="H348" s="2337"/>
      <c r="I348" s="2337"/>
      <c r="J348" s="2337"/>
      <c r="K348" s="2337"/>
      <c r="L348" s="2337"/>
      <c r="M348" s="2337"/>
      <c r="N348" s="2337"/>
      <c r="O348" s="2337"/>
      <c r="P348" s="2337"/>
      <c r="Q348" s="2337"/>
      <c r="R348" s="2337"/>
      <c r="S348" s="2337"/>
      <c r="T348" s="2337"/>
      <c r="U348" s="2337"/>
      <c r="V348" s="2337"/>
      <c r="W348" s="2337"/>
      <c r="X348" s="2337"/>
      <c r="Y348" s="2337"/>
      <c r="Z348" s="2337"/>
      <c r="AA348" s="2337"/>
      <c r="AB348" s="2337"/>
      <c r="AC348" s="2337"/>
      <c r="AD348" s="2338"/>
      <c r="AE348" s="450"/>
      <c r="AF348" s="450"/>
      <c r="AG348" s="450"/>
      <c r="AH348" s="450"/>
      <c r="AI348" s="450"/>
      <c r="AJ348" s="449"/>
      <c r="AK348" s="449"/>
      <c r="AL348" s="449"/>
      <c r="AM348" s="555"/>
      <c r="AN348" s="13"/>
      <c r="AO348" s="13"/>
    </row>
    <row r="349" spans="1:42" hidden="1">
      <c r="A349" s="449"/>
      <c r="B349" s="450"/>
      <c r="C349" s="449"/>
      <c r="D349" s="450"/>
      <c r="E349" s="449"/>
      <c r="F349" s="556" t="s">
        <v>2316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2317</v>
      </c>
      <c r="AK351" s="2377">
        <f>IF(NOT(OR(Application!M364="Yes",Application!M365="Yes")),0,AP308)</f>
        <v>9</v>
      </c>
      <c r="AL351" s="2378"/>
      <c r="AM351" s="2379"/>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2318</v>
      </c>
      <c r="B354" s="439" t="s">
        <v>2319</v>
      </c>
      <c r="C354" s="436"/>
      <c r="AC354" s="439"/>
      <c r="AE354" s="2319" t="s">
        <v>2148</v>
      </c>
      <c r="AF354" s="2319"/>
      <c r="AG354" s="2319"/>
      <c r="AH354" s="2319"/>
      <c r="AI354" s="2319"/>
      <c r="AJ354" s="2319"/>
      <c r="AK354" s="231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12" t="s">
        <v>2320</v>
      </c>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501"/>
      <c r="AL356" s="501"/>
      <c r="AM356" s="501"/>
      <c r="AN356" s="495"/>
    </row>
    <row r="357" spans="1:44" s="449" customFormat="1" ht="12.75" customHeight="1">
      <c r="A357" s="501"/>
      <c r="B357" s="509"/>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501"/>
      <c r="AL357" s="501"/>
      <c r="AM357" s="501"/>
      <c r="AN357" s="495"/>
    </row>
    <row r="358" spans="1:44" s="449" customFormat="1" ht="12.75" customHeight="1">
      <c r="A358" s="501"/>
      <c r="B358" s="509"/>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501"/>
      <c r="AL358" s="501"/>
      <c r="AM358" s="501"/>
      <c r="AN358" s="495"/>
      <c r="AQ358" s="468"/>
    </row>
    <row r="359" spans="1:44" s="449" customFormat="1" ht="12.75" customHeight="1">
      <c r="A359" s="501"/>
      <c r="B359" s="509"/>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501"/>
      <c r="AL359" s="501"/>
      <c r="AM359" s="501"/>
      <c r="AN359" s="495"/>
      <c r="AQ359" s="468"/>
    </row>
    <row r="360" spans="1:44" s="449" customFormat="1" ht="12.6" customHeight="1">
      <c r="A360" s="501"/>
      <c r="B360" s="509"/>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501"/>
      <c r="AL360" s="501"/>
      <c r="AM360" s="501"/>
      <c r="AN360" s="495"/>
      <c r="AQ360" s="468"/>
      <c r="AR360" s="468"/>
    </row>
    <row r="361" spans="1:44" s="449" customFormat="1" ht="45.75" customHeight="1">
      <c r="A361" s="501"/>
      <c r="B361" s="509"/>
      <c r="C361" s="2412" t="s">
        <v>2321</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12" t="s">
        <v>2322</v>
      </c>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501"/>
      <c r="AL363" s="501"/>
      <c r="AM363" s="501"/>
      <c r="AN363" s="495"/>
      <c r="AQ363" s="468"/>
      <c r="AR363" s="468"/>
    </row>
    <row r="364" spans="1:44" s="449" customFormat="1" ht="30" customHeight="1">
      <c r="A364" s="501"/>
      <c r="B364" s="509"/>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501"/>
      <c r="AL364" s="501"/>
      <c r="AM364" s="501"/>
      <c r="AN364" s="495"/>
      <c r="AR364" s="468"/>
    </row>
    <row r="365" spans="1:44" s="449" customFormat="1" ht="12.75" customHeight="1">
      <c r="A365" s="501"/>
      <c r="B365" s="509"/>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501"/>
      <c r="AL365" s="501"/>
      <c r="AM365" s="501"/>
      <c r="AN365" s="495"/>
      <c r="AR365" s="468"/>
    </row>
    <row r="366" spans="1:44" s="449" customFormat="1" ht="12.75" customHeight="1">
      <c r="A366" s="501"/>
      <c r="B366" s="509"/>
      <c r="C366" s="2412" t="s">
        <v>2323</v>
      </c>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501"/>
      <c r="AL366" s="501"/>
      <c r="AM366" s="501"/>
      <c r="AN366" s="495"/>
      <c r="AQ366" s="468"/>
      <c r="AR366" s="468"/>
    </row>
    <row r="367" spans="1:44" s="449" customFormat="1" ht="12.75" customHeight="1">
      <c r="A367" s="501"/>
      <c r="B367" s="509"/>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501"/>
      <c r="AL367" s="501"/>
      <c r="AM367" s="501"/>
      <c r="AN367" s="495"/>
      <c r="AQ367" s="468"/>
      <c r="AR367" s="468"/>
    </row>
    <row r="368" spans="1:44" s="449" customFormat="1" ht="13.35" customHeight="1">
      <c r="A368" s="501"/>
      <c r="B368" s="509"/>
      <c r="C368" s="2412"/>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501"/>
      <c r="AL368" s="501"/>
      <c r="AM368" s="501"/>
      <c r="AN368" s="495"/>
      <c r="AQ368" s="468"/>
      <c r="AR368" s="468"/>
    </row>
    <row r="369" spans="1:46" s="449" customFormat="1" ht="12.75" customHeight="1">
      <c r="A369" s="501"/>
      <c r="B369" s="509"/>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501"/>
      <c r="AL369" s="501"/>
      <c r="AM369" s="501"/>
      <c r="AN369" s="495"/>
      <c r="AO369" s="590"/>
      <c r="AP369" s="590"/>
      <c r="AQ369" s="468"/>
    </row>
    <row r="370" spans="1:46" s="449" customFormat="1" ht="11.85" customHeight="1">
      <c r="A370" s="501"/>
      <c r="B370" s="509"/>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501"/>
      <c r="AL370" s="501"/>
      <c r="AM370" s="501"/>
      <c r="AN370" s="495"/>
      <c r="AO370" s="591" t="s">
        <v>18</v>
      </c>
      <c r="AP370" s="592">
        <f>IF(C394="Yes",5,0)</f>
        <v>0</v>
      </c>
      <c r="AS370" s="439" t="s">
        <v>2324</v>
      </c>
    </row>
    <row r="371" spans="1:46" s="449" customFormat="1" ht="12.75" customHeight="1">
      <c r="A371" s="501"/>
      <c r="B371" s="509"/>
      <c r="C371" s="2412"/>
      <c r="D371" s="2412"/>
      <c r="E371" s="2412"/>
      <c r="F371" s="2412"/>
      <c r="G371" s="2412"/>
      <c r="H371" s="2412"/>
      <c r="I371" s="2412"/>
      <c r="J371" s="2412"/>
      <c r="K371" s="2412"/>
      <c r="L371" s="2412"/>
      <c r="M371" s="2412"/>
      <c r="N371" s="2412"/>
      <c r="O371" s="2412"/>
      <c r="P371" s="2412"/>
      <c r="Q371" s="2412"/>
      <c r="R371" s="2412"/>
      <c r="S371" s="2412"/>
      <c r="T371" s="2412"/>
      <c r="U371" s="2412"/>
      <c r="V371" s="2412"/>
      <c r="W371" s="2412"/>
      <c r="X371" s="2412"/>
      <c r="Y371" s="2412"/>
      <c r="Z371" s="2412"/>
      <c r="AA371" s="2412"/>
      <c r="AB371" s="2412"/>
      <c r="AC371" s="2412"/>
      <c r="AD371" s="2412"/>
      <c r="AE371" s="2412"/>
      <c r="AF371" s="2412"/>
      <c r="AG371" s="2412"/>
      <c r="AH371" s="2412"/>
      <c r="AI371" s="2412"/>
      <c r="AJ371" s="2412"/>
      <c r="AK371" s="501"/>
      <c r="AL371" s="501"/>
      <c r="AM371" s="501"/>
      <c r="AN371" s="495"/>
      <c r="AO371" s="591" t="s">
        <v>31</v>
      </c>
      <c r="AP371" s="592">
        <f>IF(C402="Yes",5,0)</f>
        <v>0</v>
      </c>
      <c r="AS371" s="2442">
        <f>IF(Application!D211="Non-Targeted",(SUM(AQ379+AQ388)),AS375)</f>
        <v>10</v>
      </c>
      <c r="AT371" s="2442"/>
    </row>
    <row r="372" spans="1:46" s="449" customFormat="1" ht="12.75" customHeight="1">
      <c r="A372" s="501"/>
      <c r="B372" s="509"/>
      <c r="C372" s="2412"/>
      <c r="D372" s="2412"/>
      <c r="E372" s="2412"/>
      <c r="F372" s="2412"/>
      <c r="G372" s="2412"/>
      <c r="H372" s="2412"/>
      <c r="I372" s="2412"/>
      <c r="J372" s="2412"/>
      <c r="K372" s="2412"/>
      <c r="L372" s="2412"/>
      <c r="M372" s="2412"/>
      <c r="N372" s="2412"/>
      <c r="O372" s="2412"/>
      <c r="P372" s="2412"/>
      <c r="Q372" s="2412"/>
      <c r="R372" s="2412"/>
      <c r="S372" s="2412"/>
      <c r="T372" s="2412"/>
      <c r="U372" s="2412"/>
      <c r="V372" s="2412"/>
      <c r="W372" s="2412"/>
      <c r="X372" s="2412"/>
      <c r="Y372" s="2412"/>
      <c r="Z372" s="2412"/>
      <c r="AA372" s="2412"/>
      <c r="AB372" s="2412"/>
      <c r="AC372" s="2412"/>
      <c r="AD372" s="2412"/>
      <c r="AE372" s="2412"/>
      <c r="AF372" s="2412"/>
      <c r="AG372" s="2412"/>
      <c r="AH372" s="2412"/>
      <c r="AI372" s="2412"/>
      <c r="AJ372" s="2412"/>
      <c r="AK372" s="501"/>
      <c r="AL372" s="501"/>
      <c r="AM372" s="501"/>
      <c r="AN372" s="495"/>
      <c r="AO372" s="591" t="s">
        <v>39</v>
      </c>
      <c r="AP372" s="592">
        <f>IF(C410="Yes",7,0)</f>
        <v>7</v>
      </c>
      <c r="AS372" s="439" t="s">
        <v>2325</v>
      </c>
    </row>
    <row r="373" spans="1:46" s="449" customFormat="1" ht="12.75" customHeight="1">
      <c r="B373" s="509"/>
      <c r="C373" s="2412"/>
      <c r="D373" s="2412"/>
      <c r="E373" s="2412"/>
      <c r="F373" s="2412"/>
      <c r="G373" s="2412"/>
      <c r="H373" s="2412"/>
      <c r="I373" s="2412"/>
      <c r="J373" s="2412"/>
      <c r="K373" s="2412"/>
      <c r="L373" s="2412"/>
      <c r="M373" s="2412"/>
      <c r="N373" s="2412"/>
      <c r="O373" s="2412"/>
      <c r="P373" s="2412"/>
      <c r="Q373" s="2412"/>
      <c r="R373" s="2412"/>
      <c r="S373" s="2412"/>
      <c r="T373" s="2412"/>
      <c r="U373" s="2412"/>
      <c r="V373" s="2412"/>
      <c r="W373" s="2412"/>
      <c r="X373" s="2412"/>
      <c r="Y373" s="2412"/>
      <c r="Z373" s="2412"/>
      <c r="AA373" s="2412"/>
      <c r="AB373" s="2412"/>
      <c r="AC373" s="2412"/>
      <c r="AD373" s="2412"/>
      <c r="AE373" s="2412"/>
      <c r="AF373" s="2412"/>
      <c r="AG373" s="2412"/>
      <c r="AH373" s="2412"/>
      <c r="AI373" s="2412"/>
      <c r="AJ373" s="2412"/>
      <c r="AK373" s="501"/>
      <c r="AL373" s="501"/>
      <c r="AM373" s="501"/>
      <c r="AN373" s="495"/>
      <c r="AO373" s="495"/>
      <c r="AP373" s="592">
        <f>IF(C412="Yes",5,0)</f>
        <v>0</v>
      </c>
      <c r="AS373" s="2442">
        <f>IF(AND(AQ379&gt;0,AQ388&gt;0),(AQ379+AQ388)/2,0)</f>
        <v>0</v>
      </c>
      <c r="AT373" s="2442"/>
    </row>
    <row r="374" spans="1:46" s="449" customFormat="1" ht="12.75" customHeight="1">
      <c r="A374" s="501"/>
      <c r="B374" s="509"/>
      <c r="C374" s="2412"/>
      <c r="D374" s="2412"/>
      <c r="E374" s="2412"/>
      <c r="F374" s="2412"/>
      <c r="G374" s="2412"/>
      <c r="H374" s="2412"/>
      <c r="I374" s="2412"/>
      <c r="J374" s="2412"/>
      <c r="K374" s="2412"/>
      <c r="L374" s="2412"/>
      <c r="M374" s="2412"/>
      <c r="N374" s="2412"/>
      <c r="O374" s="2412"/>
      <c r="P374" s="2412"/>
      <c r="Q374" s="2412"/>
      <c r="R374" s="2412"/>
      <c r="S374" s="2412"/>
      <c r="T374" s="2412"/>
      <c r="U374" s="2412"/>
      <c r="V374" s="2412"/>
      <c r="W374" s="2412"/>
      <c r="X374" s="2412"/>
      <c r="Y374" s="2412"/>
      <c r="Z374" s="2412"/>
      <c r="AA374" s="2412"/>
      <c r="AB374" s="2412"/>
      <c r="AC374" s="2412"/>
      <c r="AD374" s="2412"/>
      <c r="AE374" s="2412"/>
      <c r="AF374" s="2412"/>
      <c r="AG374" s="2412"/>
      <c r="AH374" s="2412"/>
      <c r="AI374" s="2412"/>
      <c r="AJ374" s="2412"/>
      <c r="AK374" s="501"/>
      <c r="AL374" s="501"/>
      <c r="AM374" s="501"/>
      <c r="AN374" s="495"/>
      <c r="AO374" s="591" t="s">
        <v>82</v>
      </c>
      <c r="AP374" s="592">
        <f>IF(C420="Yes",5,0)</f>
        <v>0</v>
      </c>
      <c r="AS374" s="439" t="s">
        <v>2326</v>
      </c>
    </row>
    <row r="375" spans="1:46" s="449" customFormat="1" ht="12.75" customHeight="1">
      <c r="A375" s="501"/>
      <c r="B375" s="509"/>
      <c r="C375" s="2443" t="s">
        <v>2327</v>
      </c>
      <c r="D375" s="2443"/>
      <c r="E375" s="2443"/>
      <c r="F375" s="2443"/>
      <c r="G375" s="2443"/>
      <c r="H375" s="2443"/>
      <c r="I375" s="2443"/>
      <c r="J375" s="2443"/>
      <c r="K375" s="2443"/>
      <c r="L375" s="2443"/>
      <c r="M375" s="2443"/>
      <c r="N375" s="2443"/>
      <c r="O375" s="2443"/>
      <c r="P375" s="2443"/>
      <c r="Q375" s="2443"/>
      <c r="R375" s="2443"/>
      <c r="S375" s="2443"/>
      <c r="T375" s="2443"/>
      <c r="U375" s="2443"/>
      <c r="V375" s="2443"/>
      <c r="W375" s="2443"/>
      <c r="X375" s="2443"/>
      <c r="Y375" s="2443"/>
      <c r="Z375" s="2443"/>
      <c r="AA375" s="2443"/>
      <c r="AB375" s="2443"/>
      <c r="AC375" s="2443"/>
      <c r="AD375" s="2443"/>
      <c r="AE375" s="2443"/>
      <c r="AF375" s="2443"/>
      <c r="AG375" s="2443"/>
      <c r="AH375" s="2443"/>
      <c r="AI375" s="2443"/>
      <c r="AJ375" s="2443"/>
      <c r="AK375" s="501"/>
      <c r="AL375" s="501"/>
      <c r="AM375" s="501"/>
      <c r="AN375" s="495"/>
      <c r="AO375" s="495"/>
      <c r="AP375" s="592">
        <f>IF(C422="Yes",3,0)</f>
        <v>3</v>
      </c>
      <c r="AS375" s="2442">
        <f>IF(AQ379=0,AQ388,AQ379)</f>
        <v>10</v>
      </c>
      <c r="AT375" s="2442"/>
    </row>
    <row r="376" spans="1:46" s="449" customFormat="1" ht="12.75" customHeight="1">
      <c r="A376" s="501"/>
      <c r="B376" s="509"/>
      <c r="C376" s="2443"/>
      <c r="D376" s="2443"/>
      <c r="E376" s="2443"/>
      <c r="F376" s="2443"/>
      <c r="G376" s="2443"/>
      <c r="H376" s="2443"/>
      <c r="I376" s="2443"/>
      <c r="J376" s="2443"/>
      <c r="K376" s="2443"/>
      <c r="L376" s="2443"/>
      <c r="M376" s="2443"/>
      <c r="N376" s="2443"/>
      <c r="O376" s="2443"/>
      <c r="P376" s="2443"/>
      <c r="Q376" s="2443"/>
      <c r="R376" s="2443"/>
      <c r="S376" s="2443"/>
      <c r="T376" s="2443"/>
      <c r="U376" s="2443"/>
      <c r="V376" s="2443"/>
      <c r="W376" s="2443"/>
      <c r="X376" s="2443"/>
      <c r="Y376" s="2443"/>
      <c r="Z376" s="2443"/>
      <c r="AA376" s="2443"/>
      <c r="AB376" s="2443"/>
      <c r="AC376" s="2443"/>
      <c r="AD376" s="2443"/>
      <c r="AE376" s="2443"/>
      <c r="AF376" s="2443"/>
      <c r="AG376" s="2443"/>
      <c r="AH376" s="2443"/>
      <c r="AI376" s="2443"/>
      <c r="AJ376" s="2443"/>
      <c r="AK376" s="501"/>
      <c r="AL376" s="501"/>
      <c r="AM376" s="501"/>
      <c r="AN376" s="495"/>
      <c r="AO376" s="591" t="s">
        <v>86</v>
      </c>
      <c r="AP376" s="592">
        <f>IF(C425="Yes",5,0)</f>
        <v>0</v>
      </c>
    </row>
    <row r="377" spans="1:46" s="449" customFormat="1" ht="12.75" customHeight="1">
      <c r="A377" s="501"/>
      <c r="B377" s="509"/>
      <c r="C377" s="2443"/>
      <c r="D377" s="2443"/>
      <c r="E377" s="2443"/>
      <c r="F377" s="2443"/>
      <c r="G377" s="2443"/>
      <c r="H377" s="2443"/>
      <c r="I377" s="2443"/>
      <c r="J377" s="2443"/>
      <c r="K377" s="2443"/>
      <c r="L377" s="2443"/>
      <c r="M377" s="2443"/>
      <c r="N377" s="2443"/>
      <c r="O377" s="2443"/>
      <c r="P377" s="2443"/>
      <c r="Q377" s="2443"/>
      <c r="R377" s="2443"/>
      <c r="S377" s="2443"/>
      <c r="T377" s="2443"/>
      <c r="U377" s="2443"/>
      <c r="V377" s="2443"/>
      <c r="W377" s="2443"/>
      <c r="X377" s="2443"/>
      <c r="Y377" s="2443"/>
      <c r="Z377" s="2443"/>
      <c r="AA377" s="2443"/>
      <c r="AB377" s="2443"/>
      <c r="AC377" s="2443"/>
      <c r="AD377" s="2443"/>
      <c r="AE377" s="2443"/>
      <c r="AF377" s="2443"/>
      <c r="AG377" s="2443"/>
      <c r="AH377" s="2443"/>
      <c r="AI377" s="2443"/>
      <c r="AJ377" s="2443"/>
      <c r="AK377" s="501"/>
      <c r="AL377" s="501"/>
      <c r="AM377" s="501"/>
      <c r="AN377" s="495"/>
      <c r="AO377" s="591" t="s">
        <v>1410</v>
      </c>
      <c r="AP377" s="592">
        <f>IF(C434="Yes",5,0)</f>
        <v>0</v>
      </c>
    </row>
    <row r="378" spans="1:46" s="449" customFormat="1" ht="11.85" customHeight="1">
      <c r="A378" s="501"/>
      <c r="B378" s="509"/>
      <c r="C378" s="2443"/>
      <c r="D378" s="2443"/>
      <c r="E378" s="2443"/>
      <c r="F378" s="2443"/>
      <c r="G378" s="2443"/>
      <c r="H378" s="2443"/>
      <c r="I378" s="2443"/>
      <c r="J378" s="2443"/>
      <c r="K378" s="2443"/>
      <c r="L378" s="2443"/>
      <c r="M378" s="2443"/>
      <c r="N378" s="2443"/>
      <c r="O378" s="2443"/>
      <c r="P378" s="2443"/>
      <c r="Q378" s="2443"/>
      <c r="R378" s="2443"/>
      <c r="S378" s="2443"/>
      <c r="T378" s="2443"/>
      <c r="U378" s="2443"/>
      <c r="V378" s="2443"/>
      <c r="W378" s="2443"/>
      <c r="X378" s="2443"/>
      <c r="Y378" s="2443"/>
      <c r="Z378" s="2443"/>
      <c r="AA378" s="2443"/>
      <c r="AB378" s="2443"/>
      <c r="AC378" s="2443"/>
      <c r="AD378" s="2443"/>
      <c r="AE378" s="2443"/>
      <c r="AF378" s="2443"/>
      <c r="AG378" s="2443"/>
      <c r="AH378" s="2443"/>
      <c r="AI378" s="2443"/>
      <c r="AJ378" s="2443"/>
      <c r="AK378" s="501"/>
      <c r="AL378" s="501"/>
      <c r="AM378" s="501"/>
      <c r="AN378" s="495"/>
      <c r="AO378" s="593"/>
      <c r="AP378" s="594">
        <f>IF(C436="Yes",3,0)</f>
        <v>0</v>
      </c>
    </row>
    <row r="379" spans="1:46" s="449" customFormat="1" ht="12.6" customHeight="1">
      <c r="A379" s="501"/>
      <c r="B379" s="509"/>
      <c r="C379" s="2443"/>
      <c r="D379" s="2443"/>
      <c r="E379" s="2443"/>
      <c r="F379" s="2443"/>
      <c r="G379" s="2443"/>
      <c r="H379" s="2443"/>
      <c r="I379" s="2443"/>
      <c r="J379" s="2443"/>
      <c r="K379" s="2443"/>
      <c r="L379" s="2443"/>
      <c r="M379" s="2443"/>
      <c r="N379" s="2443"/>
      <c r="O379" s="2443"/>
      <c r="P379" s="2443"/>
      <c r="Q379" s="2443"/>
      <c r="R379" s="2443"/>
      <c r="S379" s="2443"/>
      <c r="T379" s="2443"/>
      <c r="U379" s="2443"/>
      <c r="V379" s="2443"/>
      <c r="W379" s="2443"/>
      <c r="X379" s="2443"/>
      <c r="Y379" s="2443"/>
      <c r="Z379" s="2443"/>
      <c r="AA379" s="2443"/>
      <c r="AB379" s="2443"/>
      <c r="AC379" s="2443"/>
      <c r="AD379" s="2443"/>
      <c r="AE379" s="2443"/>
      <c r="AF379" s="2443"/>
      <c r="AG379" s="2443"/>
      <c r="AH379" s="2443"/>
      <c r="AI379" s="2443"/>
      <c r="AJ379" s="2443"/>
      <c r="AK379" s="501"/>
      <c r="AL379" s="501"/>
      <c r="AM379" s="501"/>
      <c r="AN379" s="495"/>
      <c r="AO379" s="595" t="s">
        <v>2328</v>
      </c>
      <c r="AP379" s="596">
        <f>SUM(AP370:AP378)</f>
        <v>10</v>
      </c>
      <c r="AQ379" s="2444">
        <f>IF(AP379&gt;0,AP379,0)</f>
        <v>10</v>
      </c>
      <c r="AR379" s="2444"/>
    </row>
    <row r="380" spans="1:46" s="449" customFormat="1" ht="12.75" customHeight="1">
      <c r="A380" s="501"/>
      <c r="B380" s="509"/>
      <c r="C380" s="2443"/>
      <c r="D380" s="2443"/>
      <c r="E380" s="2443"/>
      <c r="F380" s="2443"/>
      <c r="G380" s="2443"/>
      <c r="H380" s="2443"/>
      <c r="I380" s="2443"/>
      <c r="J380" s="2443"/>
      <c r="K380" s="2443"/>
      <c r="L380" s="2443"/>
      <c r="M380" s="2443"/>
      <c r="N380" s="2443"/>
      <c r="O380" s="2443"/>
      <c r="P380" s="2443"/>
      <c r="Q380" s="2443"/>
      <c r="R380" s="2443"/>
      <c r="S380" s="2443"/>
      <c r="T380" s="2443"/>
      <c r="U380" s="2443"/>
      <c r="V380" s="2443"/>
      <c r="W380" s="2443"/>
      <c r="X380" s="2443"/>
      <c r="Y380" s="2443"/>
      <c r="Z380" s="2443"/>
      <c r="AA380" s="2443"/>
      <c r="AB380" s="2443"/>
      <c r="AC380" s="2443"/>
      <c r="AD380" s="2443"/>
      <c r="AE380" s="2443"/>
      <c r="AF380" s="2443"/>
      <c r="AG380" s="2443"/>
      <c r="AH380" s="2443"/>
      <c r="AI380" s="2443"/>
      <c r="AJ380" s="2443"/>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1412</v>
      </c>
      <c r="AP381" s="592">
        <f>IF(C443="Yes",5,0)</f>
        <v>0</v>
      </c>
    </row>
    <row r="382" spans="1:46" s="449" customFormat="1" ht="12.75" customHeight="1">
      <c r="A382" s="501"/>
      <c r="B382" s="509"/>
      <c r="C382" s="2412" t="s">
        <v>2329</v>
      </c>
      <c r="D382" s="2412"/>
      <c r="E382" s="2412"/>
      <c r="F382" s="2412"/>
      <c r="G382" s="2412"/>
      <c r="H382" s="2412"/>
      <c r="I382" s="2412"/>
      <c r="J382" s="2412"/>
      <c r="K382" s="2412"/>
      <c r="L382" s="2412"/>
      <c r="M382" s="2412"/>
      <c r="N382" s="2412"/>
      <c r="O382" s="2412"/>
      <c r="P382" s="2412"/>
      <c r="Q382" s="2412"/>
      <c r="R382" s="2412"/>
      <c r="S382" s="2412"/>
      <c r="T382" s="2412"/>
      <c r="U382" s="2412"/>
      <c r="V382" s="2412"/>
      <c r="W382" s="2412"/>
      <c r="X382" s="2412"/>
      <c r="Y382" s="2412"/>
      <c r="Z382" s="2412"/>
      <c r="AA382" s="2412"/>
      <c r="AB382" s="2412"/>
      <c r="AC382" s="2412"/>
      <c r="AD382" s="2412"/>
      <c r="AE382" s="2412"/>
      <c r="AF382" s="2412"/>
      <c r="AG382" s="2412"/>
      <c r="AH382" s="2412"/>
      <c r="AI382" s="2412"/>
      <c r="AJ382" s="2412"/>
      <c r="AK382" s="501"/>
      <c r="AL382" s="501"/>
      <c r="AM382" s="501"/>
      <c r="AN382" s="495"/>
      <c r="AO382" s="591" t="s">
        <v>1413</v>
      </c>
      <c r="AP382" s="592">
        <f>IF(C455="Yes",5,0)</f>
        <v>0</v>
      </c>
    </row>
    <row r="383" spans="1:46" s="449" customFormat="1" ht="12.75" customHeight="1">
      <c r="A383" s="501"/>
      <c r="B383" s="509"/>
      <c r="C383" s="2412"/>
      <c r="D383" s="2412"/>
      <c r="E383" s="2412"/>
      <c r="F383" s="2412"/>
      <c r="G383" s="2412"/>
      <c r="H383" s="2412"/>
      <c r="I383" s="2412"/>
      <c r="J383" s="2412"/>
      <c r="K383" s="2412"/>
      <c r="L383" s="2412"/>
      <c r="M383" s="2412"/>
      <c r="N383" s="2412"/>
      <c r="O383" s="2412"/>
      <c r="P383" s="2412"/>
      <c r="Q383" s="2412"/>
      <c r="R383" s="2412"/>
      <c r="S383" s="2412"/>
      <c r="T383" s="2412"/>
      <c r="U383" s="2412"/>
      <c r="V383" s="2412"/>
      <c r="W383" s="2412"/>
      <c r="X383" s="2412"/>
      <c r="Y383" s="2412"/>
      <c r="Z383" s="2412"/>
      <c r="AA383" s="2412"/>
      <c r="AB383" s="2412"/>
      <c r="AC383" s="2412"/>
      <c r="AD383" s="2412"/>
      <c r="AE383" s="2412"/>
      <c r="AF383" s="2412"/>
      <c r="AG383" s="2412"/>
      <c r="AH383" s="2412"/>
      <c r="AI383" s="2412"/>
      <c r="AJ383" s="2412"/>
      <c r="AK383" s="501"/>
      <c r="AL383" s="501"/>
      <c r="AM383" s="501"/>
      <c r="AN383" s="495"/>
      <c r="AO383" s="591" t="s">
        <v>1414</v>
      </c>
      <c r="AP383" s="592">
        <f>IF(C462="Yes",5,0)</f>
        <v>0</v>
      </c>
    </row>
    <row r="384" spans="1:46" s="449" customFormat="1" ht="68.099999999999994" customHeight="1">
      <c r="A384" s="501"/>
      <c r="B384" s="509"/>
      <c r="C384" s="2412"/>
      <c r="D384" s="2412"/>
      <c r="E384" s="2412"/>
      <c r="F384" s="2412"/>
      <c r="G384" s="2412"/>
      <c r="H384" s="2412"/>
      <c r="I384" s="2412"/>
      <c r="J384" s="2412"/>
      <c r="K384" s="2412"/>
      <c r="L384" s="2412"/>
      <c r="M384" s="2412"/>
      <c r="N384" s="2412"/>
      <c r="O384" s="2412"/>
      <c r="P384" s="2412"/>
      <c r="Q384" s="2412"/>
      <c r="R384" s="2412"/>
      <c r="S384" s="2412"/>
      <c r="T384" s="2412"/>
      <c r="U384" s="2412"/>
      <c r="V384" s="2412"/>
      <c r="W384" s="2412"/>
      <c r="X384" s="2412"/>
      <c r="Y384" s="2412"/>
      <c r="Z384" s="2412"/>
      <c r="AA384" s="2412"/>
      <c r="AB384" s="2412"/>
      <c r="AC384" s="2412"/>
      <c r="AD384" s="2412"/>
      <c r="AE384" s="2412"/>
      <c r="AF384" s="2412"/>
      <c r="AG384" s="2412"/>
      <c r="AH384" s="2412"/>
      <c r="AI384" s="2412"/>
      <c r="AJ384" s="2412"/>
      <c r="AK384" s="501"/>
      <c r="AL384" s="501"/>
      <c r="AM384" s="501"/>
      <c r="AN384" s="495"/>
      <c r="AO384" s="591" t="s">
        <v>1415</v>
      </c>
      <c r="AP384" s="597">
        <f>IF(C466="Yes",5,0)</f>
        <v>0</v>
      </c>
    </row>
    <row r="385" spans="1:81" s="449" customFormat="1" ht="12.6" customHeight="1">
      <c r="B385" s="509"/>
      <c r="C385" s="449" t="s">
        <v>2330</v>
      </c>
      <c r="AF385" s="501"/>
      <c r="AG385" s="501"/>
      <c r="AH385" s="501"/>
      <c r="AI385" s="501"/>
      <c r="AJ385" s="501"/>
      <c r="AK385" s="501"/>
      <c r="AL385" s="501"/>
      <c r="AM385" s="501"/>
      <c r="AN385" s="495"/>
      <c r="AO385" s="591" t="s">
        <v>1416</v>
      </c>
      <c r="AP385" s="592">
        <f>IF(C470="Yes",5,0)</f>
        <v>0</v>
      </c>
    </row>
    <row r="386" spans="1:81" s="449" customFormat="1" ht="12.75" customHeight="1">
      <c r="A386" s="501"/>
      <c r="B386" s="509"/>
      <c r="C386" s="598" t="s">
        <v>2331</v>
      </c>
      <c r="D386" s="599"/>
      <c r="E386" s="599"/>
      <c r="F386" s="599"/>
      <c r="G386" s="599"/>
      <c r="H386" s="599"/>
      <c r="I386" s="599"/>
      <c r="J386" s="599"/>
      <c r="K386" s="599"/>
      <c r="L386" s="599"/>
      <c r="M386" s="563"/>
      <c r="N386" s="563"/>
      <c r="O386" s="600"/>
      <c r="P386" s="599"/>
      <c r="Q386" s="599"/>
      <c r="R386" s="563"/>
      <c r="S386" s="563"/>
      <c r="T386" s="599"/>
      <c r="U386" s="2508">
        <f>Application!DU810-U387</f>
        <v>96</v>
      </c>
      <c r="V386" s="2508"/>
      <c r="W386" s="2508"/>
      <c r="X386" s="599"/>
      <c r="Y386" s="599"/>
      <c r="Z386" s="599"/>
      <c r="AA386" s="601"/>
      <c r="AB386" s="602"/>
      <c r="AC386" s="602"/>
      <c r="AD386" s="602"/>
      <c r="AE386" s="501"/>
      <c r="AF386" s="501"/>
      <c r="AG386" s="501"/>
      <c r="AH386" s="501"/>
      <c r="AI386" s="501"/>
      <c r="AJ386" s="501"/>
      <c r="AK386" s="501"/>
      <c r="AL386" s="501"/>
      <c r="AM386" s="501"/>
      <c r="AN386" s="495"/>
      <c r="AO386" s="591" t="s">
        <v>1417</v>
      </c>
      <c r="AP386" s="592">
        <f>IF(C479="Yes",5,0)</f>
        <v>0</v>
      </c>
    </row>
    <row r="387" spans="1:81" s="449" customFormat="1" ht="12.75" customHeight="1">
      <c r="A387" s="501"/>
      <c r="B387" s="509"/>
      <c r="C387" s="603" t="s">
        <v>2332</v>
      </c>
      <c r="D387" s="590"/>
      <c r="E387" s="590"/>
      <c r="F387" s="590"/>
      <c r="G387" s="590"/>
      <c r="H387" s="590"/>
      <c r="I387" s="590"/>
      <c r="J387" s="590"/>
      <c r="K387" s="590"/>
      <c r="L387" s="590"/>
      <c r="M387" s="590"/>
      <c r="N387" s="590"/>
      <c r="O387" s="590"/>
      <c r="P387" s="590"/>
      <c r="Q387" s="590"/>
      <c r="R387" s="590"/>
      <c r="S387" s="590"/>
      <c r="T387" s="590"/>
      <c r="U387" s="2509">
        <f>IF(Application!D211="SRO",Application!DU763,Application!AG764)</f>
        <v>0</v>
      </c>
      <c r="V387" s="2509"/>
      <c r="W387" s="2509"/>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2328</v>
      </c>
      <c r="AP388" s="607">
        <f>SUM(AP381:AP386)</f>
        <v>0</v>
      </c>
      <c r="AQ388" s="2444">
        <f>IF(AP388&gt;0,AP388,0)</f>
        <v>0</v>
      </c>
      <c r="AR388" s="2444"/>
    </row>
    <row r="389" spans="1:81" s="449" customFormat="1" ht="12.75" customHeight="1">
      <c r="A389" s="501"/>
      <c r="B389" s="13"/>
      <c r="C389" s="608" t="s">
        <v>2333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2150</v>
      </c>
      <c r="F390" s="2416" t="s">
        <v>2334</v>
      </c>
      <c r="G390" s="2416"/>
      <c r="H390" s="2416"/>
      <c r="I390" s="2416"/>
      <c r="J390" s="2416"/>
      <c r="K390" s="2416"/>
      <c r="L390" s="2416"/>
      <c r="M390" s="2416"/>
      <c r="N390" s="2416"/>
      <c r="O390" s="2416"/>
      <c r="P390" s="2416"/>
      <c r="Q390" s="2416"/>
      <c r="R390" s="2416"/>
      <c r="S390" s="2416"/>
      <c r="T390" s="2416"/>
      <c r="U390" s="2416"/>
      <c r="V390" s="2416"/>
      <c r="W390" s="2416"/>
      <c r="X390" s="2416"/>
      <c r="Y390" s="2416"/>
      <c r="Z390" s="2416"/>
      <c r="AA390" s="2416"/>
      <c r="AB390" s="2416"/>
      <c r="AC390" s="2416"/>
      <c r="AD390" s="2416"/>
      <c r="AE390" s="2416"/>
      <c r="AF390" s="2416"/>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290"/>
      <c r="G391" s="2290"/>
      <c r="H391" s="2290"/>
      <c r="I391" s="2290"/>
      <c r="J391" s="2290"/>
      <c r="K391" s="2290"/>
      <c r="L391" s="2290"/>
      <c r="M391" s="2290"/>
      <c r="N391" s="2290"/>
      <c r="O391" s="2290"/>
      <c r="P391" s="2290"/>
      <c r="Q391" s="2290"/>
      <c r="R391" s="2290"/>
      <c r="S391" s="2290"/>
      <c r="T391" s="2290"/>
      <c r="U391" s="2290"/>
      <c r="V391" s="2290"/>
      <c r="W391" s="2290"/>
      <c r="X391" s="2290"/>
      <c r="Y391" s="2290"/>
      <c r="Z391" s="2290"/>
      <c r="AA391" s="2290"/>
      <c r="AB391" s="2290"/>
      <c r="AC391" s="2290"/>
      <c r="AD391" s="2290"/>
      <c r="AE391" s="2290"/>
      <c r="AF391" s="229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290"/>
      <c r="G392" s="2290"/>
      <c r="H392" s="2290"/>
      <c r="I392" s="2290"/>
      <c r="J392" s="2290"/>
      <c r="K392" s="2290"/>
      <c r="L392" s="2290"/>
      <c r="M392" s="2290"/>
      <c r="N392" s="2290"/>
      <c r="O392" s="2290"/>
      <c r="P392" s="2290"/>
      <c r="Q392" s="2290"/>
      <c r="R392" s="2290"/>
      <c r="S392" s="2290"/>
      <c r="T392" s="2290"/>
      <c r="U392" s="2290"/>
      <c r="V392" s="2290"/>
      <c r="W392" s="2290"/>
      <c r="X392" s="2290"/>
      <c r="Y392" s="2290"/>
      <c r="Z392" s="2290"/>
      <c r="AA392" s="2290"/>
      <c r="AB392" s="2290"/>
      <c r="AC392" s="2290"/>
      <c r="AD392" s="2290"/>
      <c r="AE392" s="2290"/>
      <c r="AF392" s="229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290"/>
      <c r="G393" s="2290"/>
      <c r="H393" s="2290"/>
      <c r="I393" s="2290"/>
      <c r="J393" s="2290"/>
      <c r="K393" s="2290"/>
      <c r="L393" s="2290"/>
      <c r="M393" s="2290"/>
      <c r="N393" s="2290"/>
      <c r="O393" s="2290"/>
      <c r="P393" s="2290"/>
      <c r="Q393" s="2290"/>
      <c r="R393" s="2290"/>
      <c r="S393" s="2290"/>
      <c r="T393" s="2290"/>
      <c r="U393" s="2290"/>
      <c r="V393" s="2290"/>
      <c r="W393" s="2290"/>
      <c r="X393" s="2290"/>
      <c r="Y393" s="2290"/>
      <c r="Z393" s="2290"/>
      <c r="AA393" s="2290"/>
      <c r="AB393" s="2290"/>
      <c r="AC393" s="2290"/>
      <c r="AD393" s="2290"/>
      <c r="AE393" s="2290"/>
      <c r="AF393" s="229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13" t="s">
        <v>822</v>
      </c>
      <c r="D394" s="2374"/>
      <c r="E394" s="615"/>
      <c r="F394" s="617" t="s">
        <v>2335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14" t="s">
        <v>2336</v>
      </c>
      <c r="AG394" s="2414"/>
      <c r="AH394" s="2414"/>
      <c r="AI394" s="2414"/>
      <c r="AJ394" s="2414"/>
      <c r="AK394" s="2414"/>
      <c r="AL394" s="2415"/>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2153</v>
      </c>
      <c r="F397" s="2416" t="s">
        <v>2337</v>
      </c>
      <c r="G397" s="2416"/>
      <c r="H397" s="2416"/>
      <c r="I397" s="2416"/>
      <c r="J397" s="2416"/>
      <c r="K397" s="2416"/>
      <c r="L397" s="2416"/>
      <c r="M397" s="2416"/>
      <c r="N397" s="2416"/>
      <c r="O397" s="2416"/>
      <c r="P397" s="2416"/>
      <c r="Q397" s="2416"/>
      <c r="R397" s="2416"/>
      <c r="S397" s="2416"/>
      <c r="T397" s="2416"/>
      <c r="U397" s="2416"/>
      <c r="V397" s="2416"/>
      <c r="W397" s="2416"/>
      <c r="X397" s="2416"/>
      <c r="Y397" s="2416"/>
      <c r="Z397" s="2416"/>
      <c r="AA397" s="2416"/>
      <c r="AB397" s="2416"/>
      <c r="AC397" s="2416"/>
      <c r="AD397" s="2416"/>
      <c r="AE397" s="2416"/>
      <c r="AF397" s="2416"/>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290"/>
      <c r="G398" s="2290"/>
      <c r="H398" s="2290"/>
      <c r="I398" s="2290"/>
      <c r="J398" s="2290"/>
      <c r="K398" s="2290"/>
      <c r="L398" s="2290"/>
      <c r="M398" s="2290"/>
      <c r="N398" s="2290"/>
      <c r="O398" s="2290"/>
      <c r="P398" s="2290"/>
      <c r="Q398" s="2290"/>
      <c r="R398" s="2290"/>
      <c r="S398" s="2290"/>
      <c r="T398" s="2290"/>
      <c r="U398" s="2290"/>
      <c r="V398" s="2290"/>
      <c r="W398" s="2290"/>
      <c r="X398" s="2290"/>
      <c r="Y398" s="2290"/>
      <c r="Z398" s="2290"/>
      <c r="AA398" s="2290"/>
      <c r="AB398" s="2290"/>
      <c r="AC398" s="2290"/>
      <c r="AD398" s="2290"/>
      <c r="AE398" s="2290"/>
      <c r="AF398" s="229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290"/>
      <c r="G399" s="2290"/>
      <c r="H399" s="2290"/>
      <c r="I399" s="2290"/>
      <c r="J399" s="2290"/>
      <c r="K399" s="2290"/>
      <c r="L399" s="2290"/>
      <c r="M399" s="2290"/>
      <c r="N399" s="2290"/>
      <c r="O399" s="2290"/>
      <c r="P399" s="2290"/>
      <c r="Q399" s="2290"/>
      <c r="R399" s="2290"/>
      <c r="S399" s="2290"/>
      <c r="T399" s="2290"/>
      <c r="U399" s="2290"/>
      <c r="V399" s="2290"/>
      <c r="W399" s="2290"/>
      <c r="X399" s="2290"/>
      <c r="Y399" s="2290"/>
      <c r="Z399" s="2290"/>
      <c r="AA399" s="2290"/>
      <c r="AB399" s="2290"/>
      <c r="AC399" s="2290"/>
      <c r="AD399" s="2290"/>
      <c r="AE399" s="2290"/>
      <c r="AF399" s="229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290"/>
      <c r="G400" s="2290"/>
      <c r="H400" s="2290"/>
      <c r="I400" s="2290"/>
      <c r="J400" s="2290"/>
      <c r="K400" s="2290"/>
      <c r="L400" s="2290"/>
      <c r="M400" s="2290"/>
      <c r="N400" s="2290"/>
      <c r="O400" s="2290"/>
      <c r="P400" s="2290"/>
      <c r="Q400" s="2290"/>
      <c r="R400" s="2290"/>
      <c r="S400" s="2290"/>
      <c r="T400" s="2290"/>
      <c r="U400" s="2290"/>
      <c r="V400" s="2290"/>
      <c r="W400" s="2290"/>
      <c r="X400" s="2290"/>
      <c r="Y400" s="2290"/>
      <c r="Z400" s="2290"/>
      <c r="AA400" s="2290"/>
      <c r="AB400" s="2290"/>
      <c r="AC400" s="2290"/>
      <c r="AD400" s="2290"/>
      <c r="AE400" s="2290"/>
      <c r="AF400" s="229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290"/>
      <c r="G401" s="2290"/>
      <c r="H401" s="2290"/>
      <c r="I401" s="2290"/>
      <c r="J401" s="2290"/>
      <c r="K401" s="2290"/>
      <c r="L401" s="2290"/>
      <c r="M401" s="2290"/>
      <c r="N401" s="2290"/>
      <c r="O401" s="2290"/>
      <c r="P401" s="2290"/>
      <c r="Q401" s="2290"/>
      <c r="R401" s="2290"/>
      <c r="S401" s="2290"/>
      <c r="T401" s="2290"/>
      <c r="U401" s="2290"/>
      <c r="V401" s="2290"/>
      <c r="W401" s="2290"/>
      <c r="X401" s="2290"/>
      <c r="Y401" s="2290"/>
      <c r="Z401" s="2290"/>
      <c r="AA401" s="2290"/>
      <c r="AB401" s="2290"/>
      <c r="AC401" s="2290"/>
      <c r="AD401" s="2290"/>
      <c r="AE401" s="2290"/>
      <c r="AF401" s="2290"/>
      <c r="AL401" s="628"/>
      <c r="AN401" s="495"/>
      <c r="BS401" s="25"/>
      <c r="BT401" s="25"/>
      <c r="BU401" s="13"/>
      <c r="BV401" s="13"/>
      <c r="BW401" s="13"/>
      <c r="BX401" s="13"/>
      <c r="BY401" s="13"/>
      <c r="BZ401" s="13"/>
      <c r="CA401" s="13"/>
      <c r="CB401" s="13"/>
      <c r="CC401" s="13"/>
    </row>
    <row r="402" spans="1:81" s="449" customFormat="1" ht="12.75" customHeight="1">
      <c r="A402" s="436"/>
      <c r="B402" s="13"/>
      <c r="C402" s="2413" t="s">
        <v>822</v>
      </c>
      <c r="D402" s="2374"/>
      <c r="E402" s="587"/>
      <c r="F402" s="617" t="s">
        <v>2338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14" t="s">
        <v>2336</v>
      </c>
      <c r="AG402" s="2414"/>
      <c r="AH402" s="2414"/>
      <c r="AI402" s="2414"/>
      <c r="AJ402" s="2414"/>
      <c r="AK402" s="2414"/>
      <c r="AL402" s="2415"/>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2158</v>
      </c>
      <c r="F405" s="2416" t="s">
        <v>2339</v>
      </c>
      <c r="G405" s="2416"/>
      <c r="H405" s="2416"/>
      <c r="I405" s="2416"/>
      <c r="J405" s="2416"/>
      <c r="K405" s="2416"/>
      <c r="L405" s="2416"/>
      <c r="M405" s="2416"/>
      <c r="N405" s="2416"/>
      <c r="O405" s="2416"/>
      <c r="P405" s="2416"/>
      <c r="Q405" s="2416"/>
      <c r="R405" s="2416"/>
      <c r="S405" s="2416"/>
      <c r="T405" s="2416"/>
      <c r="U405" s="2416"/>
      <c r="V405" s="2416"/>
      <c r="W405" s="2416"/>
      <c r="X405" s="2416"/>
      <c r="Y405" s="2416"/>
      <c r="Z405" s="2416"/>
      <c r="AA405" s="2416"/>
      <c r="AB405" s="2416"/>
      <c r="AC405" s="2416"/>
      <c r="AD405" s="2416"/>
      <c r="AE405" s="2416"/>
      <c r="AF405" s="2416"/>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290"/>
      <c r="G406" s="2290"/>
      <c r="H406" s="2290"/>
      <c r="I406" s="2290"/>
      <c r="J406" s="2290"/>
      <c r="K406" s="2290"/>
      <c r="L406" s="2290"/>
      <c r="M406" s="2290"/>
      <c r="N406" s="2290"/>
      <c r="O406" s="2290"/>
      <c r="P406" s="2290"/>
      <c r="Q406" s="2290"/>
      <c r="R406" s="2290"/>
      <c r="S406" s="2290"/>
      <c r="T406" s="2290"/>
      <c r="U406" s="2290"/>
      <c r="V406" s="2290"/>
      <c r="W406" s="2290"/>
      <c r="X406" s="2290"/>
      <c r="Y406" s="2290"/>
      <c r="Z406" s="2290"/>
      <c r="AA406" s="2290"/>
      <c r="AB406" s="2290"/>
      <c r="AC406" s="2290"/>
      <c r="AD406" s="2290"/>
      <c r="AE406" s="2290"/>
      <c r="AF406" s="229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290"/>
      <c r="G407" s="2290"/>
      <c r="H407" s="2290"/>
      <c r="I407" s="2290"/>
      <c r="J407" s="2290"/>
      <c r="K407" s="2290"/>
      <c r="L407" s="2290"/>
      <c r="M407" s="2290"/>
      <c r="N407" s="2290"/>
      <c r="O407" s="2290"/>
      <c r="P407" s="2290"/>
      <c r="Q407" s="2290"/>
      <c r="R407" s="2290"/>
      <c r="S407" s="2290"/>
      <c r="T407" s="2290"/>
      <c r="U407" s="2290"/>
      <c r="V407" s="2290"/>
      <c r="W407" s="2290"/>
      <c r="X407" s="2290"/>
      <c r="Y407" s="2290"/>
      <c r="Z407" s="2290"/>
      <c r="AA407" s="2290"/>
      <c r="AB407" s="2290"/>
      <c r="AC407" s="2290"/>
      <c r="AD407" s="2290"/>
      <c r="AE407" s="2290"/>
      <c r="AF407" s="229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290"/>
      <c r="G408" s="2290"/>
      <c r="H408" s="2290"/>
      <c r="I408" s="2290"/>
      <c r="J408" s="2290"/>
      <c r="K408" s="2290"/>
      <c r="L408" s="2290"/>
      <c r="M408" s="2290"/>
      <c r="N408" s="2290"/>
      <c r="O408" s="2290"/>
      <c r="P408" s="2290"/>
      <c r="Q408" s="2290"/>
      <c r="R408" s="2290"/>
      <c r="S408" s="2290"/>
      <c r="T408" s="2290"/>
      <c r="U408" s="2290"/>
      <c r="V408" s="2290"/>
      <c r="W408" s="2290"/>
      <c r="X408" s="2290"/>
      <c r="Y408" s="2290"/>
      <c r="Z408" s="2290"/>
      <c r="AA408" s="2290"/>
      <c r="AB408" s="2290"/>
      <c r="AC408" s="2290"/>
      <c r="AD408" s="2290"/>
      <c r="AE408" s="2290"/>
      <c r="AF408" s="229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290"/>
      <c r="G409" s="2290"/>
      <c r="H409" s="2290"/>
      <c r="I409" s="2290"/>
      <c r="J409" s="2290"/>
      <c r="K409" s="2290"/>
      <c r="L409" s="2290"/>
      <c r="M409" s="2290"/>
      <c r="N409" s="2290"/>
      <c r="O409" s="2290"/>
      <c r="P409" s="2290"/>
      <c r="Q409" s="2290"/>
      <c r="R409" s="2290"/>
      <c r="S409" s="2290"/>
      <c r="T409" s="2290"/>
      <c r="U409" s="2290"/>
      <c r="V409" s="2290"/>
      <c r="W409" s="2290"/>
      <c r="X409" s="2290"/>
      <c r="Y409" s="2290"/>
      <c r="Z409" s="2290"/>
      <c r="AA409" s="2290"/>
      <c r="AB409" s="2290"/>
      <c r="AC409" s="2290"/>
      <c r="AD409" s="2290"/>
      <c r="AE409" s="2290"/>
      <c r="AF409" s="229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13" t="s">
        <v>857</v>
      </c>
      <c r="D410" s="2374"/>
      <c r="E410" s="587"/>
      <c r="F410" s="617" t="s">
        <v>2340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14" t="s">
        <v>2341</v>
      </c>
      <c r="AG410" s="2414"/>
      <c r="AH410" s="2414"/>
      <c r="AI410" s="2414"/>
      <c r="AJ410" s="2414"/>
      <c r="AK410" s="2414"/>
      <c r="AL410" s="2415"/>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13" t="s">
        <v>822</v>
      </c>
      <c r="D412" s="2374"/>
      <c r="E412" s="587"/>
      <c r="F412" s="634" t="s">
        <v>2342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14" t="s">
        <v>2336</v>
      </c>
      <c r="AG412" s="2414"/>
      <c r="AH412" s="2414"/>
      <c r="AI412" s="2414"/>
      <c r="AJ412" s="2414"/>
      <c r="AK412" s="2414"/>
      <c r="AL412" s="2415"/>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2160</v>
      </c>
      <c r="F416" s="2416" t="s">
        <v>2344</v>
      </c>
      <c r="G416" s="2416"/>
      <c r="H416" s="2416"/>
      <c r="I416" s="2416"/>
      <c r="J416" s="2416"/>
      <c r="K416" s="2416"/>
      <c r="L416" s="2416"/>
      <c r="M416" s="2416"/>
      <c r="N416" s="2416"/>
      <c r="O416" s="2416"/>
      <c r="P416" s="2416"/>
      <c r="Q416" s="2416"/>
      <c r="R416" s="2416"/>
      <c r="S416" s="2416"/>
      <c r="T416" s="2416"/>
      <c r="U416" s="2416"/>
      <c r="V416" s="2416"/>
      <c r="W416" s="2416"/>
      <c r="X416" s="2416"/>
      <c r="Y416" s="2416"/>
      <c r="Z416" s="2416"/>
      <c r="AA416" s="2416"/>
      <c r="AB416" s="2416"/>
      <c r="AC416" s="2416"/>
      <c r="AD416" s="2416"/>
      <c r="AE416" s="2416"/>
      <c r="AF416" s="2416"/>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290"/>
      <c r="G417" s="2290"/>
      <c r="H417" s="2290"/>
      <c r="I417" s="2290"/>
      <c r="J417" s="2290"/>
      <c r="K417" s="2290"/>
      <c r="L417" s="2290"/>
      <c r="M417" s="2290"/>
      <c r="N417" s="2290"/>
      <c r="O417" s="2290"/>
      <c r="P417" s="2290"/>
      <c r="Q417" s="2290"/>
      <c r="R417" s="2290"/>
      <c r="S417" s="2290"/>
      <c r="T417" s="2290"/>
      <c r="U417" s="2290"/>
      <c r="V417" s="2290"/>
      <c r="W417" s="2290"/>
      <c r="X417" s="2290"/>
      <c r="Y417" s="2290"/>
      <c r="Z417" s="2290"/>
      <c r="AA417" s="2290"/>
      <c r="AB417" s="2290"/>
      <c r="AC417" s="2290"/>
      <c r="AD417" s="2290"/>
      <c r="AE417" s="2290"/>
      <c r="AF417" s="229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290"/>
      <c r="G418" s="2290"/>
      <c r="H418" s="2290"/>
      <c r="I418" s="2290"/>
      <c r="J418" s="2290"/>
      <c r="K418" s="2290"/>
      <c r="L418" s="2290"/>
      <c r="M418" s="2290"/>
      <c r="N418" s="2290"/>
      <c r="O418" s="2290"/>
      <c r="P418" s="2290"/>
      <c r="Q418" s="2290"/>
      <c r="R418" s="2290"/>
      <c r="S418" s="2290"/>
      <c r="T418" s="2290"/>
      <c r="U418" s="2290"/>
      <c r="V418" s="2290"/>
      <c r="W418" s="2290"/>
      <c r="X418" s="2290"/>
      <c r="Y418" s="2290"/>
      <c r="Z418" s="2290"/>
      <c r="AA418" s="2290"/>
      <c r="AB418" s="2290"/>
      <c r="AC418" s="2290"/>
      <c r="AD418" s="2290"/>
      <c r="AE418" s="2290"/>
      <c r="AF418" s="229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290"/>
      <c r="G419" s="2290"/>
      <c r="H419" s="2290"/>
      <c r="I419" s="2290"/>
      <c r="J419" s="2290"/>
      <c r="K419" s="2290"/>
      <c r="L419" s="2290"/>
      <c r="M419" s="2290"/>
      <c r="N419" s="2290"/>
      <c r="O419" s="2290"/>
      <c r="P419" s="2290"/>
      <c r="Q419" s="2290"/>
      <c r="R419" s="2290"/>
      <c r="S419" s="2290"/>
      <c r="T419" s="2290"/>
      <c r="U419" s="2290"/>
      <c r="V419" s="2290"/>
      <c r="W419" s="2290"/>
      <c r="X419" s="2290"/>
      <c r="Y419" s="2290"/>
      <c r="Z419" s="2290"/>
      <c r="AA419" s="2290"/>
      <c r="AB419" s="2290"/>
      <c r="AC419" s="2290"/>
      <c r="AD419" s="2290"/>
      <c r="AE419" s="2290"/>
      <c r="AF419" s="229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13" t="s">
        <v>822</v>
      </c>
      <c r="D420" s="2374"/>
      <c r="E420" s="587"/>
      <c r="F420" s="617" t="s">
        <v>2345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14" t="s">
        <v>2336</v>
      </c>
      <c r="AG420" s="2414"/>
      <c r="AH420" s="2414"/>
      <c r="AI420" s="2414"/>
      <c r="AJ420" s="2414"/>
      <c r="AK420" s="2414"/>
      <c r="AL420" s="2415"/>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13" t="s">
        <v>857</v>
      </c>
      <c r="D422" s="2374"/>
      <c r="E422" s="615"/>
      <c r="F422" s="617" t="s">
        <v>2346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14" t="s">
        <v>2347</v>
      </c>
      <c r="AG422" s="2414"/>
      <c r="AH422" s="2414"/>
      <c r="AI422" s="2414"/>
      <c r="AJ422" s="2414"/>
      <c r="AK422" s="2414"/>
      <c r="AL422" s="2415"/>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13" t="s">
        <v>822</v>
      </c>
      <c r="D425" s="2374"/>
      <c r="E425" s="611" t="s">
        <v>2348</v>
      </c>
      <c r="F425" s="2416" t="s">
        <v>2349</v>
      </c>
      <c r="G425" s="2416"/>
      <c r="H425" s="2416"/>
      <c r="I425" s="2416"/>
      <c r="J425" s="2416"/>
      <c r="K425" s="2416"/>
      <c r="L425" s="2416"/>
      <c r="M425" s="2416"/>
      <c r="N425" s="2416"/>
      <c r="O425" s="2416"/>
      <c r="P425" s="2416"/>
      <c r="Q425" s="2416"/>
      <c r="R425" s="2416"/>
      <c r="S425" s="2416"/>
      <c r="T425" s="2416"/>
      <c r="U425" s="2416"/>
      <c r="V425" s="2416"/>
      <c r="W425" s="2416"/>
      <c r="X425" s="2416"/>
      <c r="Y425" s="2416"/>
      <c r="Z425" s="2416"/>
      <c r="AA425" s="2416"/>
      <c r="AB425" s="2416"/>
      <c r="AC425" s="2416"/>
      <c r="AD425" s="2416"/>
      <c r="AE425" s="2416"/>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290"/>
      <c r="G426" s="2290"/>
      <c r="H426" s="2290"/>
      <c r="I426" s="2290"/>
      <c r="J426" s="2290"/>
      <c r="K426" s="2290"/>
      <c r="L426" s="2290"/>
      <c r="M426" s="2290"/>
      <c r="N426" s="2290"/>
      <c r="O426" s="2290"/>
      <c r="P426" s="2290"/>
      <c r="Q426" s="2290"/>
      <c r="R426" s="2290"/>
      <c r="S426" s="2290"/>
      <c r="T426" s="2290"/>
      <c r="U426" s="2290"/>
      <c r="V426" s="2290"/>
      <c r="W426" s="2290"/>
      <c r="X426" s="2290"/>
      <c r="Y426" s="2290"/>
      <c r="Z426" s="2290"/>
      <c r="AA426" s="2290"/>
      <c r="AB426" s="2290"/>
      <c r="AC426" s="2290"/>
      <c r="AD426" s="2290"/>
      <c r="AE426" s="2290"/>
      <c r="AF426" s="2352" t="s">
        <v>2336</v>
      </c>
      <c r="AG426" s="2352"/>
      <c r="AH426" s="2352"/>
      <c r="AI426" s="2352"/>
      <c r="AJ426" s="2352"/>
      <c r="AK426" s="2352"/>
      <c r="AL426" s="2417"/>
      <c r="AM426" s="468"/>
      <c r="AN426" s="495"/>
      <c r="BS426" s="468"/>
      <c r="BT426" s="468"/>
      <c r="BY426" s="468"/>
      <c r="BZ426" s="468"/>
      <c r="CA426" s="468"/>
      <c r="CB426" s="468"/>
      <c r="CC426" s="468"/>
    </row>
    <row r="427" spans="1:81" s="449" customFormat="1" ht="12.75" customHeight="1">
      <c r="A427" s="436"/>
      <c r="B427" s="13"/>
      <c r="C427" s="627"/>
      <c r="D427" s="13"/>
      <c r="E427" s="587"/>
      <c r="F427" s="2290"/>
      <c r="G427" s="2290"/>
      <c r="H427" s="2290"/>
      <c r="I427" s="2290"/>
      <c r="J427" s="2290"/>
      <c r="K427" s="2290"/>
      <c r="L427" s="2290"/>
      <c r="M427" s="2290"/>
      <c r="N427" s="2290"/>
      <c r="O427" s="2290"/>
      <c r="P427" s="2290"/>
      <c r="Q427" s="2290"/>
      <c r="R427" s="2290"/>
      <c r="S427" s="2290"/>
      <c r="T427" s="2290"/>
      <c r="U427" s="2290"/>
      <c r="V427" s="2290"/>
      <c r="W427" s="2290"/>
      <c r="X427" s="2290"/>
      <c r="Y427" s="2290"/>
      <c r="Z427" s="2290"/>
      <c r="AA427" s="2290"/>
      <c r="AB427" s="2290"/>
      <c r="AC427" s="2290"/>
      <c r="AD427" s="2290"/>
      <c r="AE427" s="229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45"/>
      <c r="G428" s="2445"/>
      <c r="H428" s="2445"/>
      <c r="I428" s="2445"/>
      <c r="J428" s="2445"/>
      <c r="K428" s="2445"/>
      <c r="L428" s="2445"/>
      <c r="M428" s="2445"/>
      <c r="N428" s="2445"/>
      <c r="O428" s="2445"/>
      <c r="P428" s="2445"/>
      <c r="Q428" s="2445"/>
      <c r="R428" s="2445"/>
      <c r="S428" s="2445"/>
      <c r="T428" s="2445"/>
      <c r="U428" s="2445"/>
      <c r="V428" s="2445"/>
      <c r="W428" s="2445"/>
      <c r="X428" s="2445"/>
      <c r="Y428" s="2445"/>
      <c r="Z428" s="2445"/>
      <c r="AA428" s="2445"/>
      <c r="AB428" s="2445"/>
      <c r="AC428" s="2445"/>
      <c r="AD428" s="2445"/>
      <c r="AE428" s="2445"/>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2350</v>
      </c>
      <c r="F430" s="2416" t="s">
        <v>2351</v>
      </c>
      <c r="G430" s="2416"/>
      <c r="H430" s="2416"/>
      <c r="I430" s="2416"/>
      <c r="J430" s="2416"/>
      <c r="K430" s="2416"/>
      <c r="L430" s="2416"/>
      <c r="M430" s="2416"/>
      <c r="N430" s="2416"/>
      <c r="O430" s="2416"/>
      <c r="P430" s="2416"/>
      <c r="Q430" s="2416"/>
      <c r="R430" s="2416"/>
      <c r="S430" s="2416"/>
      <c r="T430" s="2416"/>
      <c r="U430" s="2416"/>
      <c r="V430" s="2416"/>
      <c r="W430" s="2416"/>
      <c r="X430" s="2416"/>
      <c r="Y430" s="2416"/>
      <c r="Z430" s="2416"/>
      <c r="AA430" s="2416"/>
      <c r="AB430" s="2416"/>
      <c r="AC430" s="2416"/>
      <c r="AD430" s="2416"/>
      <c r="AE430" s="2416"/>
      <c r="AF430" s="643"/>
      <c r="AG430" s="643"/>
      <c r="AH430" s="643"/>
      <c r="AI430" s="643"/>
      <c r="AJ430" s="643"/>
      <c r="AK430" s="643"/>
      <c r="AL430" s="644"/>
      <c r="AM430" s="468"/>
    </row>
    <row r="431" spans="1:81">
      <c r="A431" s="436"/>
      <c r="C431" s="627"/>
      <c r="E431" s="587"/>
      <c r="F431" s="2290"/>
      <c r="G431" s="2290"/>
      <c r="H431" s="2290"/>
      <c r="I431" s="2290"/>
      <c r="J431" s="2290"/>
      <c r="K431" s="2290"/>
      <c r="L431" s="2290"/>
      <c r="M431" s="2290"/>
      <c r="N431" s="2290"/>
      <c r="O431" s="2290"/>
      <c r="P431" s="2290"/>
      <c r="Q431" s="2290"/>
      <c r="R431" s="2290"/>
      <c r="S431" s="2290"/>
      <c r="T431" s="2290"/>
      <c r="U431" s="2290"/>
      <c r="V431" s="2290"/>
      <c r="W431" s="2290"/>
      <c r="X431" s="2290"/>
      <c r="Y431" s="2290"/>
      <c r="Z431" s="2290"/>
      <c r="AA431" s="2290"/>
      <c r="AB431" s="2290"/>
      <c r="AC431" s="2290"/>
      <c r="AD431" s="2290"/>
      <c r="AE431" s="2290"/>
      <c r="AF431" s="439"/>
      <c r="AG431" s="436"/>
      <c r="AH431" s="449"/>
      <c r="AI431" s="449"/>
      <c r="AJ431" s="449"/>
      <c r="AK431" s="449"/>
      <c r="AL431" s="628"/>
      <c r="AM431" s="468"/>
    </row>
    <row r="432" spans="1:81" s="449" customFormat="1" ht="12.75" customHeight="1">
      <c r="A432" s="436"/>
      <c r="B432" s="13"/>
      <c r="C432" s="627"/>
      <c r="D432" s="13"/>
      <c r="E432" s="587"/>
      <c r="F432" s="2290"/>
      <c r="G432" s="2290"/>
      <c r="H432" s="2290"/>
      <c r="I432" s="2290"/>
      <c r="J432" s="2290"/>
      <c r="K432" s="2290"/>
      <c r="L432" s="2290"/>
      <c r="M432" s="2290"/>
      <c r="N432" s="2290"/>
      <c r="O432" s="2290"/>
      <c r="P432" s="2290"/>
      <c r="Q432" s="2290"/>
      <c r="R432" s="2290"/>
      <c r="S432" s="2290"/>
      <c r="T432" s="2290"/>
      <c r="U432" s="2290"/>
      <c r="V432" s="2290"/>
      <c r="W432" s="2290"/>
      <c r="X432" s="2290"/>
      <c r="Y432" s="2290"/>
      <c r="Z432" s="2290"/>
      <c r="AA432" s="2290"/>
      <c r="AB432" s="2290"/>
      <c r="AC432" s="2290"/>
      <c r="AD432" s="2290"/>
      <c r="AE432" s="2290"/>
      <c r="AL432" s="628"/>
      <c r="AM432" s="468"/>
      <c r="AN432" s="495"/>
    </row>
    <row r="433" spans="1:60" s="449" customFormat="1" ht="12.75" customHeight="1">
      <c r="A433" s="436"/>
      <c r="B433" s="13"/>
      <c r="C433" s="635"/>
      <c r="F433" s="2290"/>
      <c r="G433" s="2290"/>
      <c r="H433" s="2290"/>
      <c r="I433" s="2290"/>
      <c r="J433" s="2290"/>
      <c r="K433" s="2290"/>
      <c r="L433" s="2290"/>
      <c r="M433" s="2290"/>
      <c r="N433" s="2290"/>
      <c r="O433" s="2290"/>
      <c r="P433" s="2290"/>
      <c r="Q433" s="2290"/>
      <c r="R433" s="2290"/>
      <c r="S433" s="2290"/>
      <c r="T433" s="2290"/>
      <c r="U433" s="2290"/>
      <c r="V433" s="2290"/>
      <c r="W433" s="2290"/>
      <c r="X433" s="2290"/>
      <c r="Y433" s="2290"/>
      <c r="Z433" s="2290"/>
      <c r="AA433" s="2290"/>
      <c r="AB433" s="2290"/>
      <c r="AC433" s="2290"/>
      <c r="AD433" s="2290"/>
      <c r="AE433" s="2290"/>
      <c r="AL433" s="628"/>
      <c r="AM433" s="468"/>
      <c r="AN433" s="495"/>
    </row>
    <row r="434" spans="1:60" s="449" customFormat="1" ht="12.75" customHeight="1">
      <c r="A434" s="436"/>
      <c r="B434" s="13"/>
      <c r="C434" s="2413" t="s">
        <v>822</v>
      </c>
      <c r="D434" s="2374"/>
      <c r="E434" s="587"/>
      <c r="F434" s="617" t="s">
        <v>2352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52" t="s">
        <v>2336</v>
      </c>
      <c r="AG434" s="2352"/>
      <c r="AH434" s="2352"/>
      <c r="AI434" s="2352"/>
      <c r="AJ434" s="2352"/>
      <c r="AK434" s="2352"/>
      <c r="AL434" s="2417"/>
      <c r="AM434" s="468"/>
      <c r="AN434" s="495"/>
    </row>
    <row r="435" spans="1:60" s="449" customFormat="1" ht="12.75" customHeight="1">
      <c r="A435" s="436"/>
      <c r="B435" s="13"/>
      <c r="C435" s="635"/>
      <c r="AL435" s="628"/>
      <c r="AM435" s="468"/>
      <c r="AN435" s="495"/>
    </row>
    <row r="436" spans="1:60" s="449" customFormat="1" ht="12.75" customHeight="1">
      <c r="A436" s="436"/>
      <c r="B436" s="13"/>
      <c r="C436" s="2413" t="s">
        <v>822</v>
      </c>
      <c r="D436" s="2374"/>
      <c r="E436" s="615"/>
      <c r="F436" s="617" t="s">
        <v>2353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52" t="s">
        <v>2347</v>
      </c>
      <c r="AG436" s="2352"/>
      <c r="AH436" s="2352"/>
      <c r="AI436" s="2352"/>
      <c r="AJ436" s="2352"/>
      <c r="AK436" s="2352"/>
      <c r="AL436" s="2417"/>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2355</v>
      </c>
      <c r="F440" s="2416" t="s">
        <v>2356</v>
      </c>
      <c r="G440" s="2416"/>
      <c r="H440" s="2416"/>
      <c r="I440" s="2416"/>
      <c r="J440" s="2416"/>
      <c r="K440" s="2416"/>
      <c r="L440" s="2416"/>
      <c r="M440" s="2416"/>
      <c r="N440" s="2416"/>
      <c r="O440" s="2416"/>
      <c r="P440" s="2416"/>
      <c r="Q440" s="2416"/>
      <c r="R440" s="2416"/>
      <c r="S440" s="2416"/>
      <c r="T440" s="2416"/>
      <c r="U440" s="2416"/>
      <c r="V440" s="2416"/>
      <c r="W440" s="2416"/>
      <c r="X440" s="2416"/>
      <c r="Y440" s="2416"/>
      <c r="Z440" s="2416"/>
      <c r="AA440" s="2416"/>
      <c r="AB440" s="2416"/>
      <c r="AC440" s="2416"/>
      <c r="AD440" s="2416"/>
      <c r="AE440" s="2416"/>
      <c r="AF440" s="610"/>
      <c r="AG440" s="610"/>
      <c r="AH440" s="610"/>
      <c r="AI440" s="610"/>
      <c r="AJ440" s="610"/>
      <c r="AK440" s="610"/>
      <c r="AL440" s="641"/>
      <c r="AM440" s="468"/>
      <c r="AN440" s="495"/>
    </row>
    <row r="441" spans="1:60" s="449" customFormat="1" ht="12.75" customHeight="1">
      <c r="A441" s="436"/>
      <c r="B441" s="13"/>
      <c r="C441" s="627"/>
      <c r="D441" s="13"/>
      <c r="E441" s="587"/>
      <c r="F441" s="2290"/>
      <c r="G441" s="2290"/>
      <c r="H441" s="2290"/>
      <c r="I441" s="2290"/>
      <c r="J441" s="2290"/>
      <c r="K441" s="2290"/>
      <c r="L441" s="2290"/>
      <c r="M441" s="2290"/>
      <c r="N441" s="2290"/>
      <c r="O441" s="2290"/>
      <c r="P441" s="2290"/>
      <c r="Q441" s="2290"/>
      <c r="R441" s="2290"/>
      <c r="S441" s="2290"/>
      <c r="T441" s="2290"/>
      <c r="U441" s="2290"/>
      <c r="V441" s="2290"/>
      <c r="W441" s="2290"/>
      <c r="X441" s="2290"/>
      <c r="Y441" s="2290"/>
      <c r="Z441" s="2290"/>
      <c r="AA441" s="2290"/>
      <c r="AB441" s="2290"/>
      <c r="AC441" s="2290"/>
      <c r="AD441" s="2290"/>
      <c r="AE441" s="2290"/>
      <c r="AF441" s="439"/>
      <c r="AG441" s="436"/>
      <c r="AL441" s="628"/>
      <c r="AM441" s="468"/>
      <c r="AN441" s="495"/>
    </row>
    <row r="442" spans="1:60" s="449" customFormat="1" ht="12.6" customHeight="1">
      <c r="A442" s="436"/>
      <c r="B442" s="13"/>
      <c r="C442" s="627"/>
      <c r="D442" s="13"/>
      <c r="E442" s="587"/>
      <c r="F442" s="2290"/>
      <c r="G442" s="2290"/>
      <c r="H442" s="2290"/>
      <c r="I442" s="2290"/>
      <c r="J442" s="2290"/>
      <c r="K442" s="2290"/>
      <c r="L442" s="2290"/>
      <c r="M442" s="2290"/>
      <c r="N442" s="2290"/>
      <c r="O442" s="2290"/>
      <c r="P442" s="2290"/>
      <c r="Q442" s="2290"/>
      <c r="R442" s="2290"/>
      <c r="S442" s="2290"/>
      <c r="T442" s="2290"/>
      <c r="U442" s="2290"/>
      <c r="V442" s="2290"/>
      <c r="W442" s="2290"/>
      <c r="X442" s="2290"/>
      <c r="Y442" s="2290"/>
      <c r="Z442" s="2290"/>
      <c r="AA442" s="2290"/>
      <c r="AB442" s="2290"/>
      <c r="AC442" s="2290"/>
      <c r="AD442" s="2290"/>
      <c r="AE442" s="2290"/>
      <c r="AL442" s="628"/>
      <c r="AM442" s="468"/>
      <c r="AN442" s="495"/>
    </row>
    <row r="443" spans="1:60" s="449" customFormat="1" ht="12.75" customHeight="1">
      <c r="A443" s="436"/>
      <c r="B443" s="13"/>
      <c r="C443" s="2413" t="s">
        <v>822</v>
      </c>
      <c r="D443" s="2374"/>
      <c r="E443" s="587"/>
      <c r="F443" s="617" t="s">
        <v>2357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52" t="s">
        <v>2336</v>
      </c>
      <c r="AG443" s="2352"/>
      <c r="AH443" s="2352"/>
      <c r="AI443" s="2352"/>
      <c r="AJ443" s="2352"/>
      <c r="AK443" s="2352"/>
      <c r="AL443" s="2417"/>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2358</v>
      </c>
      <c r="F446" s="2416" t="s">
        <v>2359</v>
      </c>
      <c r="G446" s="2416"/>
      <c r="H446" s="2416"/>
      <c r="I446" s="2416"/>
      <c r="J446" s="2416"/>
      <c r="K446" s="2416"/>
      <c r="L446" s="2416"/>
      <c r="M446" s="2416"/>
      <c r="N446" s="2416"/>
      <c r="O446" s="2416"/>
      <c r="P446" s="2416"/>
      <c r="Q446" s="2416"/>
      <c r="R446" s="2416"/>
      <c r="S446" s="2416"/>
      <c r="T446" s="2416"/>
      <c r="U446" s="2416"/>
      <c r="V446" s="2416"/>
      <c r="W446" s="2416"/>
      <c r="X446" s="2416"/>
      <c r="Y446" s="2416"/>
      <c r="Z446" s="2416"/>
      <c r="AA446" s="2416"/>
      <c r="AB446" s="2416"/>
      <c r="AC446" s="2416"/>
      <c r="AD446" s="2416"/>
      <c r="AE446" s="2416"/>
      <c r="AF446" s="643"/>
      <c r="AG446" s="643"/>
      <c r="AH446" s="643"/>
      <c r="AI446" s="643"/>
      <c r="AJ446" s="643"/>
      <c r="AK446" s="643"/>
      <c r="AL446" s="644"/>
      <c r="AM446" s="468"/>
      <c r="AO446" s="449"/>
      <c r="AP446" s="449"/>
      <c r="BD446" s="13"/>
      <c r="BE446" s="13"/>
      <c r="BF446" s="13"/>
      <c r="BG446" s="13"/>
      <c r="BH446" s="13"/>
    </row>
    <row r="447" spans="1:60">
      <c r="A447" s="436"/>
      <c r="C447" s="627"/>
      <c r="E447" s="587"/>
      <c r="F447" s="2290"/>
      <c r="G447" s="2290"/>
      <c r="H447" s="2290"/>
      <c r="I447" s="2290"/>
      <c r="J447" s="2290"/>
      <c r="K447" s="2290"/>
      <c r="L447" s="2290"/>
      <c r="M447" s="2290"/>
      <c r="N447" s="2290"/>
      <c r="O447" s="2290"/>
      <c r="P447" s="2290"/>
      <c r="Q447" s="2290"/>
      <c r="R447" s="2290"/>
      <c r="S447" s="2290"/>
      <c r="T447" s="2290"/>
      <c r="U447" s="2290"/>
      <c r="V447" s="2290"/>
      <c r="W447" s="2290"/>
      <c r="X447" s="2290"/>
      <c r="Y447" s="2290"/>
      <c r="Z447" s="2290"/>
      <c r="AA447" s="2290"/>
      <c r="AB447" s="2290"/>
      <c r="AC447" s="2290"/>
      <c r="AD447" s="2290"/>
      <c r="AE447" s="2290"/>
      <c r="AF447" s="492"/>
      <c r="AG447" s="492"/>
      <c r="AH447" s="492"/>
      <c r="AI447" s="492"/>
      <c r="AJ447" s="492"/>
      <c r="AK447" s="492"/>
      <c r="AL447" s="646"/>
      <c r="AM447" s="468"/>
      <c r="AO447" s="449"/>
      <c r="AP447" s="449"/>
    </row>
    <row r="448" spans="1:60" s="449" customFormat="1" ht="12.75" customHeight="1">
      <c r="A448" s="436"/>
      <c r="B448" s="13"/>
      <c r="C448" s="627"/>
      <c r="D448" s="13"/>
      <c r="E448" s="587"/>
      <c r="F448" s="2290"/>
      <c r="G448" s="2290"/>
      <c r="H448" s="2290"/>
      <c r="I448" s="2290"/>
      <c r="J448" s="2290"/>
      <c r="K448" s="2290"/>
      <c r="L448" s="2290"/>
      <c r="M448" s="2290"/>
      <c r="N448" s="2290"/>
      <c r="O448" s="2290"/>
      <c r="P448" s="2290"/>
      <c r="Q448" s="2290"/>
      <c r="R448" s="2290"/>
      <c r="S448" s="2290"/>
      <c r="T448" s="2290"/>
      <c r="U448" s="2290"/>
      <c r="V448" s="2290"/>
      <c r="W448" s="2290"/>
      <c r="X448" s="2290"/>
      <c r="Y448" s="2290"/>
      <c r="Z448" s="2290"/>
      <c r="AA448" s="2290"/>
      <c r="AB448" s="2290"/>
      <c r="AC448" s="2290"/>
      <c r="AD448" s="2290"/>
      <c r="AE448" s="2290"/>
      <c r="AF448" s="492"/>
      <c r="AG448" s="492"/>
      <c r="AH448" s="492"/>
      <c r="AI448" s="492"/>
      <c r="AJ448" s="492"/>
      <c r="AK448" s="492"/>
      <c r="AL448" s="646"/>
      <c r="AM448" s="468"/>
      <c r="AN448" s="495"/>
    </row>
    <row r="449" spans="1:42" s="449" customFormat="1" ht="12.75" customHeight="1">
      <c r="A449" s="436"/>
      <c r="B449" s="13"/>
      <c r="C449" s="647"/>
      <c r="D449" s="626"/>
      <c r="E449" s="615"/>
      <c r="F449" s="2290"/>
      <c r="G449" s="2290"/>
      <c r="H449" s="2290"/>
      <c r="I449" s="2290"/>
      <c r="J449" s="2290"/>
      <c r="K449" s="2290"/>
      <c r="L449" s="2290"/>
      <c r="M449" s="2290"/>
      <c r="N449" s="2290"/>
      <c r="O449" s="2290"/>
      <c r="P449" s="2290"/>
      <c r="Q449" s="2290"/>
      <c r="R449" s="2290"/>
      <c r="S449" s="2290"/>
      <c r="T449" s="2290"/>
      <c r="U449" s="2290"/>
      <c r="V449" s="2290"/>
      <c r="W449" s="2290"/>
      <c r="X449" s="2290"/>
      <c r="Y449" s="2290"/>
      <c r="Z449" s="2290"/>
      <c r="AA449" s="2290"/>
      <c r="AB449" s="2290"/>
      <c r="AC449" s="2290"/>
      <c r="AD449" s="2290"/>
      <c r="AE449" s="229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290"/>
      <c r="G450" s="2290"/>
      <c r="H450" s="2290"/>
      <c r="I450" s="2290"/>
      <c r="J450" s="2290"/>
      <c r="K450" s="2290"/>
      <c r="L450" s="2290"/>
      <c r="M450" s="2290"/>
      <c r="N450" s="2290"/>
      <c r="O450" s="2290"/>
      <c r="P450" s="2290"/>
      <c r="Q450" s="2290"/>
      <c r="R450" s="2290"/>
      <c r="S450" s="2290"/>
      <c r="T450" s="2290"/>
      <c r="U450" s="2290"/>
      <c r="V450" s="2290"/>
      <c r="W450" s="2290"/>
      <c r="X450" s="2290"/>
      <c r="Y450" s="2290"/>
      <c r="Z450" s="2290"/>
      <c r="AA450" s="2290"/>
      <c r="AB450" s="2290"/>
      <c r="AC450" s="2290"/>
      <c r="AD450" s="2290"/>
      <c r="AE450" s="2290"/>
      <c r="AF450" s="492"/>
      <c r="AG450" s="492"/>
      <c r="AH450" s="492"/>
      <c r="AI450" s="492"/>
      <c r="AJ450" s="492"/>
      <c r="AK450" s="492"/>
      <c r="AL450" s="646"/>
      <c r="AM450" s="468"/>
      <c r="AN450" s="495"/>
    </row>
    <row r="451" spans="1:42" s="449" customFormat="1" ht="12.75" customHeight="1">
      <c r="A451" s="436"/>
      <c r="B451" s="13"/>
      <c r="C451" s="647"/>
      <c r="D451" s="626"/>
      <c r="E451" s="615"/>
      <c r="F451" s="2290"/>
      <c r="G451" s="2290"/>
      <c r="H451" s="2290"/>
      <c r="I451" s="2290"/>
      <c r="J451" s="2290"/>
      <c r="K451" s="2290"/>
      <c r="L451" s="2290"/>
      <c r="M451" s="2290"/>
      <c r="N451" s="2290"/>
      <c r="O451" s="2290"/>
      <c r="P451" s="2290"/>
      <c r="Q451" s="2290"/>
      <c r="R451" s="2290"/>
      <c r="S451" s="2290"/>
      <c r="T451" s="2290"/>
      <c r="U451" s="2290"/>
      <c r="V451" s="2290"/>
      <c r="W451" s="2290"/>
      <c r="X451" s="2290"/>
      <c r="Y451" s="2290"/>
      <c r="Z451" s="2290"/>
      <c r="AA451" s="2290"/>
      <c r="AB451" s="2290"/>
      <c r="AC451" s="2290"/>
      <c r="AD451" s="2290"/>
      <c r="AE451" s="2290"/>
      <c r="AF451" s="492"/>
      <c r="AG451" s="492"/>
      <c r="AH451" s="492"/>
      <c r="AI451" s="492"/>
      <c r="AJ451" s="492"/>
      <c r="AK451" s="492"/>
      <c r="AL451" s="646"/>
      <c r="AM451" s="468"/>
      <c r="AN451" s="495"/>
    </row>
    <row r="452" spans="1:42" s="449" customFormat="1" ht="12.75" customHeight="1">
      <c r="A452" s="436"/>
      <c r="B452" s="13"/>
      <c r="C452" s="647"/>
      <c r="D452" s="626"/>
      <c r="E452" s="615"/>
      <c r="F452" s="2290"/>
      <c r="G452" s="2290"/>
      <c r="H452" s="2290"/>
      <c r="I452" s="2290"/>
      <c r="J452" s="2290"/>
      <c r="K452" s="2290"/>
      <c r="L452" s="2290"/>
      <c r="M452" s="2290"/>
      <c r="N452" s="2290"/>
      <c r="O452" s="2290"/>
      <c r="P452" s="2290"/>
      <c r="Q452" s="2290"/>
      <c r="R452" s="2290"/>
      <c r="S452" s="2290"/>
      <c r="T452" s="2290"/>
      <c r="U452" s="2290"/>
      <c r="V452" s="2290"/>
      <c r="W452" s="2290"/>
      <c r="X452" s="2290"/>
      <c r="Y452" s="2290"/>
      <c r="Z452" s="2290"/>
      <c r="AA452" s="2290"/>
      <c r="AB452" s="2290"/>
      <c r="AC452" s="2290"/>
      <c r="AD452" s="2290"/>
      <c r="AE452" s="2290"/>
      <c r="AF452" s="492"/>
      <c r="AG452" s="492"/>
      <c r="AH452" s="492"/>
      <c r="AI452" s="492"/>
      <c r="AJ452" s="492"/>
      <c r="AK452" s="492"/>
      <c r="AL452" s="646"/>
      <c r="AM452" s="468"/>
      <c r="AN452" s="495"/>
    </row>
    <row r="453" spans="1:42" s="449" customFormat="1" ht="12.75" customHeight="1">
      <c r="A453" s="436"/>
      <c r="B453" s="13"/>
      <c r="C453" s="647"/>
      <c r="D453" s="626"/>
      <c r="E453" s="615"/>
      <c r="F453" s="2290"/>
      <c r="G453" s="2290"/>
      <c r="H453" s="2290"/>
      <c r="I453" s="2290"/>
      <c r="J453" s="2290"/>
      <c r="K453" s="2290"/>
      <c r="L453" s="2290"/>
      <c r="M453" s="2290"/>
      <c r="N453" s="2290"/>
      <c r="O453" s="2290"/>
      <c r="P453" s="2290"/>
      <c r="Q453" s="2290"/>
      <c r="R453" s="2290"/>
      <c r="S453" s="2290"/>
      <c r="T453" s="2290"/>
      <c r="U453" s="2290"/>
      <c r="V453" s="2290"/>
      <c r="W453" s="2290"/>
      <c r="X453" s="2290"/>
      <c r="Y453" s="2290"/>
      <c r="Z453" s="2290"/>
      <c r="AA453" s="2290"/>
      <c r="AB453" s="2290"/>
      <c r="AC453" s="2290"/>
      <c r="AD453" s="2290"/>
      <c r="AE453" s="2290"/>
      <c r="AF453" s="492"/>
      <c r="AG453" s="492"/>
      <c r="AH453" s="492"/>
      <c r="AI453" s="492"/>
      <c r="AJ453" s="492"/>
      <c r="AK453" s="492"/>
      <c r="AL453" s="646"/>
      <c r="AM453" s="468"/>
      <c r="AN453" s="495"/>
    </row>
    <row r="454" spans="1:42" s="449" customFormat="1" ht="17.25" customHeight="1">
      <c r="A454" s="436"/>
      <c r="B454" s="13"/>
      <c r="C454" s="647"/>
      <c r="D454" s="626"/>
      <c r="E454" s="615"/>
      <c r="F454" s="2290"/>
      <c r="G454" s="2290"/>
      <c r="H454" s="2290"/>
      <c r="I454" s="2290"/>
      <c r="J454" s="2290"/>
      <c r="K454" s="2290"/>
      <c r="L454" s="2290"/>
      <c r="M454" s="2290"/>
      <c r="N454" s="2290"/>
      <c r="O454" s="2290"/>
      <c r="P454" s="2290"/>
      <c r="Q454" s="2290"/>
      <c r="R454" s="2290"/>
      <c r="S454" s="2290"/>
      <c r="T454" s="2290"/>
      <c r="U454" s="2290"/>
      <c r="V454" s="2290"/>
      <c r="W454" s="2290"/>
      <c r="X454" s="2290"/>
      <c r="Y454" s="2290"/>
      <c r="Z454" s="2290"/>
      <c r="AA454" s="2290"/>
      <c r="AB454" s="2290"/>
      <c r="AC454" s="2290"/>
      <c r="AD454" s="2290"/>
      <c r="AE454" s="2290"/>
      <c r="AL454" s="628"/>
      <c r="AM454" s="468"/>
      <c r="AN454" s="495"/>
    </row>
    <row r="455" spans="1:42" s="449" customFormat="1" ht="12.75" customHeight="1">
      <c r="A455" s="436"/>
      <c r="B455" s="13"/>
      <c r="C455" s="2413" t="s">
        <v>822</v>
      </c>
      <c r="D455" s="2374"/>
      <c r="E455" s="615"/>
      <c r="F455" s="494" t="s">
        <v>2360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52" t="s">
        <v>2336</v>
      </c>
      <c r="AG455" s="2352"/>
      <c r="AH455" s="2352"/>
      <c r="AI455" s="2352"/>
      <c r="AJ455" s="2352"/>
      <c r="AK455" s="2352"/>
      <c r="AL455" s="2417"/>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2361</v>
      </c>
      <c r="F458" s="2416" t="s">
        <v>2362</v>
      </c>
      <c r="G458" s="2416"/>
      <c r="H458" s="2416"/>
      <c r="I458" s="2416"/>
      <c r="J458" s="2416"/>
      <c r="K458" s="2416"/>
      <c r="L458" s="2416"/>
      <c r="M458" s="2416"/>
      <c r="N458" s="2416"/>
      <c r="O458" s="2416"/>
      <c r="P458" s="2416"/>
      <c r="Q458" s="2416"/>
      <c r="R458" s="2416"/>
      <c r="S458" s="2416"/>
      <c r="T458" s="2416"/>
      <c r="U458" s="2416"/>
      <c r="V458" s="2416"/>
      <c r="W458" s="2416"/>
      <c r="X458" s="2416"/>
      <c r="Y458" s="2416"/>
      <c r="Z458" s="2416"/>
      <c r="AA458" s="2416"/>
      <c r="AB458" s="2416"/>
      <c r="AC458" s="2416"/>
      <c r="AD458" s="2416"/>
      <c r="AE458" s="2416"/>
      <c r="AF458" s="610"/>
      <c r="AG458" s="610"/>
      <c r="AH458" s="610"/>
      <c r="AI458" s="610"/>
      <c r="AJ458" s="610"/>
      <c r="AK458" s="610"/>
      <c r="AL458" s="641"/>
      <c r="AM458" s="468"/>
      <c r="AN458" s="495"/>
    </row>
    <row r="459" spans="1:42" s="449" customFormat="1" ht="12.75" customHeight="1">
      <c r="A459" s="436"/>
      <c r="B459" s="13"/>
      <c r="C459" s="647"/>
      <c r="D459" s="626"/>
      <c r="E459" s="615"/>
      <c r="F459" s="2290"/>
      <c r="G459" s="2290"/>
      <c r="H459" s="2290"/>
      <c r="I459" s="2290"/>
      <c r="J459" s="2290"/>
      <c r="K459" s="2290"/>
      <c r="L459" s="2290"/>
      <c r="M459" s="2290"/>
      <c r="N459" s="2290"/>
      <c r="O459" s="2290"/>
      <c r="P459" s="2290"/>
      <c r="Q459" s="2290"/>
      <c r="R459" s="2290"/>
      <c r="S459" s="2290"/>
      <c r="T459" s="2290"/>
      <c r="U459" s="2290"/>
      <c r="V459" s="2290"/>
      <c r="W459" s="2290"/>
      <c r="X459" s="2290"/>
      <c r="Y459" s="2290"/>
      <c r="Z459" s="2290"/>
      <c r="AA459" s="2290"/>
      <c r="AB459" s="2290"/>
      <c r="AC459" s="2290"/>
      <c r="AD459" s="2290"/>
      <c r="AE459" s="2290"/>
      <c r="AF459" s="489"/>
      <c r="AG459" s="489"/>
      <c r="AH459" s="489"/>
      <c r="AI459" s="489"/>
      <c r="AJ459" s="489"/>
      <c r="AK459" s="489"/>
      <c r="AL459" s="616"/>
      <c r="AM459" s="468"/>
      <c r="AN459" s="495"/>
    </row>
    <row r="460" spans="1:42" s="449" customFormat="1" ht="12.75" customHeight="1">
      <c r="A460" s="436"/>
      <c r="B460" s="13"/>
      <c r="C460" s="647"/>
      <c r="D460" s="626"/>
      <c r="E460" s="615"/>
      <c r="F460" s="2290"/>
      <c r="G460" s="2290"/>
      <c r="H460" s="2290"/>
      <c r="I460" s="2290"/>
      <c r="J460" s="2290"/>
      <c r="K460" s="2290"/>
      <c r="L460" s="2290"/>
      <c r="M460" s="2290"/>
      <c r="N460" s="2290"/>
      <c r="O460" s="2290"/>
      <c r="P460" s="2290"/>
      <c r="Q460" s="2290"/>
      <c r="R460" s="2290"/>
      <c r="S460" s="2290"/>
      <c r="T460" s="2290"/>
      <c r="U460" s="2290"/>
      <c r="V460" s="2290"/>
      <c r="W460" s="2290"/>
      <c r="X460" s="2290"/>
      <c r="Y460" s="2290"/>
      <c r="Z460" s="2290"/>
      <c r="AA460" s="2290"/>
      <c r="AB460" s="2290"/>
      <c r="AC460" s="2290"/>
      <c r="AD460" s="2290"/>
      <c r="AE460" s="2290"/>
      <c r="AF460" s="489"/>
      <c r="AG460" s="489"/>
      <c r="AH460" s="489"/>
      <c r="AI460" s="489"/>
      <c r="AJ460" s="489"/>
      <c r="AK460" s="489"/>
      <c r="AL460" s="616"/>
      <c r="AM460" s="468"/>
      <c r="AN460" s="495"/>
    </row>
    <row r="461" spans="1:42" s="449" customFormat="1" ht="12.75" customHeight="1">
      <c r="A461" s="436"/>
      <c r="B461" s="13"/>
      <c r="C461" s="647"/>
      <c r="D461" s="626"/>
      <c r="E461" s="615"/>
      <c r="F461" s="2290"/>
      <c r="G461" s="2290"/>
      <c r="H461" s="2290"/>
      <c r="I461" s="2290"/>
      <c r="J461" s="2290"/>
      <c r="K461" s="2290"/>
      <c r="L461" s="2290"/>
      <c r="M461" s="2290"/>
      <c r="N461" s="2290"/>
      <c r="O461" s="2290"/>
      <c r="P461" s="2290"/>
      <c r="Q461" s="2290"/>
      <c r="R461" s="2290"/>
      <c r="S461" s="2290"/>
      <c r="T461" s="2290"/>
      <c r="U461" s="2290"/>
      <c r="V461" s="2290"/>
      <c r="W461" s="2290"/>
      <c r="X461" s="2290"/>
      <c r="Y461" s="2290"/>
      <c r="Z461" s="2290"/>
      <c r="AA461" s="2290"/>
      <c r="AB461" s="2290"/>
      <c r="AC461" s="2290"/>
      <c r="AD461" s="2290"/>
      <c r="AE461" s="2290"/>
      <c r="AL461" s="628"/>
      <c r="AM461" s="468"/>
      <c r="AN461" s="495"/>
    </row>
    <row r="462" spans="1:42" s="449" customFormat="1" ht="12.75" customHeight="1">
      <c r="A462" s="436"/>
      <c r="B462" s="13"/>
      <c r="C462" s="2413" t="s">
        <v>822</v>
      </c>
      <c r="D462" s="2374"/>
      <c r="E462" s="615"/>
      <c r="F462" s="617" t="s">
        <v>2363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52" t="s">
        <v>2336</v>
      </c>
      <c r="AG462" s="2352"/>
      <c r="AH462" s="2352"/>
      <c r="AI462" s="2352"/>
      <c r="AJ462" s="2352"/>
      <c r="AK462" s="2352"/>
      <c r="AL462" s="2417"/>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18" t="s">
        <v>822</v>
      </c>
      <c r="D466" s="2419"/>
      <c r="E466" s="611" t="s">
        <v>2364</v>
      </c>
      <c r="F466" s="2416" t="s">
        <v>2365</v>
      </c>
      <c r="G466" s="2416"/>
      <c r="H466" s="2416"/>
      <c r="I466" s="2416"/>
      <c r="J466" s="2416"/>
      <c r="K466" s="2416"/>
      <c r="L466" s="2416"/>
      <c r="M466" s="2416"/>
      <c r="N466" s="2416"/>
      <c r="O466" s="2416"/>
      <c r="P466" s="2416"/>
      <c r="Q466" s="2416"/>
      <c r="R466" s="2416"/>
      <c r="S466" s="2416"/>
      <c r="T466" s="2416"/>
      <c r="U466" s="2416"/>
      <c r="V466" s="2416"/>
      <c r="W466" s="2416"/>
      <c r="X466" s="2416"/>
      <c r="Y466" s="2416"/>
      <c r="Z466" s="2416"/>
      <c r="AA466" s="2416"/>
      <c r="AB466" s="2416"/>
      <c r="AC466" s="2416"/>
      <c r="AD466" s="2416"/>
      <c r="AE466" s="2416"/>
      <c r="AF466" s="2501" t="s">
        <v>2336</v>
      </c>
      <c r="AG466" s="2501"/>
      <c r="AH466" s="2501"/>
      <c r="AI466" s="2501"/>
      <c r="AJ466" s="2501"/>
      <c r="AK466" s="2501"/>
      <c r="AL466" s="2502"/>
      <c r="AM466" s="468"/>
      <c r="AN466" s="649"/>
    </row>
    <row r="467" spans="1:40" s="449" customFormat="1" ht="12.75" customHeight="1">
      <c r="A467" s="436"/>
      <c r="B467" s="13"/>
      <c r="C467" s="647"/>
      <c r="D467" s="626"/>
      <c r="E467" s="615"/>
      <c r="F467" s="2290"/>
      <c r="G467" s="2290"/>
      <c r="H467" s="2290"/>
      <c r="I467" s="2290"/>
      <c r="J467" s="2290"/>
      <c r="K467" s="2290"/>
      <c r="L467" s="2290"/>
      <c r="M467" s="2290"/>
      <c r="N467" s="2290"/>
      <c r="O467" s="2290"/>
      <c r="P467" s="2290"/>
      <c r="Q467" s="2290"/>
      <c r="R467" s="2290"/>
      <c r="S467" s="2290"/>
      <c r="T467" s="2290"/>
      <c r="U467" s="2290"/>
      <c r="V467" s="2290"/>
      <c r="W467" s="2290"/>
      <c r="X467" s="2290"/>
      <c r="Y467" s="2290"/>
      <c r="Z467" s="2290"/>
      <c r="AA467" s="2290"/>
      <c r="AB467" s="2290"/>
      <c r="AC467" s="2290"/>
      <c r="AD467" s="2290"/>
      <c r="AE467" s="2290"/>
      <c r="AF467" s="489"/>
      <c r="AG467" s="489"/>
      <c r="AH467" s="489"/>
      <c r="AI467" s="489"/>
      <c r="AJ467" s="489"/>
      <c r="AK467" s="489"/>
      <c r="AL467" s="616"/>
      <c r="AM467" s="468"/>
      <c r="AN467" s="650"/>
    </row>
    <row r="468" spans="1:40" s="449" customFormat="1" ht="17.850000000000001" customHeight="1">
      <c r="A468" s="436"/>
      <c r="B468" s="13"/>
      <c r="C468" s="652"/>
      <c r="D468" s="619"/>
      <c r="E468" s="620"/>
      <c r="F468" s="2445"/>
      <c r="G468" s="2445"/>
      <c r="H468" s="2445"/>
      <c r="I468" s="2445"/>
      <c r="J468" s="2445"/>
      <c r="K468" s="2445"/>
      <c r="L468" s="2445"/>
      <c r="M468" s="2445"/>
      <c r="N468" s="2445"/>
      <c r="O468" s="2445"/>
      <c r="P468" s="2445"/>
      <c r="Q468" s="2445"/>
      <c r="R468" s="2445"/>
      <c r="S468" s="2445"/>
      <c r="T468" s="2445"/>
      <c r="U468" s="2445"/>
      <c r="V468" s="2445"/>
      <c r="W468" s="2445"/>
      <c r="X468" s="2445"/>
      <c r="Y468" s="2445"/>
      <c r="Z468" s="2445"/>
      <c r="AA468" s="2445"/>
      <c r="AB468" s="2445"/>
      <c r="AC468" s="2445"/>
      <c r="AD468" s="2445"/>
      <c r="AE468" s="2445"/>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13" t="s">
        <v>822</v>
      </c>
      <c r="D470" s="2374"/>
      <c r="E470" s="611" t="s">
        <v>2366</v>
      </c>
      <c r="F470" s="2416" t="s">
        <v>2367</v>
      </c>
      <c r="G470" s="2416"/>
      <c r="H470" s="2416"/>
      <c r="I470" s="2416"/>
      <c r="J470" s="2416"/>
      <c r="K470" s="2416"/>
      <c r="L470" s="2416"/>
      <c r="M470" s="2416"/>
      <c r="N470" s="2416"/>
      <c r="O470" s="2416"/>
      <c r="P470" s="2416"/>
      <c r="Q470" s="2416"/>
      <c r="R470" s="2416"/>
      <c r="S470" s="2416"/>
      <c r="T470" s="2416"/>
      <c r="U470" s="2416"/>
      <c r="V470" s="2416"/>
      <c r="W470" s="2416"/>
      <c r="X470" s="2416"/>
      <c r="Y470" s="2416"/>
      <c r="Z470" s="2416"/>
      <c r="AA470" s="2416"/>
      <c r="AB470" s="2416"/>
      <c r="AC470" s="2416"/>
      <c r="AD470" s="2416"/>
      <c r="AE470" s="2416"/>
      <c r="AF470" s="2501" t="s">
        <v>2336</v>
      </c>
      <c r="AG470" s="2501"/>
      <c r="AH470" s="2501"/>
      <c r="AI470" s="2501"/>
      <c r="AJ470" s="2501"/>
      <c r="AK470" s="2501"/>
      <c r="AL470" s="2502"/>
      <c r="AM470" s="468"/>
      <c r="AN470" s="435"/>
    </row>
    <row r="471" spans="1:40" s="449" customFormat="1" ht="12.75" customHeight="1">
      <c r="A471" s="436"/>
      <c r="B471" s="13"/>
      <c r="C471" s="627"/>
      <c r="D471" s="13"/>
      <c r="E471" s="587"/>
      <c r="F471" s="2290"/>
      <c r="G471" s="2290"/>
      <c r="H471" s="2290"/>
      <c r="I471" s="2290"/>
      <c r="J471" s="2290"/>
      <c r="K471" s="2290"/>
      <c r="L471" s="2290"/>
      <c r="M471" s="2290"/>
      <c r="N471" s="2290"/>
      <c r="O471" s="2290"/>
      <c r="P471" s="2290"/>
      <c r="Q471" s="2290"/>
      <c r="R471" s="2290"/>
      <c r="S471" s="2290"/>
      <c r="T471" s="2290"/>
      <c r="U471" s="2290"/>
      <c r="V471" s="2290"/>
      <c r="W471" s="2290"/>
      <c r="X471" s="2290"/>
      <c r="Y471" s="2290"/>
      <c r="Z471" s="2290"/>
      <c r="AA471" s="2290"/>
      <c r="AB471" s="2290"/>
      <c r="AC471" s="2290"/>
      <c r="AD471" s="2290"/>
      <c r="AE471" s="2290"/>
      <c r="AF471" s="439"/>
      <c r="AG471" s="436"/>
      <c r="AL471" s="628"/>
      <c r="AM471" s="468"/>
      <c r="AN471" s="435"/>
    </row>
    <row r="472" spans="1:40" s="449" customFormat="1" ht="12.75" customHeight="1">
      <c r="A472" s="436"/>
      <c r="B472" s="13"/>
      <c r="C472" s="627"/>
      <c r="D472" s="13"/>
      <c r="E472" s="587"/>
      <c r="F472" s="2290"/>
      <c r="G472" s="2290"/>
      <c r="H472" s="2290"/>
      <c r="I472" s="2290"/>
      <c r="J472" s="2290"/>
      <c r="K472" s="2290"/>
      <c r="L472" s="2290"/>
      <c r="M472" s="2290"/>
      <c r="N472" s="2290"/>
      <c r="O472" s="2290"/>
      <c r="P472" s="2290"/>
      <c r="Q472" s="2290"/>
      <c r="R472" s="2290"/>
      <c r="S472" s="2290"/>
      <c r="T472" s="2290"/>
      <c r="U472" s="2290"/>
      <c r="V472" s="2290"/>
      <c r="W472" s="2290"/>
      <c r="X472" s="2290"/>
      <c r="Y472" s="2290"/>
      <c r="Z472" s="2290"/>
      <c r="AA472" s="2290"/>
      <c r="AB472" s="2290"/>
      <c r="AC472" s="2290"/>
      <c r="AD472" s="2290"/>
      <c r="AE472" s="2290"/>
      <c r="AF472" s="439"/>
      <c r="AG472" s="436"/>
      <c r="AL472" s="628"/>
      <c r="AM472" s="468"/>
      <c r="AN472" s="435"/>
    </row>
    <row r="473" spans="1:40" s="449" customFormat="1" ht="12.75" customHeight="1">
      <c r="A473" s="436"/>
      <c r="B473" s="13"/>
      <c r="C473" s="652"/>
      <c r="D473" s="619"/>
      <c r="E473" s="620"/>
      <c r="F473" s="2445"/>
      <c r="G473" s="2445"/>
      <c r="H473" s="2445"/>
      <c r="I473" s="2445"/>
      <c r="J473" s="2445"/>
      <c r="K473" s="2445"/>
      <c r="L473" s="2445"/>
      <c r="M473" s="2445"/>
      <c r="N473" s="2445"/>
      <c r="O473" s="2445"/>
      <c r="P473" s="2445"/>
      <c r="Q473" s="2445"/>
      <c r="R473" s="2445"/>
      <c r="S473" s="2445"/>
      <c r="T473" s="2445"/>
      <c r="U473" s="2445"/>
      <c r="V473" s="2445"/>
      <c r="W473" s="2445"/>
      <c r="X473" s="2445"/>
      <c r="Y473" s="2445"/>
      <c r="Z473" s="2445"/>
      <c r="AA473" s="2445"/>
      <c r="AB473" s="2445"/>
      <c r="AC473" s="2445"/>
      <c r="AD473" s="2445"/>
      <c r="AE473" s="2445"/>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2368</v>
      </c>
      <c r="F475" s="2416" t="s">
        <v>2369</v>
      </c>
      <c r="G475" s="2416"/>
      <c r="H475" s="2416"/>
      <c r="I475" s="2416"/>
      <c r="J475" s="2416"/>
      <c r="K475" s="2416"/>
      <c r="L475" s="2416"/>
      <c r="M475" s="2416"/>
      <c r="N475" s="2416"/>
      <c r="O475" s="2416"/>
      <c r="P475" s="2416"/>
      <c r="Q475" s="2416"/>
      <c r="R475" s="2416"/>
      <c r="S475" s="2416"/>
      <c r="T475" s="2416"/>
      <c r="U475" s="2416"/>
      <c r="V475" s="2416"/>
      <c r="W475" s="2416"/>
      <c r="X475" s="2416"/>
      <c r="Y475" s="2416"/>
      <c r="Z475" s="2416"/>
      <c r="AA475" s="2416"/>
      <c r="AB475" s="2416"/>
      <c r="AC475" s="2416"/>
      <c r="AD475" s="2416"/>
      <c r="AE475" s="2416"/>
      <c r="AF475" s="2416"/>
      <c r="AG475" s="640"/>
      <c r="AH475" s="610"/>
      <c r="AI475" s="610"/>
      <c r="AJ475" s="610"/>
      <c r="AK475" s="610"/>
      <c r="AL475" s="641"/>
      <c r="AM475" s="468"/>
      <c r="AN475" s="495"/>
    </row>
    <row r="476" spans="1:40" s="449" customFormat="1" ht="12.75" customHeight="1">
      <c r="A476" s="436"/>
      <c r="B476" s="13"/>
      <c r="C476" s="627"/>
      <c r="D476" s="13"/>
      <c r="E476" s="587"/>
      <c r="F476" s="2290"/>
      <c r="G476" s="2290"/>
      <c r="H476" s="2290"/>
      <c r="I476" s="2290"/>
      <c r="J476" s="2290"/>
      <c r="K476" s="2290"/>
      <c r="L476" s="2290"/>
      <c r="M476" s="2290"/>
      <c r="N476" s="2290"/>
      <c r="O476" s="2290"/>
      <c r="P476" s="2290"/>
      <c r="Q476" s="2290"/>
      <c r="R476" s="2290"/>
      <c r="S476" s="2290"/>
      <c r="T476" s="2290"/>
      <c r="U476" s="2290"/>
      <c r="V476" s="2290"/>
      <c r="W476" s="2290"/>
      <c r="X476" s="2290"/>
      <c r="Y476" s="2290"/>
      <c r="Z476" s="2290"/>
      <c r="AA476" s="2290"/>
      <c r="AB476" s="2290"/>
      <c r="AC476" s="2290"/>
      <c r="AD476" s="2290"/>
      <c r="AE476" s="2290"/>
      <c r="AF476" s="2290"/>
      <c r="AL476" s="628"/>
      <c r="AM476" s="468"/>
      <c r="AN476" s="495"/>
    </row>
    <row r="477" spans="1:40" s="449" customFormat="1" ht="12.75" customHeight="1">
      <c r="A477" s="436"/>
      <c r="B477" s="13"/>
      <c r="C477" s="635"/>
      <c r="F477" s="2290"/>
      <c r="G477" s="2290"/>
      <c r="H477" s="2290"/>
      <c r="I477" s="2290"/>
      <c r="J477" s="2290"/>
      <c r="K477" s="2290"/>
      <c r="L477" s="2290"/>
      <c r="M477" s="2290"/>
      <c r="N477" s="2290"/>
      <c r="O477" s="2290"/>
      <c r="P477" s="2290"/>
      <c r="Q477" s="2290"/>
      <c r="R477" s="2290"/>
      <c r="S477" s="2290"/>
      <c r="T477" s="2290"/>
      <c r="U477" s="2290"/>
      <c r="V477" s="2290"/>
      <c r="W477" s="2290"/>
      <c r="X477" s="2290"/>
      <c r="Y477" s="2290"/>
      <c r="Z477" s="2290"/>
      <c r="AA477" s="2290"/>
      <c r="AB477" s="2290"/>
      <c r="AC477" s="2290"/>
      <c r="AD477" s="2290"/>
      <c r="AE477" s="2290"/>
      <c r="AF477" s="2290"/>
      <c r="AL477" s="628"/>
      <c r="AM477" s="468"/>
      <c r="AN477" s="495"/>
    </row>
    <row r="478" spans="1:40" s="449" customFormat="1" ht="12.75" customHeight="1">
      <c r="A478" s="436"/>
      <c r="B478" s="13"/>
      <c r="C478" s="635"/>
      <c r="F478" s="2290"/>
      <c r="G478" s="2290"/>
      <c r="H478" s="2290"/>
      <c r="I478" s="2290"/>
      <c r="J478" s="2290"/>
      <c r="K478" s="2290"/>
      <c r="L478" s="2290"/>
      <c r="M478" s="2290"/>
      <c r="N478" s="2290"/>
      <c r="O478" s="2290"/>
      <c r="P478" s="2290"/>
      <c r="Q478" s="2290"/>
      <c r="R478" s="2290"/>
      <c r="S478" s="2290"/>
      <c r="T478" s="2290"/>
      <c r="U478" s="2290"/>
      <c r="V478" s="2290"/>
      <c r="W478" s="2290"/>
      <c r="X478" s="2290"/>
      <c r="Y478" s="2290"/>
      <c r="Z478" s="2290"/>
      <c r="AA478" s="2290"/>
      <c r="AB478" s="2290"/>
      <c r="AC478" s="2290"/>
      <c r="AD478" s="2290"/>
      <c r="AE478" s="2290"/>
      <c r="AF478" s="2290"/>
      <c r="AL478" s="628"/>
      <c r="AM478" s="468"/>
      <c r="AN478" s="495"/>
    </row>
    <row r="479" spans="1:40" s="449" customFormat="1" ht="12.75" customHeight="1">
      <c r="A479" s="436"/>
      <c r="B479" s="13"/>
      <c r="C479" s="2413" t="s">
        <v>822</v>
      </c>
      <c r="D479" s="2374"/>
      <c r="E479" s="615"/>
      <c r="F479" s="617" t="s">
        <v>2352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14" t="s">
        <v>2336</v>
      </c>
      <c r="AG479" s="2414"/>
      <c r="AH479" s="2414"/>
      <c r="AI479" s="2414"/>
      <c r="AJ479" s="2414"/>
      <c r="AK479" s="2414"/>
      <c r="AL479" s="2415"/>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2371</v>
      </c>
      <c r="AK482" s="2377">
        <f>IF(Application!D214="N/A",AS371,AS373)</f>
        <v>10</v>
      </c>
      <c r="AL482" s="2378"/>
      <c r="AM482" s="2379"/>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2372</v>
      </c>
      <c r="C485" s="439"/>
      <c r="E485" s="494"/>
      <c r="AE485" s="2414" t="s">
        <v>2373</v>
      </c>
      <c r="AF485" s="2414"/>
      <c r="AG485" s="2414"/>
      <c r="AH485" s="2414"/>
      <c r="AI485" s="2414"/>
      <c r="AJ485" s="2414"/>
      <c r="AK485" s="2414"/>
      <c r="AL485" s="489"/>
      <c r="AN485" s="495"/>
      <c r="AO485" s="449" t="s">
        <v>2374</v>
      </c>
      <c r="AP485" s="449">
        <v>5</v>
      </c>
      <c r="AT485" s="449" t="s">
        <v>2374</v>
      </c>
      <c r="AU485" s="449">
        <v>5</v>
      </c>
      <c r="AV485" s="648"/>
    </row>
    <row r="486" spans="1:59" s="449" customFormat="1" ht="12.75" hidden="1" customHeight="1">
      <c r="A486" s="439"/>
      <c r="B486" s="436" t="s">
        <v>2375</v>
      </c>
      <c r="C486" s="439"/>
      <c r="E486" s="494"/>
      <c r="AE486" s="489"/>
      <c r="AF486" s="489"/>
      <c r="AG486" s="489"/>
      <c r="AH486" s="489"/>
      <c r="AI486" s="489"/>
      <c r="AJ486" s="489"/>
      <c r="AK486" s="489"/>
      <c r="AL486" s="489"/>
      <c r="AN486" s="495"/>
      <c r="AO486" s="449" t="s">
        <v>2376</v>
      </c>
      <c r="AP486" s="449">
        <v>5</v>
      </c>
      <c r="AT486" s="449" t="s">
        <v>2377</v>
      </c>
      <c r="AU486" s="449">
        <v>5</v>
      </c>
      <c r="AV486" s="648"/>
    </row>
    <row r="487" spans="1:59" s="449" customFormat="1" ht="12.75" hidden="1" customHeight="1">
      <c r="A487" s="439"/>
      <c r="B487" s="439" t="s">
        <v>2378</v>
      </c>
      <c r="C487" s="439"/>
      <c r="E487" s="494"/>
      <c r="AE487" s="489"/>
      <c r="AF487" s="489"/>
      <c r="AG487" s="489"/>
      <c r="AH487" s="489"/>
      <c r="AI487" s="489"/>
      <c r="AJ487" s="489"/>
      <c r="AK487" s="489"/>
      <c r="AL487" s="489"/>
      <c r="AN487" s="495"/>
      <c r="AO487" s="449" t="s">
        <v>2379</v>
      </c>
      <c r="AP487" s="449">
        <v>5</v>
      </c>
      <c r="AQ487" s="439"/>
      <c r="AR487" s="439"/>
      <c r="AS487" s="651"/>
      <c r="AT487" s="449" t="s">
        <v>2379</v>
      </c>
      <c r="AU487" s="449">
        <v>5</v>
      </c>
      <c r="AV487" s="436"/>
    </row>
    <row r="488" spans="1:59" s="449" customFormat="1" ht="12.75" hidden="1" customHeight="1">
      <c r="A488" s="439"/>
      <c r="B488" s="439" t="s">
        <v>2380</v>
      </c>
      <c r="C488" s="439"/>
      <c r="E488" s="494"/>
      <c r="AE488" s="489"/>
      <c r="AF488" s="489"/>
      <c r="AG488" s="489"/>
      <c r="AH488" s="489"/>
      <c r="AI488" s="489"/>
      <c r="AJ488" s="489"/>
      <c r="AK488" s="489"/>
      <c r="AL488" s="489"/>
      <c r="AN488" s="495"/>
      <c r="AO488" s="449" t="s">
        <v>2381</v>
      </c>
      <c r="AP488" s="449">
        <v>5</v>
      </c>
      <c r="AQ488" s="439"/>
      <c r="AR488" s="439"/>
      <c r="AT488" s="449" t="s">
        <v>2381</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2382</v>
      </c>
      <c r="AP489" s="449">
        <v>5</v>
      </c>
      <c r="AQ489" s="439"/>
      <c r="AR489" s="439"/>
      <c r="AT489" s="449" t="s">
        <v>2382</v>
      </c>
      <c r="AU489" s="449">
        <v>5</v>
      </c>
    </row>
    <row r="490" spans="1:59" s="449" customFormat="1" ht="12.75" hidden="1" customHeight="1">
      <c r="A490" s="439"/>
      <c r="C490" s="608" t="s">
        <v>2383</v>
      </c>
      <c r="D490" s="468"/>
      <c r="AE490" s="489"/>
      <c r="AF490" s="489"/>
      <c r="AG490" s="494"/>
      <c r="AH490" s="494"/>
      <c r="AI490" s="494"/>
      <c r="AJ490" s="494"/>
      <c r="AK490" s="494"/>
      <c r="AL490" s="494"/>
      <c r="AN490" s="495"/>
      <c r="AO490" s="449" t="s">
        <v>2384</v>
      </c>
      <c r="AP490" s="449">
        <v>5</v>
      </c>
      <c r="AT490" s="449" t="s">
        <v>2384</v>
      </c>
      <c r="AU490" s="449">
        <v>5</v>
      </c>
    </row>
    <row r="491" spans="1:59" s="449" customFormat="1" ht="12.75" hidden="1" customHeight="1">
      <c r="A491" s="439"/>
      <c r="C491" s="2420" t="s">
        <v>822</v>
      </c>
      <c r="D491" s="2421"/>
      <c r="E491" s="657" t="s">
        <v>51</v>
      </c>
      <c r="F491" s="2422" t="s">
        <v>2385</v>
      </c>
      <c r="G491" s="2422"/>
      <c r="H491" s="2422"/>
      <c r="I491" s="2422"/>
      <c r="J491" s="2422"/>
      <c r="K491" s="2422"/>
      <c r="L491" s="2422"/>
      <c r="M491" s="2422"/>
      <c r="N491" s="2422"/>
      <c r="O491" s="2422"/>
      <c r="P491" s="2422"/>
      <c r="Q491" s="2422"/>
      <c r="R491" s="2422"/>
      <c r="S491" s="2422"/>
      <c r="T491" s="2422"/>
      <c r="U491" s="2422"/>
      <c r="V491" s="2422"/>
      <c r="W491" s="2422"/>
      <c r="X491" s="2422"/>
      <c r="Y491" s="2422"/>
      <c r="Z491" s="2422"/>
      <c r="AA491" s="2422"/>
      <c r="AB491" s="2422"/>
      <c r="AC491" s="2422"/>
      <c r="AD491" s="2422"/>
      <c r="AE491" s="2422"/>
      <c r="AF491" s="610"/>
      <c r="AG491" s="610"/>
      <c r="AH491" s="610"/>
      <c r="AI491" s="610"/>
      <c r="AJ491" s="610"/>
      <c r="AK491" s="641"/>
      <c r="AN491" s="495"/>
      <c r="AO491" s="449" t="s">
        <v>2386</v>
      </c>
      <c r="AP491" s="449">
        <v>5</v>
      </c>
      <c r="AS491" s="654"/>
      <c r="AT491" s="449" t="s">
        <v>2387</v>
      </c>
      <c r="AU491" s="449">
        <v>5</v>
      </c>
    </row>
    <row r="492" spans="1:59" s="449" customFormat="1" ht="12.75" hidden="1" customHeight="1">
      <c r="C492" s="658"/>
      <c r="E492" s="659"/>
      <c r="F492" s="2423"/>
      <c r="G492" s="2423"/>
      <c r="H492" s="2423"/>
      <c r="I492" s="2423"/>
      <c r="J492" s="2423"/>
      <c r="K492" s="2423"/>
      <c r="L492" s="2423"/>
      <c r="M492" s="2423"/>
      <c r="N492" s="2423"/>
      <c r="O492" s="2423"/>
      <c r="P492" s="2423"/>
      <c r="Q492" s="2423"/>
      <c r="R492" s="2423"/>
      <c r="S492" s="2423"/>
      <c r="T492" s="2423"/>
      <c r="U492" s="2423"/>
      <c r="V492" s="2423"/>
      <c r="W492" s="2423"/>
      <c r="X492" s="2423"/>
      <c r="Y492" s="2423"/>
      <c r="Z492" s="2423"/>
      <c r="AA492" s="2423"/>
      <c r="AB492" s="2423"/>
      <c r="AC492" s="2423"/>
      <c r="AD492" s="2423"/>
      <c r="AE492" s="2423"/>
      <c r="AG492" s="450"/>
      <c r="AH492" s="450"/>
      <c r="AI492" s="450"/>
      <c r="AJ492" s="450"/>
      <c r="AK492" s="628"/>
      <c r="AN492" s="495"/>
      <c r="AO492" s="449" t="s">
        <v>2388</v>
      </c>
      <c r="AP492" s="449">
        <v>1</v>
      </c>
      <c r="AT492" s="449" t="s">
        <v>2388</v>
      </c>
      <c r="AU492" s="449">
        <v>1</v>
      </c>
    </row>
    <row r="493" spans="1:59" s="449" customFormat="1" ht="12.75" hidden="1" customHeight="1">
      <c r="C493" s="660"/>
      <c r="D493" s="623"/>
      <c r="E493" s="661"/>
      <c r="F493" s="2518" t="s">
        <v>822</v>
      </c>
      <c r="G493" s="2518"/>
      <c r="H493" s="2518"/>
      <c r="I493" s="2518"/>
      <c r="J493" s="2518"/>
      <c r="K493" s="2518"/>
      <c r="L493" s="2518"/>
      <c r="M493" s="2518"/>
      <c r="N493" s="2518"/>
      <c r="O493" s="2518"/>
      <c r="P493" s="2518"/>
      <c r="Q493" s="2518"/>
      <c r="R493" s="2518"/>
      <c r="S493" s="2518"/>
      <c r="T493" s="2518"/>
      <c r="U493" s="2518"/>
      <c r="V493" s="2518"/>
      <c r="W493" s="2518"/>
      <c r="X493" s="2518"/>
      <c r="Y493" s="2518"/>
      <c r="Z493" s="2518"/>
      <c r="AA493" s="662"/>
      <c r="AB493" s="554"/>
      <c r="AC493" s="554"/>
      <c r="AD493" s="623"/>
      <c r="AE493" s="623"/>
      <c r="AF493" s="623"/>
      <c r="AG493" s="663">
        <f>IF($C$491="Yes",(VLOOKUP($F$493,$AT$484:$AU$492,2,FALSE)),0)</f>
        <v>0</v>
      </c>
      <c r="AH493" s="664" t="s">
        <v>2169</v>
      </c>
      <c r="AI493" s="663"/>
      <c r="AJ493" s="663"/>
      <c r="AK493" s="638"/>
      <c r="AN493" s="495"/>
      <c r="AS493" s="651"/>
      <c r="AX493" s="651"/>
      <c r="BB493" s="651" t="s">
        <v>2389</v>
      </c>
      <c r="BF493" s="651" t="s">
        <v>2390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539" t="s">
        <v>857</v>
      </c>
      <c r="D495" s="2540"/>
      <c r="E495" s="657" t="s">
        <v>53</v>
      </c>
      <c r="F495" s="665" t="s">
        <v>2391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2392</v>
      </c>
      <c r="AX495" s="535">
        <v>3</v>
      </c>
      <c r="AY495" s="491"/>
      <c r="BB495" s="654">
        <v>0.4</v>
      </c>
      <c r="BC495" s="491">
        <v>3</v>
      </c>
      <c r="BF495" s="654">
        <v>0.4</v>
      </c>
      <c r="BG495" s="491">
        <v>4</v>
      </c>
    </row>
    <row r="496" spans="1:59" s="449" customFormat="1" ht="12.75" hidden="1" customHeight="1">
      <c r="C496" s="666" t="s">
        <v>2393</v>
      </c>
      <c r="F496" s="667" t="s">
        <v>2394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2395</v>
      </c>
      <c r="AX496" s="535">
        <v>5</v>
      </c>
      <c r="AY496" s="491"/>
      <c r="BB496" s="654">
        <v>0.6</v>
      </c>
      <c r="BC496" s="491">
        <v>4</v>
      </c>
      <c r="BF496" s="654">
        <v>0.6</v>
      </c>
      <c r="BG496" s="491">
        <v>5</v>
      </c>
    </row>
    <row r="497" spans="1:81" s="449" customFormat="1" ht="12.75" hidden="1" customHeight="1">
      <c r="C497" s="647"/>
      <c r="D497" s="626"/>
      <c r="E497" s="668"/>
      <c r="F497" s="667" t="s">
        <v>2396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2397</v>
      </c>
      <c r="G498" s="449"/>
      <c r="H498" s="449"/>
      <c r="I498" s="667"/>
      <c r="J498" s="667"/>
      <c r="K498" s="667"/>
      <c r="L498" s="667"/>
      <c r="M498" s="667"/>
      <c r="N498" s="667"/>
      <c r="O498" s="667"/>
      <c r="P498" s="667"/>
      <c r="Q498" s="667"/>
      <c r="R498" s="667"/>
      <c r="S498" s="667"/>
      <c r="T498" s="667"/>
      <c r="U498" s="667"/>
      <c r="V498" s="2507" t="s">
        <v>822</v>
      </c>
      <c r="W498" s="2507"/>
      <c r="X498" s="2507"/>
      <c r="Y498" s="667"/>
      <c r="Z498" s="667"/>
      <c r="AA498" s="667"/>
      <c r="AB498" s="667"/>
      <c r="AC498" s="667"/>
      <c r="AD498" s="507"/>
      <c r="AE498" s="507"/>
      <c r="AF498" s="507"/>
      <c r="AG498" s="511">
        <f>IF(AND($C$495="Yes",$V$500="N/A",$V$505="N/A",$V$509="N/A",$V$511="N/A"),(VLOOKUP(V498,$AW$494:$AX$496,2,FALSE)),0)</f>
        <v>0</v>
      </c>
      <c r="AH498" s="538" t="s">
        <v>2169</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2398</v>
      </c>
      <c r="G500" s="449"/>
      <c r="H500" s="449"/>
      <c r="I500" s="667"/>
      <c r="J500" s="667"/>
      <c r="K500" s="667"/>
      <c r="L500" s="667"/>
      <c r="M500" s="667"/>
      <c r="N500" s="667"/>
      <c r="O500" s="667"/>
      <c r="P500" s="667"/>
      <c r="Q500" s="667"/>
      <c r="R500" s="667"/>
      <c r="S500" s="667"/>
      <c r="T500" s="667"/>
      <c r="U500" s="667"/>
      <c r="V500" s="2507" t="s">
        <v>822</v>
      </c>
      <c r="W500" s="2507"/>
      <c r="X500" s="2507"/>
      <c r="Y500" s="667"/>
      <c r="Z500" s="667"/>
      <c r="AA500" s="667"/>
      <c r="AB500" s="667"/>
      <c r="AC500" s="667"/>
      <c r="AD500" s="507"/>
      <c r="AE500" s="507"/>
      <c r="AF500" s="507"/>
      <c r="AG500" s="511">
        <f>IF(AND($C$495="Yes",$V$498="N/A", $V$505="N/A",$V$509="N/A",$V$511="N/A"),(VLOOKUP(V500,$AT$494:$AU$496,2,FALSE)),0)</f>
        <v>0</v>
      </c>
      <c r="AH500" s="538" t="s">
        <v>2169</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2399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2400</v>
      </c>
      <c r="AP502" s="535">
        <v>2</v>
      </c>
    </row>
    <row r="503" spans="1:81" s="449" customFormat="1" ht="12.75" hidden="1" customHeight="1">
      <c r="C503" s="658"/>
      <c r="F503" s="507" t="s">
        <v>2401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2402</v>
      </c>
      <c r="AP503" s="449">
        <v>2</v>
      </c>
    </row>
    <row r="504" spans="1:81" s="494" customFormat="1" ht="12.75" hidden="1" customHeight="1">
      <c r="A504" s="449"/>
      <c r="B504" s="449"/>
      <c r="C504" s="635"/>
      <c r="D504" s="468"/>
      <c r="E504" s="468"/>
      <c r="F504" s="507" t="s">
        <v>2403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2404</v>
      </c>
      <c r="AP504" s="449">
        <v>2</v>
      </c>
    </row>
    <row r="505" spans="1:81" s="449" customFormat="1" ht="12.75" hidden="1" customHeight="1">
      <c r="C505" s="673"/>
      <c r="F505" s="671" t="s">
        <v>2405</v>
      </c>
      <c r="M505" s="659"/>
      <c r="N505" s="659"/>
      <c r="O505" s="659"/>
      <c r="P505" s="659"/>
      <c r="Q505" s="450"/>
      <c r="R505" s="450"/>
      <c r="S505" s="450"/>
      <c r="T505" s="450"/>
      <c r="U505" s="450"/>
      <c r="V505" s="2507" t="s">
        <v>822</v>
      </c>
      <c r="W505" s="2507"/>
      <c r="X505" s="2507"/>
      <c r="Y505" s="450"/>
      <c r="Z505" s="450"/>
      <c r="AA505" s="450"/>
      <c r="AB505" s="450"/>
      <c r="AC505" s="450"/>
      <c r="AG505" s="511">
        <f>IF(AND($C$495="Yes",$V$498="N/A",$V$500="N/A", $V$509="N/A",$V$511="N/A"),(VLOOKUP($V$505,$AT$498:$AU$500,2,FALSE)),0)</f>
        <v>0</v>
      </c>
      <c r="AH505" s="538" t="s">
        <v>2169</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2406</v>
      </c>
      <c r="D507" s="610"/>
      <c r="E507" s="610"/>
      <c r="F507" s="676" t="s">
        <v>2407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493"/>
      <c r="E508" s="2493"/>
      <c r="F508" s="667" t="s">
        <v>2408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2409</v>
      </c>
      <c r="AP508" s="535">
        <v>5</v>
      </c>
      <c r="AQ508" s="439"/>
    </row>
    <row r="509" spans="1:81" s="468" customFormat="1" ht="12.75" hidden="1" customHeight="1">
      <c r="A509" s="575"/>
      <c r="B509" s="449"/>
      <c r="C509" s="658"/>
      <c r="D509" s="449"/>
      <c r="E509" s="449"/>
      <c r="F509" s="678" t="s">
        <v>2397</v>
      </c>
      <c r="G509" s="449"/>
      <c r="H509" s="449"/>
      <c r="I509" s="449"/>
      <c r="J509" s="449"/>
      <c r="K509" s="449"/>
      <c r="L509" s="449"/>
      <c r="M509" s="449"/>
      <c r="N509" s="449"/>
      <c r="O509" s="449"/>
      <c r="P509" s="449"/>
      <c r="Q509" s="449"/>
      <c r="R509" s="449"/>
      <c r="S509" s="449"/>
      <c r="T509" s="449"/>
      <c r="U509" s="449"/>
      <c r="V509" s="2507" t="s">
        <v>822</v>
      </c>
      <c r="W509" s="2507"/>
      <c r="X509" s="2507"/>
      <c r="Y509" s="449"/>
      <c r="Z509" s="449"/>
      <c r="AA509" s="449"/>
      <c r="AB509" s="449"/>
      <c r="AC509" s="449"/>
      <c r="AD509" s="449"/>
      <c r="AE509" s="449"/>
      <c r="AF509" s="449"/>
      <c r="AG509" s="511">
        <f>IF(AND($C$495="Yes",$V$498="N/A",V500="N/A",$V$505="N/A",$V$511="N/A"),(VLOOKUP($V$509,$BB$494:$BC$497,2,FALSE)),0)</f>
        <v>0</v>
      </c>
      <c r="AH509" s="538" t="s">
        <v>2169</v>
      </c>
      <c r="AI509" s="450"/>
      <c r="AJ509" s="449"/>
      <c r="AK509" s="628"/>
      <c r="AL509" s="449"/>
      <c r="AM509" s="449"/>
      <c r="AN509" s="580"/>
      <c r="AO509" s="449" t="s">
        <v>2410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2398</v>
      </c>
      <c r="G511" s="662"/>
      <c r="H511" s="662"/>
      <c r="I511" s="623"/>
      <c r="J511" s="623"/>
      <c r="K511" s="623"/>
      <c r="L511" s="623"/>
      <c r="M511" s="623"/>
      <c r="N511" s="623"/>
      <c r="O511" s="623"/>
      <c r="P511" s="623"/>
      <c r="Q511" s="623"/>
      <c r="R511" s="623"/>
      <c r="S511" s="623"/>
      <c r="T511" s="623"/>
      <c r="U511" s="623"/>
      <c r="V511" s="2507" t="s">
        <v>822</v>
      </c>
      <c r="W511" s="2507"/>
      <c r="X511" s="2507"/>
      <c r="Y511" s="623"/>
      <c r="Z511" s="623"/>
      <c r="AA511" s="623"/>
      <c r="AB511" s="623"/>
      <c r="AC511" s="623"/>
      <c r="AD511" s="623"/>
      <c r="AE511" s="623"/>
      <c r="AF511" s="623"/>
      <c r="AG511" s="679">
        <f>IF(AND($C$495="Yes",$V$498="N/A",$V$500="N/A",$V$505="N/A",$V$509="N/A"),(VLOOKUP($V$511,$BF$494:$BG$496,2,FALSE)),0)</f>
        <v>0</v>
      </c>
      <c r="AH511" s="664" t="s">
        <v>2169</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20" t="s">
        <v>822</v>
      </c>
      <c r="D514" s="2421"/>
      <c r="E514" s="657" t="s">
        <v>51</v>
      </c>
      <c r="F514" s="2422" t="s">
        <v>2385</v>
      </c>
      <c r="G514" s="2422"/>
      <c r="H514" s="2422"/>
      <c r="I514" s="2422"/>
      <c r="J514" s="2422"/>
      <c r="K514" s="2422"/>
      <c r="L514" s="2422"/>
      <c r="M514" s="2422"/>
      <c r="N514" s="2422"/>
      <c r="O514" s="2422"/>
      <c r="P514" s="2422"/>
      <c r="Q514" s="2422"/>
      <c r="R514" s="2422"/>
      <c r="S514" s="2422"/>
      <c r="T514" s="2422"/>
      <c r="U514" s="2422"/>
      <c r="V514" s="2422"/>
      <c r="W514" s="2422"/>
      <c r="X514" s="2422"/>
      <c r="Y514" s="2422"/>
      <c r="Z514" s="2422"/>
      <c r="AA514" s="2422"/>
      <c r="AB514" s="2422"/>
      <c r="AC514" s="2422"/>
      <c r="AD514" s="2422"/>
      <c r="AE514" s="242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23"/>
      <c r="G515" s="2423"/>
      <c r="H515" s="2423"/>
      <c r="I515" s="2423"/>
      <c r="J515" s="2423"/>
      <c r="K515" s="2423"/>
      <c r="L515" s="2423"/>
      <c r="M515" s="2423"/>
      <c r="N515" s="2423"/>
      <c r="O515" s="2423"/>
      <c r="P515" s="2423"/>
      <c r="Q515" s="2423"/>
      <c r="R515" s="2423"/>
      <c r="S515" s="2423"/>
      <c r="T515" s="2423"/>
      <c r="U515" s="2423"/>
      <c r="V515" s="2423"/>
      <c r="W515" s="2423"/>
      <c r="X515" s="2423"/>
      <c r="Y515" s="2423"/>
      <c r="Z515" s="2423"/>
      <c r="AA515" s="2423"/>
      <c r="AB515" s="2423"/>
      <c r="AC515" s="2423"/>
      <c r="AD515" s="2423"/>
      <c r="AE515" s="242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14" t="s">
        <v>822</v>
      </c>
      <c r="G516" s="2514"/>
      <c r="H516" s="2514"/>
      <c r="I516" s="2514"/>
      <c r="J516" s="2514"/>
      <c r="K516" s="2514"/>
      <c r="L516" s="2514"/>
      <c r="M516" s="2514"/>
      <c r="N516" s="2514"/>
      <c r="O516" s="2514"/>
      <c r="P516" s="2514"/>
      <c r="Q516" s="2514"/>
      <c r="R516" s="2514"/>
      <c r="S516" s="2514"/>
      <c r="T516" s="2514"/>
      <c r="U516" s="2514"/>
      <c r="V516" s="2514"/>
      <c r="W516" s="2514"/>
      <c r="X516" s="2514"/>
      <c r="Y516" s="2514"/>
      <c r="Z516" s="2514"/>
      <c r="AA516" s="662"/>
      <c r="AB516" s="554"/>
      <c r="AC516" s="554"/>
      <c r="AD516" s="623"/>
      <c r="AE516" s="623"/>
      <c r="AF516" s="623"/>
      <c r="AG516" s="663">
        <f>IF($C$514="Yes",(VLOOKUP($F$516,$AO$484:$AP$492,2,FALSE)),0)</f>
        <v>0</v>
      </c>
      <c r="AH516" s="664" t="s">
        <v>2169</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20" t="s">
        <v>822</v>
      </c>
      <c r="D518" s="2421"/>
      <c r="E518" s="657" t="s">
        <v>53</v>
      </c>
      <c r="F518" s="2515" t="s">
        <v>2413</v>
      </c>
      <c r="G518" s="2515"/>
      <c r="H518" s="2515"/>
      <c r="I518" s="2515"/>
      <c r="J518" s="2515"/>
      <c r="K518" s="2515"/>
      <c r="L518" s="2515"/>
      <c r="M518" s="2515"/>
      <c r="N518" s="2515"/>
      <c r="O518" s="2515"/>
      <c r="P518" s="2515"/>
      <c r="Q518" s="2515"/>
      <c r="R518" s="2515"/>
      <c r="S518" s="2515"/>
      <c r="T518" s="2515"/>
      <c r="U518" s="2515"/>
      <c r="V518" s="2515"/>
      <c r="W518" s="2515"/>
      <c r="X518" s="2515"/>
      <c r="Y518" s="2515"/>
      <c r="Z518" s="2515"/>
      <c r="AA518" s="2515"/>
      <c r="AB518" s="2515"/>
      <c r="AC518" s="2515"/>
      <c r="AD518" s="2515"/>
      <c r="AE518" s="2515"/>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16"/>
      <c r="G519" s="2516"/>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17" t="s">
        <v>822</v>
      </c>
      <c r="G521" s="2517"/>
      <c r="H521" s="2517"/>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2169</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20" t="s">
        <v>822</v>
      </c>
      <c r="D523" s="2421"/>
      <c r="E523" s="657" t="s">
        <v>2415</v>
      </c>
      <c r="F523" s="676" t="s">
        <v>2416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92"/>
      <c r="D525" s="2493"/>
      <c r="E525" s="668"/>
      <c r="F525" s="450" t="s">
        <v>2417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2169</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94" t="s">
        <v>822</v>
      </c>
      <c r="H526" s="2494"/>
      <c r="I526" s="2494"/>
      <c r="J526" s="2494"/>
      <c r="K526" s="2494"/>
      <c r="L526" s="2494"/>
      <c r="M526" s="2494"/>
      <c r="N526" s="2494"/>
      <c r="O526" s="2494"/>
      <c r="P526" s="2494"/>
      <c r="Q526" s="2494"/>
      <c r="R526" s="2494"/>
      <c r="S526" s="2494"/>
      <c r="T526" s="2494"/>
      <c r="U526" s="2494"/>
      <c r="V526" s="2494"/>
      <c r="W526" s="2494"/>
      <c r="X526" s="2494"/>
      <c r="Y526" s="2494"/>
      <c r="Z526" s="2494"/>
      <c r="AA526" s="2494"/>
      <c r="AB526" s="2494"/>
      <c r="AC526" s="2494"/>
      <c r="AD526" s="2494"/>
      <c r="AE526" s="2494"/>
      <c r="AF526" s="2494"/>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95" t="s">
        <v>822</v>
      </c>
      <c r="D528" s="2496"/>
      <c r="F528" s="450" t="s">
        <v>2418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2169</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2419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95" t="s">
        <v>822</v>
      </c>
      <c r="D532" s="2496"/>
      <c r="F532" s="691" t="s">
        <v>2421</v>
      </c>
      <c r="G532" s="2290" t="s">
        <v>2422</v>
      </c>
      <c r="H532" s="2290"/>
      <c r="I532" s="2290"/>
      <c r="J532" s="2290"/>
      <c r="K532" s="2290"/>
      <c r="L532" s="2290"/>
      <c r="M532" s="2290"/>
      <c r="N532" s="2290"/>
      <c r="O532" s="2290"/>
      <c r="P532" s="2290"/>
      <c r="Q532" s="2290"/>
      <c r="R532" s="2290"/>
      <c r="S532" s="2290"/>
      <c r="T532" s="2290"/>
      <c r="U532" s="2290"/>
      <c r="V532" s="2290"/>
      <c r="W532" s="2290"/>
      <c r="X532" s="2290"/>
      <c r="Y532" s="2290"/>
      <c r="Z532" s="2290"/>
      <c r="AA532" s="2290"/>
      <c r="AB532" s="2290"/>
      <c r="AC532" s="2290"/>
      <c r="AD532" s="2290"/>
      <c r="AE532" s="2290"/>
      <c r="AF532" s="2290"/>
      <c r="AG532" s="511">
        <f>IF(AND($C$532="Yes",$C$523="Yes"),2,0)</f>
        <v>0</v>
      </c>
      <c r="AH532" s="538" t="s">
        <v>2169</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45"/>
      <c r="H533" s="2445"/>
      <c r="I533" s="2445"/>
      <c r="J533" s="2445"/>
      <c r="K533" s="2445"/>
      <c r="L533" s="2445"/>
      <c r="M533" s="2445"/>
      <c r="N533" s="2445"/>
      <c r="O533" s="2445"/>
      <c r="P533" s="2445"/>
      <c r="Q533" s="2445"/>
      <c r="R533" s="2445"/>
      <c r="S533" s="2445"/>
      <c r="T533" s="2445"/>
      <c r="U533" s="2445"/>
      <c r="V533" s="2445"/>
      <c r="W533" s="2445"/>
      <c r="X533" s="2445"/>
      <c r="Y533" s="2445"/>
      <c r="Z533" s="2445"/>
      <c r="AA533" s="2445"/>
      <c r="AB533" s="2445"/>
      <c r="AC533" s="2445"/>
      <c r="AD533" s="2445"/>
      <c r="AE533" s="2445"/>
      <c r="AF533" s="2445"/>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97" t="s">
        <v>822</v>
      </c>
      <c r="D536" s="2498"/>
      <c r="E536" s="698" t="s">
        <v>2424</v>
      </c>
      <c r="F536" s="667" t="s">
        <v>2425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2169</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99" t="s">
        <v>822</v>
      </c>
      <c r="G537" s="2499"/>
      <c r="H537" s="2499"/>
      <c r="I537" s="2499"/>
      <c r="J537" s="2499"/>
      <c r="K537" s="2499"/>
      <c r="L537" s="2499"/>
      <c r="M537" s="2499"/>
      <c r="N537" s="2499"/>
      <c r="O537" s="2499"/>
      <c r="P537" s="2499"/>
      <c r="Q537" s="2499"/>
      <c r="R537" s="2499"/>
      <c r="S537" s="2499"/>
      <c r="T537" s="2499"/>
      <c r="U537" s="2499"/>
      <c r="V537" s="2499"/>
      <c r="W537" s="2499"/>
      <c r="X537" s="2499"/>
      <c r="Y537" s="2499"/>
      <c r="Z537" s="2499"/>
      <c r="AA537" s="2499"/>
      <c r="AB537" s="2499"/>
      <c r="AC537" s="2499"/>
      <c r="AD537" s="2499"/>
      <c r="AE537" s="2499"/>
      <c r="AF537" s="2499"/>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00"/>
      <c r="G538" s="2500"/>
      <c r="H538" s="2500"/>
      <c r="I538" s="2500"/>
      <c r="J538" s="2500"/>
      <c r="K538" s="2500"/>
      <c r="L538" s="2500"/>
      <c r="M538" s="2500"/>
      <c r="N538" s="2500"/>
      <c r="O538" s="2500"/>
      <c r="P538" s="2500"/>
      <c r="Q538" s="2500"/>
      <c r="R538" s="2500"/>
      <c r="S538" s="2500"/>
      <c r="T538" s="2500"/>
      <c r="U538" s="2500"/>
      <c r="V538" s="2500"/>
      <c r="W538" s="2500"/>
      <c r="X538" s="2500"/>
      <c r="Y538" s="2500"/>
      <c r="Z538" s="2500"/>
      <c r="AA538" s="2500"/>
      <c r="AB538" s="2500"/>
      <c r="AC538" s="2500"/>
      <c r="AD538" s="2500"/>
      <c r="AE538" s="2500"/>
      <c r="AF538" s="2500"/>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2426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2433</v>
      </c>
      <c r="AK548" s="2377">
        <f>SUM(AG492:AG537)</f>
        <v>0</v>
      </c>
      <c r="AL548" s="2378"/>
      <c r="AM548" s="2379"/>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2434</v>
      </c>
      <c r="B551" s="439" t="s">
        <v>2435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19" t="s">
        <v>2436</v>
      </c>
      <c r="AF551" s="2319"/>
      <c r="AG551" s="2319"/>
      <c r="AH551" s="2319"/>
      <c r="AI551" s="2319"/>
      <c r="AJ551" s="2319"/>
      <c r="AK551" s="2319"/>
      <c r="AL551" s="493"/>
      <c r="AM551" s="493"/>
      <c r="AN551" s="495"/>
    </row>
    <row r="552" spans="1:81" s="449" customFormat="1" ht="12.75" customHeight="1">
      <c r="A552" s="439"/>
      <c r="B552" s="439" t="s">
        <v>2165</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74" t="s">
        <v>857</v>
      </c>
      <c r="D554" s="2374"/>
      <c r="E554" s="450"/>
      <c r="F554" s="2424" t="s">
        <v>2437</v>
      </c>
      <c r="G554" s="2425"/>
      <c r="H554" s="2425"/>
      <c r="I554" s="2425"/>
      <c r="J554" s="2425"/>
      <c r="K554" s="2425"/>
      <c r="L554" s="2425"/>
      <c r="M554" s="2425"/>
      <c r="N554" s="2425"/>
      <c r="O554" s="2425"/>
      <c r="P554" s="2425"/>
      <c r="Q554" s="2425"/>
      <c r="R554" s="2425"/>
      <c r="S554" s="2425"/>
      <c r="T554" s="2425"/>
      <c r="U554" s="2425"/>
      <c r="V554" s="2425"/>
      <c r="W554" s="2425"/>
      <c r="X554" s="2425"/>
      <c r="Y554" s="2425"/>
      <c r="Z554" s="2425"/>
      <c r="AA554" s="2425"/>
      <c r="AB554" s="2425"/>
      <c r="AC554" s="2425"/>
      <c r="AD554" s="2425"/>
      <c r="AE554" s="2425"/>
      <c r="AF554" s="2425"/>
      <c r="AG554" s="2425"/>
      <c r="AH554" s="2425"/>
      <c r="AI554" s="2425"/>
      <c r="AJ554" s="2425"/>
      <c r="AK554" s="2425"/>
      <c r="AL554" s="2426"/>
      <c r="AM554" s="493"/>
      <c r="AN554" s="495"/>
    </row>
    <row r="555" spans="1:81" s="449" customFormat="1" ht="12.75" customHeight="1">
      <c r="B555" s="439"/>
      <c r="C555" s="450"/>
      <c r="D555" s="450"/>
      <c r="E555" s="450"/>
      <c r="F555" s="2427"/>
      <c r="G555" s="2428"/>
      <c r="H555" s="2428"/>
      <c r="I555" s="2428"/>
      <c r="J555" s="2428"/>
      <c r="K555" s="2428"/>
      <c r="L555" s="2428"/>
      <c r="M555" s="2428"/>
      <c r="N555" s="2428"/>
      <c r="O555" s="2428"/>
      <c r="P555" s="2428"/>
      <c r="Q555" s="2428"/>
      <c r="R555" s="2428"/>
      <c r="S555" s="2428"/>
      <c r="T555" s="2428"/>
      <c r="U555" s="2428"/>
      <c r="V555" s="2428"/>
      <c r="W555" s="2428"/>
      <c r="X555" s="2428"/>
      <c r="Y555" s="2428"/>
      <c r="Z555" s="2428"/>
      <c r="AA555" s="2428"/>
      <c r="AB555" s="2428"/>
      <c r="AC555" s="2428"/>
      <c r="AD555" s="2428"/>
      <c r="AE555" s="2428"/>
      <c r="AF555" s="2428"/>
      <c r="AG555" s="2428"/>
      <c r="AH555" s="2428"/>
      <c r="AI555" s="2428"/>
      <c r="AJ555" s="2428"/>
      <c r="AK555" s="2428"/>
      <c r="AL555" s="2429"/>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74" t="s">
        <v>822</v>
      </c>
      <c r="D557" s="2374"/>
      <c r="E557" s="702"/>
      <c r="F557" s="542" t="s">
        <v>2438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8" t="s">
        <v>2439</v>
      </c>
      <c r="G558" s="2369"/>
      <c r="H558" s="2369"/>
      <c r="I558" s="2369"/>
      <c r="J558" s="2369"/>
      <c r="K558" s="2369"/>
      <c r="L558" s="2369"/>
      <c r="M558" s="2369"/>
      <c r="N558" s="2369"/>
      <c r="O558" s="2369"/>
      <c r="P558" s="2369"/>
      <c r="Q558" s="2369"/>
      <c r="R558" s="2369"/>
      <c r="S558" s="2369"/>
      <c r="T558" s="2369"/>
      <c r="U558" s="2369"/>
      <c r="V558" s="2369"/>
      <c r="W558" s="2369"/>
      <c r="X558" s="2369"/>
      <c r="Y558" s="2369"/>
      <c r="Z558" s="2369"/>
      <c r="AA558" s="2369"/>
      <c r="AB558" s="2369"/>
      <c r="AC558" s="2369"/>
      <c r="AD558" s="2369"/>
      <c r="AE558" s="2369"/>
      <c r="AF558" s="2369"/>
      <c r="AG558" s="2369"/>
      <c r="AH558" s="2369"/>
      <c r="AI558" s="2369"/>
      <c r="AJ558" s="2369"/>
      <c r="AK558" s="2369"/>
      <c r="AL558" s="2370"/>
      <c r="AM558" s="493"/>
      <c r="AN558" s="495"/>
      <c r="AS558" s="765"/>
      <c r="AT558" s="765"/>
      <c r="AU558" s="765"/>
      <c r="AV558" s="765"/>
      <c r="AW558" s="765"/>
    </row>
    <row r="559" spans="1:81" s="449" customFormat="1" ht="12.75" customHeight="1">
      <c r="B559" s="702"/>
      <c r="C559" s="702"/>
      <c r="D559" s="702"/>
      <c r="E559" s="702"/>
      <c r="F559" s="2368"/>
      <c r="G559" s="2369"/>
      <c r="H559" s="2369"/>
      <c r="I559" s="2369"/>
      <c r="J559" s="2369"/>
      <c r="K559" s="2369"/>
      <c r="L559" s="2369"/>
      <c r="M559" s="2369"/>
      <c r="N559" s="2369"/>
      <c r="O559" s="2369"/>
      <c r="P559" s="2369"/>
      <c r="Q559" s="2369"/>
      <c r="R559" s="2369"/>
      <c r="S559" s="2369"/>
      <c r="T559" s="2369"/>
      <c r="U559" s="2369"/>
      <c r="V559" s="2369"/>
      <c r="W559" s="2369"/>
      <c r="X559" s="2369"/>
      <c r="Y559" s="2369"/>
      <c r="Z559" s="2369"/>
      <c r="AA559" s="2369"/>
      <c r="AB559" s="2369"/>
      <c r="AC559" s="2369"/>
      <c r="AD559" s="2369"/>
      <c r="AE559" s="2369"/>
      <c r="AF559" s="2369"/>
      <c r="AG559" s="2369"/>
      <c r="AH559" s="2369"/>
      <c r="AI559" s="2369"/>
      <c r="AJ559" s="2369"/>
      <c r="AK559" s="2369"/>
      <c r="AL559" s="2370"/>
      <c r="AM559" s="493"/>
      <c r="AN559" s="495"/>
    </row>
    <row r="560" spans="1:81" s="449" customFormat="1" ht="12.75" customHeight="1">
      <c r="B560" s="702"/>
      <c r="C560" s="702"/>
      <c r="D560" s="702"/>
      <c r="E560" s="702"/>
      <c r="F560" s="707" t="s">
        <v>2440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8" t="s">
        <v>2441</v>
      </c>
      <c r="G561" s="2369"/>
      <c r="H561" s="2369"/>
      <c r="I561" s="2369"/>
      <c r="J561" s="2369"/>
      <c r="K561" s="2369"/>
      <c r="L561" s="2369"/>
      <c r="M561" s="2369"/>
      <c r="N561" s="2369"/>
      <c r="O561" s="2369"/>
      <c r="P561" s="2369"/>
      <c r="Q561" s="2369"/>
      <c r="R561" s="2369"/>
      <c r="S561" s="2369"/>
      <c r="T561" s="2369"/>
      <c r="U561" s="2369"/>
      <c r="V561" s="2369"/>
      <c r="W561" s="2369"/>
      <c r="X561" s="2369"/>
      <c r="Y561" s="2369"/>
      <c r="Z561" s="2369"/>
      <c r="AA561" s="2369"/>
      <c r="AB561" s="2369"/>
      <c r="AC561" s="2369"/>
      <c r="AD561" s="2369"/>
      <c r="AE561" s="2369"/>
      <c r="AF561" s="2369"/>
      <c r="AG561" s="2369"/>
      <c r="AH561" s="2369"/>
      <c r="AI561" s="2369"/>
      <c r="AJ561" s="2369"/>
      <c r="AK561" s="2369"/>
      <c r="AL561" s="709"/>
      <c r="AM561" s="493"/>
      <c r="AN561" s="495"/>
    </row>
    <row r="562" spans="1:45" s="449" customFormat="1" ht="12.75" customHeight="1">
      <c r="B562" s="702"/>
      <c r="C562" s="702"/>
      <c r="D562" s="702"/>
      <c r="E562" s="702"/>
      <c r="F562" s="2371"/>
      <c r="G562" s="2372"/>
      <c r="H562" s="2372"/>
      <c r="I562" s="2372"/>
      <c r="J562" s="2372"/>
      <c r="K562" s="2372"/>
      <c r="L562" s="2372"/>
      <c r="M562" s="2372"/>
      <c r="N562" s="2372"/>
      <c r="O562" s="2372"/>
      <c r="P562" s="2372"/>
      <c r="Q562" s="2372"/>
      <c r="R562" s="2372"/>
      <c r="S562" s="2372"/>
      <c r="T562" s="2372"/>
      <c r="U562" s="2372"/>
      <c r="V562" s="2372"/>
      <c r="W562" s="2372"/>
      <c r="X562" s="2372"/>
      <c r="Y562" s="2372"/>
      <c r="Z562" s="2372"/>
      <c r="AA562" s="2372"/>
      <c r="AB562" s="2372"/>
      <c r="AC562" s="2372"/>
      <c r="AD562" s="2372"/>
      <c r="AE562" s="2372"/>
      <c r="AF562" s="2372"/>
      <c r="AG562" s="2372"/>
      <c r="AH562" s="2372"/>
      <c r="AI562" s="2372"/>
      <c r="AJ562" s="2372"/>
      <c r="AK562" s="237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06">
        <f>Application!AJ1001</f>
        <v>36072610</v>
      </c>
      <c r="AQ563" s="2506"/>
      <c r="AR563" s="2506"/>
      <c r="AS563" s="449" t="s">
        <v>2442</v>
      </c>
    </row>
    <row r="564" spans="1:45" s="449" customFormat="1" ht="12.75" customHeight="1">
      <c r="A564" s="399"/>
      <c r="B564" s="349" t="s">
        <v>2443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80">
        <f>'Sources and Uses Budget'!S107+'Sources and Uses Budget'!T107</f>
        <v>60586811</v>
      </c>
      <c r="AG564" s="2380"/>
      <c r="AH564" s="2380"/>
      <c r="AI564" s="2380"/>
      <c r="AJ564" s="2380"/>
      <c r="AK564" s="493"/>
      <c r="AL564" s="493"/>
      <c r="AM564" s="493"/>
      <c r="AN564" s="495"/>
    </row>
    <row r="565" spans="1:45" s="449" customFormat="1" ht="12.75" customHeight="1">
      <c r="A565" s="523"/>
      <c r="B565" s="523" t="s">
        <v>2444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10">
        <f>IFERROR(AP572,0)</f>
        <v>82967003</v>
      </c>
      <c r="AG565" s="2510"/>
      <c r="AH565" s="2510"/>
      <c r="AI565" s="2510"/>
      <c r="AJ565" s="2510"/>
      <c r="AK565" s="493"/>
      <c r="AL565" s="493"/>
      <c r="AM565" s="493"/>
      <c r="AN565" s="495"/>
      <c r="AP565" s="2506">
        <f>Application!AJ1054</f>
        <v>10821783</v>
      </c>
      <c r="AQ565" s="2506"/>
      <c r="AR565" s="2506"/>
      <c r="AS565" s="449" t="s">
        <v>1706</v>
      </c>
    </row>
    <row r="566" spans="1:45" s="449" customFormat="1" ht="12.75" customHeight="1">
      <c r="A566" s="522"/>
      <c r="B566" s="522" t="s">
        <v>1633</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11">
        <f>IFERROR(ROUNDDOWN(IF(C557="YES",((1-(AF564/AF565))*2),(1-(AF564/AF565))),2),0)</f>
        <v>0.26</v>
      </c>
      <c r="AG566" s="2511"/>
      <c r="AH566" s="2511"/>
      <c r="AI566" s="2511"/>
      <c r="AJ566" s="2511"/>
      <c r="AK566" s="493"/>
      <c r="AL566" s="493"/>
      <c r="AM566" s="493"/>
      <c r="AN566" s="495"/>
      <c r="AP566" s="2526">
        <f>Application!AJ1058</f>
        <v>22365018.199999999</v>
      </c>
      <c r="AQ566" s="2526"/>
      <c r="AR566" s="2526"/>
      <c r="AS566" s="449" t="s">
        <v>1716</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05">
        <f>IF(((AP565+AP566)/AP563)&gt;0.8,0.8,((AP565+AP566)/AP563))</f>
        <v>0.8</v>
      </c>
      <c r="AQ567" s="2505"/>
      <c r="AR567" s="2505"/>
      <c r="AS567" s="449" t="s">
        <v>2445</v>
      </c>
    </row>
    <row r="568" spans="1:45" s="449" customFormat="1" ht="12.75" customHeight="1">
      <c r="A568" s="522"/>
      <c r="B568" s="2452" t="s">
        <v>2446</v>
      </c>
      <c r="C568" s="2453"/>
      <c r="D568" s="2453"/>
      <c r="E568" s="2453"/>
      <c r="F568" s="2453"/>
      <c r="G568" s="2453"/>
      <c r="H568" s="2453"/>
      <c r="I568" s="2453"/>
      <c r="J568" s="2453"/>
      <c r="K568" s="2453"/>
      <c r="L568" s="2453"/>
      <c r="M568" s="2453"/>
      <c r="N568" s="2453"/>
      <c r="O568" s="2453"/>
      <c r="P568" s="2453"/>
      <c r="Q568" s="2453"/>
      <c r="R568" s="2453"/>
      <c r="S568" s="2453"/>
      <c r="T568" s="2453"/>
      <c r="U568" s="2453"/>
      <c r="V568" s="2453"/>
      <c r="W568" s="2453"/>
      <c r="X568" s="2453"/>
      <c r="Y568" s="2453"/>
      <c r="Z568" s="2453"/>
      <c r="AA568" s="2453"/>
      <c r="AB568" s="2453"/>
      <c r="AC568" s="2453"/>
      <c r="AD568" s="2453"/>
      <c r="AE568" s="2453"/>
      <c r="AF568" s="2453"/>
      <c r="AG568" s="2453"/>
      <c r="AH568" s="2453"/>
      <c r="AI568" s="2453"/>
      <c r="AJ568" s="2454"/>
      <c r="AK568" s="493"/>
      <c r="AL568" s="493"/>
      <c r="AM568" s="493"/>
      <c r="AN568" s="495"/>
    </row>
    <row r="569" spans="1:45" s="449" customFormat="1" ht="12.75" customHeight="1">
      <c r="A569" s="522"/>
      <c r="B569" s="2455"/>
      <c r="C569" s="2456"/>
      <c r="D569" s="2456"/>
      <c r="E569" s="2456"/>
      <c r="F569" s="2456"/>
      <c r="G569" s="2456"/>
      <c r="H569" s="2456"/>
      <c r="I569" s="2456"/>
      <c r="J569" s="2456"/>
      <c r="K569" s="2456"/>
      <c r="L569" s="2456"/>
      <c r="M569" s="2456"/>
      <c r="N569" s="2456"/>
      <c r="O569" s="2456"/>
      <c r="P569" s="2456"/>
      <c r="Q569" s="2456"/>
      <c r="R569" s="2456"/>
      <c r="S569" s="2456"/>
      <c r="T569" s="2456"/>
      <c r="U569" s="2456"/>
      <c r="V569" s="2456"/>
      <c r="W569" s="2456"/>
      <c r="X569" s="2456"/>
      <c r="Y569" s="2456"/>
      <c r="Z569" s="2456"/>
      <c r="AA569" s="2456"/>
      <c r="AB569" s="2456"/>
      <c r="AC569" s="2456"/>
      <c r="AD569" s="2456"/>
      <c r="AE569" s="2456"/>
      <c r="AF569" s="2456"/>
      <c r="AG569" s="2456"/>
      <c r="AH569" s="2456"/>
      <c r="AI569" s="2456"/>
      <c r="AJ569" s="2457"/>
      <c r="AK569" s="493"/>
      <c r="AL569" s="493"/>
      <c r="AM569" s="493"/>
      <c r="AN569" s="495"/>
      <c r="AP569" s="2506">
        <f>AP570-AP565-AP566</f>
        <v>54108915</v>
      </c>
      <c r="AQ569" s="2437"/>
      <c r="AR569" s="2437"/>
      <c r="AS569" s="449" t="s">
        <v>2447</v>
      </c>
    </row>
    <row r="570" spans="1:45" s="449" customFormat="1" ht="12.75" customHeight="1">
      <c r="A570" s="522"/>
      <c r="B570" s="2458"/>
      <c r="C570" s="2459"/>
      <c r="D570" s="2459"/>
      <c r="E570" s="2459"/>
      <c r="F570" s="2459"/>
      <c r="G570" s="2459"/>
      <c r="H570" s="2459"/>
      <c r="I570" s="2459"/>
      <c r="J570" s="2459"/>
      <c r="K570" s="2459"/>
      <c r="L570" s="2459"/>
      <c r="M570" s="2459"/>
      <c r="N570" s="2459"/>
      <c r="O570" s="2459"/>
      <c r="P570" s="2459"/>
      <c r="Q570" s="2459"/>
      <c r="R570" s="2459"/>
      <c r="S570" s="2459"/>
      <c r="T570" s="2459"/>
      <c r="U570" s="2459"/>
      <c r="V570" s="2459"/>
      <c r="W570" s="2459"/>
      <c r="X570" s="2459"/>
      <c r="Y570" s="2459"/>
      <c r="Z570" s="2459"/>
      <c r="AA570" s="2459"/>
      <c r="AB570" s="2459"/>
      <c r="AC570" s="2459"/>
      <c r="AD570" s="2459"/>
      <c r="AE570" s="2459"/>
      <c r="AF570" s="2459"/>
      <c r="AG570" s="2459"/>
      <c r="AH570" s="2459"/>
      <c r="AI570" s="2459"/>
      <c r="AJ570" s="2460"/>
      <c r="AK570" s="493"/>
      <c r="AL570" s="493"/>
      <c r="AM570" s="493"/>
      <c r="AN570" s="495"/>
      <c r="AP570" s="2506">
        <f>Application!AJ1062</f>
        <v>87295716.200000003</v>
      </c>
      <c r="AQ570" s="2506"/>
      <c r="AR570" s="2506"/>
      <c r="AS570" s="449" t="s">
        <v>2448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2449</v>
      </c>
      <c r="AK572" s="2461">
        <f>IFERROR(IF(AND(C554="N/A",C557="N/A"),0,IF(AF566=0,0,IF((AF566*100)&gt;12,12,(AF566*100)))),0)</f>
        <v>12</v>
      </c>
      <c r="AL572" s="2461"/>
      <c r="AM572" s="2462"/>
      <c r="AN572" s="495"/>
      <c r="AP572" s="2519">
        <f>AP569+(AP563*AP567)</f>
        <v>82967003</v>
      </c>
      <c r="AQ572" s="2520"/>
      <c r="AR572" s="252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2450</v>
      </c>
      <c r="B575" s="439" t="s">
        <v>2451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19" t="s">
        <v>2148</v>
      </c>
      <c r="AF575" s="2319"/>
      <c r="AG575" s="2319"/>
      <c r="AH575" s="2319"/>
      <c r="AI575" s="2319"/>
      <c r="AJ575" s="2319"/>
      <c r="AK575" s="231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69" t="s">
        <v>2452</v>
      </c>
      <c r="C577" s="2369"/>
      <c r="D577" s="2369"/>
      <c r="E577" s="2369"/>
      <c r="F577" s="2369"/>
      <c r="G577" s="2369"/>
      <c r="H577" s="2369"/>
      <c r="I577" s="2369"/>
      <c r="J577" s="2369"/>
      <c r="K577" s="2369"/>
      <c r="L577" s="2369"/>
      <c r="M577" s="2369"/>
      <c r="N577" s="2369"/>
      <c r="O577" s="2369"/>
      <c r="P577" s="2369"/>
      <c r="Q577" s="2369"/>
      <c r="R577" s="2369"/>
      <c r="S577" s="2369"/>
      <c r="T577" s="2369"/>
      <c r="U577" s="2369"/>
      <c r="V577" s="2369"/>
      <c r="W577" s="2369"/>
      <c r="X577" s="2369"/>
      <c r="Y577" s="2369"/>
      <c r="Z577" s="2369"/>
      <c r="AA577" s="2369"/>
      <c r="AB577" s="2369"/>
      <c r="AC577" s="2369"/>
      <c r="AD577" s="2369"/>
      <c r="AE577" s="2369"/>
      <c r="AF577" s="2369"/>
      <c r="AG577" s="2369"/>
      <c r="AH577" s="2369"/>
      <c r="AI577" s="2369"/>
      <c r="AJ577" s="2369"/>
      <c r="AK577" s="540"/>
      <c r="AL577" s="471"/>
      <c r="AM577" s="501"/>
      <c r="AN577" s="495"/>
    </row>
    <row r="578" spans="1:42" s="449" customFormat="1" ht="12.75" customHeight="1">
      <c r="A578" s="501"/>
      <c r="B578" s="2369"/>
      <c r="C578" s="2369"/>
      <c r="D578" s="2369"/>
      <c r="E578" s="2369"/>
      <c r="F578" s="2369"/>
      <c r="G578" s="2369"/>
      <c r="H578" s="2369"/>
      <c r="I578" s="2369"/>
      <c r="J578" s="2369"/>
      <c r="K578" s="2369"/>
      <c r="L578" s="2369"/>
      <c r="M578" s="2369"/>
      <c r="N578" s="2369"/>
      <c r="O578" s="2369"/>
      <c r="P578" s="2369"/>
      <c r="Q578" s="2369"/>
      <c r="R578" s="2369"/>
      <c r="S578" s="2369"/>
      <c r="T578" s="2369"/>
      <c r="U578" s="2369"/>
      <c r="V578" s="2369"/>
      <c r="W578" s="2369"/>
      <c r="X578" s="2369"/>
      <c r="Y578" s="2369"/>
      <c r="Z578" s="2369"/>
      <c r="AA578" s="2369"/>
      <c r="AB578" s="2369"/>
      <c r="AC578" s="2369"/>
      <c r="AD578" s="2369"/>
      <c r="AE578" s="2369"/>
      <c r="AF578" s="2369"/>
      <c r="AG578" s="2369"/>
      <c r="AH578" s="2369"/>
      <c r="AI578" s="2369"/>
      <c r="AJ578" s="2369"/>
      <c r="AK578" s="540"/>
      <c r="AL578" s="471"/>
      <c r="AM578" s="501"/>
      <c r="AN578" s="495"/>
    </row>
    <row r="579" spans="1:42" s="449" customFormat="1" ht="12.75" customHeight="1">
      <c r="A579" s="501"/>
      <c r="B579" s="2369"/>
      <c r="C579" s="2369"/>
      <c r="D579" s="2369"/>
      <c r="E579" s="2369"/>
      <c r="F579" s="2369"/>
      <c r="G579" s="2369"/>
      <c r="H579" s="2369"/>
      <c r="I579" s="2369"/>
      <c r="J579" s="2369"/>
      <c r="K579" s="2369"/>
      <c r="L579" s="2369"/>
      <c r="M579" s="2369"/>
      <c r="N579" s="2369"/>
      <c r="O579" s="2369"/>
      <c r="P579" s="2369"/>
      <c r="Q579" s="2369"/>
      <c r="R579" s="2369"/>
      <c r="S579" s="2369"/>
      <c r="T579" s="2369"/>
      <c r="U579" s="2369"/>
      <c r="V579" s="2369"/>
      <c r="W579" s="2369"/>
      <c r="X579" s="2369"/>
      <c r="Y579" s="2369"/>
      <c r="Z579" s="2369"/>
      <c r="AA579" s="2369"/>
      <c r="AB579" s="2369"/>
      <c r="AC579" s="2369"/>
      <c r="AD579" s="2369"/>
      <c r="AE579" s="2369"/>
      <c r="AF579" s="2369"/>
      <c r="AG579" s="2369"/>
      <c r="AH579" s="2369"/>
      <c r="AI579" s="2369"/>
      <c r="AJ579" s="2369"/>
      <c r="AK579" s="540"/>
      <c r="AL579" s="471"/>
      <c r="AM579" s="501"/>
      <c r="AN579" s="495"/>
    </row>
    <row r="580" spans="1:42" s="449" customFormat="1" ht="12.75" customHeight="1">
      <c r="A580" s="501"/>
      <c r="B580" s="2369"/>
      <c r="C580" s="2369"/>
      <c r="D580" s="2369"/>
      <c r="E580" s="2369"/>
      <c r="F580" s="2369"/>
      <c r="G580" s="2369"/>
      <c r="H580" s="2369"/>
      <c r="I580" s="2369"/>
      <c r="J580" s="2369"/>
      <c r="K580" s="2369"/>
      <c r="L580" s="2369"/>
      <c r="M580" s="2369"/>
      <c r="N580" s="2369"/>
      <c r="O580" s="2369"/>
      <c r="P580" s="2369"/>
      <c r="Q580" s="2369"/>
      <c r="R580" s="2369"/>
      <c r="S580" s="2369"/>
      <c r="T580" s="2369"/>
      <c r="U580" s="2369"/>
      <c r="V580" s="2369"/>
      <c r="W580" s="2369"/>
      <c r="X580" s="2369"/>
      <c r="Y580" s="2369"/>
      <c r="Z580" s="2369"/>
      <c r="AA580" s="2369"/>
      <c r="AB580" s="2369"/>
      <c r="AC580" s="2369"/>
      <c r="AD580" s="2369"/>
      <c r="AE580" s="2369"/>
      <c r="AF580" s="2369"/>
      <c r="AG580" s="2369"/>
      <c r="AH580" s="2369"/>
      <c r="AI580" s="2369"/>
      <c r="AJ580" s="2369"/>
      <c r="AK580" s="540"/>
      <c r="AL580" s="471"/>
      <c r="AM580" s="501"/>
      <c r="AN580" s="495"/>
    </row>
    <row r="581" spans="1:42" s="449" customFormat="1" ht="12.75" customHeight="1">
      <c r="A581" s="501"/>
      <c r="B581" s="2369"/>
      <c r="C581" s="2369"/>
      <c r="D581" s="2369"/>
      <c r="E581" s="2369"/>
      <c r="F581" s="2369"/>
      <c r="G581" s="2369"/>
      <c r="H581" s="2369"/>
      <c r="I581" s="2369"/>
      <c r="J581" s="2369"/>
      <c r="K581" s="2369"/>
      <c r="L581" s="2369"/>
      <c r="M581" s="2369"/>
      <c r="N581" s="2369"/>
      <c r="O581" s="2369"/>
      <c r="P581" s="2369"/>
      <c r="Q581" s="2369"/>
      <c r="R581" s="2369"/>
      <c r="S581" s="2369"/>
      <c r="T581" s="2369"/>
      <c r="U581" s="2369"/>
      <c r="V581" s="2369"/>
      <c r="W581" s="2369"/>
      <c r="X581" s="2369"/>
      <c r="Y581" s="2369"/>
      <c r="Z581" s="2369"/>
      <c r="AA581" s="2369"/>
      <c r="AB581" s="2369"/>
      <c r="AC581" s="2369"/>
      <c r="AD581" s="2369"/>
      <c r="AE581" s="2369"/>
      <c r="AF581" s="2369"/>
      <c r="AG581" s="2369"/>
      <c r="AH581" s="2369"/>
      <c r="AI581" s="2369"/>
      <c r="AJ581" s="2369"/>
      <c r="AK581" s="540"/>
      <c r="AL581" s="471"/>
      <c r="AM581" s="501"/>
      <c r="AN581" s="495"/>
    </row>
    <row r="582" spans="1:42" s="449" customFormat="1" ht="12.75" customHeight="1">
      <c r="A582" s="501"/>
      <c r="B582" s="2369"/>
      <c r="C582" s="2369"/>
      <c r="D582" s="2369"/>
      <c r="E582" s="2369"/>
      <c r="F582" s="2369"/>
      <c r="G582" s="2369"/>
      <c r="H582" s="2369"/>
      <c r="I582" s="2369"/>
      <c r="J582" s="2369"/>
      <c r="K582" s="2369"/>
      <c r="L582" s="2369"/>
      <c r="M582" s="2369"/>
      <c r="N582" s="2369"/>
      <c r="O582" s="2369"/>
      <c r="P582" s="2369"/>
      <c r="Q582" s="2369"/>
      <c r="R582" s="2369"/>
      <c r="S582" s="2369"/>
      <c r="T582" s="2369"/>
      <c r="U582" s="2369"/>
      <c r="V582" s="2369"/>
      <c r="W582" s="2369"/>
      <c r="X582" s="2369"/>
      <c r="Y582" s="2369"/>
      <c r="Z582" s="2369"/>
      <c r="AA582" s="2369"/>
      <c r="AB582" s="2369"/>
      <c r="AC582" s="2369"/>
      <c r="AD582" s="2369"/>
      <c r="AE582" s="2369"/>
      <c r="AF582" s="2369"/>
      <c r="AG582" s="2369"/>
      <c r="AH582" s="2369"/>
      <c r="AI582" s="2369"/>
      <c r="AJ582" s="2369"/>
      <c r="AK582" s="540"/>
      <c r="AL582" s="471"/>
      <c r="AM582" s="501"/>
      <c r="AN582" s="495"/>
    </row>
    <row r="583" spans="1:42" s="449" customFormat="1" ht="12.75" customHeight="1">
      <c r="A583" s="501"/>
      <c r="B583" s="2369"/>
      <c r="C583" s="2369"/>
      <c r="D583" s="2369"/>
      <c r="E583" s="2369"/>
      <c r="F583" s="2369"/>
      <c r="G583" s="2369"/>
      <c r="H583" s="2369"/>
      <c r="I583" s="2369"/>
      <c r="J583" s="2369"/>
      <c r="K583" s="2369"/>
      <c r="L583" s="2369"/>
      <c r="M583" s="2369"/>
      <c r="N583" s="2369"/>
      <c r="O583" s="2369"/>
      <c r="P583" s="2369"/>
      <c r="Q583" s="2369"/>
      <c r="R583" s="2369"/>
      <c r="S583" s="2369"/>
      <c r="T583" s="2369"/>
      <c r="U583" s="2369"/>
      <c r="V583" s="2369"/>
      <c r="W583" s="2369"/>
      <c r="X583" s="2369"/>
      <c r="Y583" s="2369"/>
      <c r="Z583" s="2369"/>
      <c r="AA583" s="2369"/>
      <c r="AB583" s="2369"/>
      <c r="AC583" s="2369"/>
      <c r="AD583" s="2369"/>
      <c r="AE583" s="2369"/>
      <c r="AF583" s="2369"/>
      <c r="AG583" s="2369"/>
      <c r="AH583" s="2369"/>
      <c r="AI583" s="2369"/>
      <c r="AJ583" s="2369"/>
      <c r="AK583" s="540"/>
      <c r="AL583" s="471"/>
      <c r="AM583" s="501"/>
      <c r="AN583" s="495"/>
    </row>
    <row r="584" spans="1:42" ht="12.75" customHeight="1">
      <c r="A584" s="501"/>
      <c r="B584" s="2369"/>
      <c r="C584" s="2369"/>
      <c r="D584" s="2369"/>
      <c r="E584" s="2369"/>
      <c r="F584" s="2369"/>
      <c r="G584" s="2369"/>
      <c r="H584" s="2369"/>
      <c r="I584" s="2369"/>
      <c r="J584" s="2369"/>
      <c r="K584" s="2369"/>
      <c r="L584" s="2369"/>
      <c r="M584" s="2369"/>
      <c r="N584" s="2369"/>
      <c r="O584" s="2369"/>
      <c r="P584" s="2369"/>
      <c r="Q584" s="2369"/>
      <c r="R584" s="2369"/>
      <c r="S584" s="2369"/>
      <c r="T584" s="2369"/>
      <c r="U584" s="2369"/>
      <c r="V584" s="2369"/>
      <c r="W584" s="2369"/>
      <c r="X584" s="2369"/>
      <c r="Y584" s="2369"/>
      <c r="Z584" s="2369"/>
      <c r="AA584" s="2369"/>
      <c r="AB584" s="2369"/>
      <c r="AC584" s="2369"/>
      <c r="AD584" s="2369"/>
      <c r="AE584" s="2369"/>
      <c r="AF584" s="2369"/>
      <c r="AG584" s="2369"/>
      <c r="AH584" s="2369"/>
      <c r="AI584" s="2369"/>
      <c r="AJ584" s="2369"/>
      <c r="AK584" s="540"/>
      <c r="AL584" s="471"/>
      <c r="AM584" s="501"/>
    </row>
    <row r="585" spans="1:42" s="449" customFormat="1" ht="12.75" customHeight="1">
      <c r="B585" s="2369"/>
      <c r="C585" s="2369"/>
      <c r="D585" s="2369"/>
      <c r="E585" s="2369"/>
      <c r="F585" s="2369"/>
      <c r="G585" s="2369"/>
      <c r="H585" s="2369"/>
      <c r="I585" s="2369"/>
      <c r="J585" s="2369"/>
      <c r="K585" s="2369"/>
      <c r="L585" s="2369"/>
      <c r="M585" s="2369"/>
      <c r="N585" s="2369"/>
      <c r="O585" s="2369"/>
      <c r="P585" s="2369"/>
      <c r="Q585" s="2369"/>
      <c r="R585" s="2369"/>
      <c r="S585" s="2369"/>
      <c r="T585" s="2369"/>
      <c r="U585" s="2369"/>
      <c r="V585" s="2369"/>
      <c r="W585" s="2369"/>
      <c r="X585" s="2369"/>
      <c r="Y585" s="2369"/>
      <c r="Z585" s="2369"/>
      <c r="AA585" s="2369"/>
      <c r="AB585" s="2369"/>
      <c r="AC585" s="2369"/>
      <c r="AD585" s="2369"/>
      <c r="AE585" s="2369"/>
      <c r="AF585" s="2369"/>
      <c r="AG585" s="2369"/>
      <c r="AH585" s="2369"/>
      <c r="AI585" s="2369"/>
      <c r="AJ585" s="236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2454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52" t="s">
        <v>2193</v>
      </c>
      <c r="AG591" s="2352"/>
      <c r="AH591" s="2352"/>
      <c r="AI591" s="2352"/>
      <c r="AJ591" s="2352"/>
      <c r="AK591" s="2352"/>
      <c r="AL591" s="2352"/>
      <c r="AN591" s="495"/>
    </row>
    <row r="592" spans="1:42" s="449" customFormat="1" ht="12.75" customHeight="1">
      <c r="B592" s="436"/>
      <c r="C592" s="514"/>
      <c r="D592" s="559"/>
      <c r="E592" s="734" t="s">
        <v>2456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2460</v>
      </c>
      <c r="AP595" s="449" t="b">
        <f>IF(Application!AF427&gt;=25,TRUE,FALSE)</f>
        <v>1</v>
      </c>
    </row>
    <row r="596" spans="1:42" s="449" customFormat="1" ht="12.75" customHeight="1">
      <c r="B596" s="436"/>
      <c r="C596" s="514"/>
      <c r="D596" s="559"/>
      <c r="E596" s="734" t="s">
        <v>2461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52" t="s">
        <v>2463</v>
      </c>
      <c r="AG598" s="2352"/>
      <c r="AH598" s="2352"/>
      <c r="AI598" s="2352"/>
      <c r="AJ598" s="2352"/>
      <c r="AK598" s="2352"/>
      <c r="AL598" s="2352"/>
      <c r="AN598" s="495"/>
    </row>
    <row r="599" spans="1:42" s="449" customFormat="1" ht="12.75" customHeight="1">
      <c r="B599" s="436"/>
      <c r="C599" s="823"/>
      <c r="D599" s="559"/>
      <c r="E599" s="734" t="s">
        <v>2464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2465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2466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2468</v>
      </c>
      <c r="AP603" s="449">
        <v>4</v>
      </c>
    </row>
    <row r="604" spans="1:42" s="449" customFormat="1" ht="12.75" customHeight="1">
      <c r="B604" s="436"/>
      <c r="C604" s="821"/>
      <c r="D604" s="559" t="s">
        <v>49</v>
      </c>
      <c r="E604" s="734" t="s">
        <v>2469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52" t="s">
        <v>2470</v>
      </c>
      <c r="AG604" s="2352"/>
      <c r="AH604" s="2352"/>
      <c r="AI604" s="2352"/>
      <c r="AJ604" s="2352"/>
      <c r="AK604" s="2352"/>
      <c r="AL604" s="2352"/>
      <c r="AN604" s="495"/>
      <c r="AO604" s="509" t="s">
        <v>2471</v>
      </c>
      <c r="AP604" s="449">
        <v>3</v>
      </c>
    </row>
    <row r="605" spans="1:42" s="449" customFormat="1" ht="12.75" customHeight="1">
      <c r="B605" s="436"/>
      <c r="C605" s="823"/>
      <c r="D605" s="559"/>
      <c r="E605" s="734" t="s">
        <v>2464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2472</v>
      </c>
    </row>
    <row r="607" spans="1:42" s="449" customFormat="1" ht="12.75" customHeight="1">
      <c r="B607" s="436"/>
      <c r="C607" s="823"/>
      <c r="D607" s="559"/>
      <c r="E607" s="734" t="s">
        <v>2466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2473</v>
      </c>
    </row>
    <row r="608" spans="1:42" s="449" customFormat="1" ht="12.75" customHeight="1">
      <c r="B608" s="436"/>
      <c r="C608" s="823"/>
      <c r="D608" s="559"/>
      <c r="E608" s="734" t="s">
        <v>2467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2468</v>
      </c>
      <c r="E610" s="734" t="s">
        <v>2475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52" t="s">
        <v>2476</v>
      </c>
      <c r="AG610" s="2352"/>
      <c r="AH610" s="2352"/>
      <c r="AI610" s="2352"/>
      <c r="AJ610" s="2352"/>
      <c r="AK610" s="2352"/>
      <c r="AL610" s="2352"/>
      <c r="AN610" s="495"/>
      <c r="AO610" s="449" t="str">
        <f>X647</f>
        <v>N/A</v>
      </c>
    </row>
    <row r="611" spans="1:53" s="449" customFormat="1" ht="12.75" customHeight="1">
      <c r="B611" s="436"/>
      <c r="C611" s="823"/>
      <c r="D611" s="559"/>
      <c r="E611" s="734" t="s">
        <v>2477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2480</v>
      </c>
    </row>
    <row r="614" spans="1:53" s="449" customFormat="1" ht="12.75" customHeight="1">
      <c r="B614" s="508"/>
      <c r="C614" s="821"/>
      <c r="D614" s="559"/>
      <c r="E614" s="436" t="s">
        <v>2481</v>
      </c>
      <c r="O614" s="2433" t="s">
        <v>1038</v>
      </c>
      <c r="P614" s="2433"/>
      <c r="Q614" s="2433"/>
      <c r="R614" s="2433"/>
      <c r="S614" s="2433"/>
      <c r="T614" s="2433"/>
      <c r="U614" s="2433"/>
      <c r="V614" s="2433"/>
      <c r="W614" s="2433"/>
      <c r="X614" s="2433"/>
      <c r="Y614" s="2433"/>
      <c r="Z614" s="2433"/>
      <c r="AA614" s="2433"/>
      <c r="AB614" s="2433"/>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2471</v>
      </c>
      <c r="E616" s="734" t="s">
        <v>2482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52" t="s">
        <v>2210</v>
      </c>
      <c r="AG616" s="2352"/>
      <c r="AH616" s="2352"/>
      <c r="AI616" s="2352"/>
      <c r="AJ616" s="2352"/>
      <c r="AK616" s="2352"/>
      <c r="AL616" s="2352"/>
      <c r="AN616" s="495"/>
    </row>
    <row r="617" spans="1:53" s="449" customFormat="1" ht="12.75" customHeight="1">
      <c r="B617" s="436"/>
      <c r="C617" s="821"/>
      <c r="D617" s="559"/>
      <c r="E617" s="734" t="s">
        <v>2483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2484</v>
      </c>
      <c r="E619" s="826"/>
      <c r="F619" s="826"/>
      <c r="G619" s="826"/>
      <c r="H619" s="2431" t="s">
        <v>22</v>
      </c>
      <c r="I619" s="2431"/>
      <c r="J619" s="826"/>
      <c r="K619" s="826"/>
      <c r="L619" s="826"/>
      <c r="N619" s="19"/>
      <c r="O619" s="19"/>
      <c r="P619" s="19"/>
      <c r="Q619" s="1034" t="s">
        <v>2485</v>
      </c>
      <c r="R619" s="2434"/>
      <c r="S619" s="2434"/>
      <c r="T619" s="2434"/>
      <c r="U619" s="2434"/>
      <c r="V619" s="2434"/>
      <c r="W619" s="2434"/>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5" t="str">
        <f>IF(AND(H619="(i)",NOT(AP595)),AO612,IF(AND(H619="(iv)",OR(R619=AO608,R619=AO607),NOT(AP596)),AO613,""))</f>
        <v/>
      </c>
      <c r="Z620" s="2435"/>
      <c r="AA620" s="2435"/>
      <c r="AB620" s="2435"/>
      <c r="AC620" s="2435"/>
      <c r="AD620" s="2435"/>
      <c r="AE620" s="2435"/>
      <c r="AF620" s="2435"/>
      <c r="AG620" s="2435"/>
      <c r="AH620" s="2435"/>
      <c r="AI620" s="2435"/>
      <c r="AJ620" s="2435"/>
      <c r="AK620" s="2435"/>
      <c r="AL620" s="2435"/>
      <c r="AM620" s="2436"/>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5"/>
      <c r="Z621" s="2435"/>
      <c r="AA621" s="2435"/>
      <c r="AB621" s="2435"/>
      <c r="AC621" s="2435"/>
      <c r="AD621" s="2435"/>
      <c r="AE621" s="2435"/>
      <c r="AF621" s="2435"/>
      <c r="AG621" s="2435"/>
      <c r="AH621" s="2435"/>
      <c r="AI621" s="2435"/>
      <c r="AJ621" s="2435"/>
      <c r="AK621" s="2435"/>
      <c r="AL621" s="2435"/>
      <c r="AM621" s="2436"/>
      <c r="AN621" s="495"/>
      <c r="AO621" s="509"/>
      <c r="AT621" s="509"/>
    </row>
    <row r="622" spans="1:53" s="449" customFormat="1" ht="12.75" customHeight="1">
      <c r="B622" s="436"/>
      <c r="C622" s="823"/>
      <c r="D622" s="436" t="s">
        <v>2486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2484</v>
      </c>
      <c r="F627" s="826"/>
      <c r="G627" s="826"/>
      <c r="I627" s="2432" t="s">
        <v>822</v>
      </c>
      <c r="J627" s="2432"/>
      <c r="K627" s="2432"/>
      <c r="L627" s="2432"/>
      <c r="M627" s="2432"/>
      <c r="N627" s="2432"/>
      <c r="O627" s="2432"/>
      <c r="P627" s="2432"/>
      <c r="Q627" s="2432"/>
      <c r="R627" s="2432"/>
      <c r="S627" s="2432"/>
      <c r="T627" s="2432"/>
      <c r="U627" s="2432"/>
      <c r="V627" s="2432"/>
      <c r="W627" s="2432"/>
      <c r="X627" s="2432"/>
      <c r="Y627" s="2432"/>
      <c r="Z627" s="2432"/>
      <c r="AA627" s="2432"/>
      <c r="AB627" s="2432"/>
      <c r="AC627" s="2432"/>
      <c r="AD627" s="2432"/>
      <c r="AE627" s="2432"/>
      <c r="AF627" s="436"/>
      <c r="AG627" s="436"/>
      <c r="AH627" s="436"/>
      <c r="AI627" s="436"/>
      <c r="AJ627" s="436"/>
      <c r="AK627" s="436"/>
      <c r="AL627" s="436"/>
      <c r="AN627" s="495"/>
      <c r="AO627" s="449" t="s">
        <v>2490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2491</v>
      </c>
      <c r="AP628" s="449">
        <v>2</v>
      </c>
    </row>
    <row r="629" spans="1:42" s="449" customFormat="1" ht="12.75" customHeight="1">
      <c r="B629" s="2364" t="s">
        <v>822</v>
      </c>
      <c r="C629" s="2364"/>
      <c r="D629" s="540"/>
      <c r="E629" s="2369" t="s">
        <v>2492</v>
      </c>
      <c r="F629" s="2369"/>
      <c r="G629" s="2369"/>
      <c r="H629" s="2369"/>
      <c r="I629" s="2369"/>
      <c r="J629" s="2369"/>
      <c r="K629" s="2369"/>
      <c r="L629" s="2369"/>
      <c r="M629" s="2369"/>
      <c r="N629" s="2369"/>
      <c r="O629" s="2369"/>
      <c r="P629" s="2369"/>
      <c r="Q629" s="2369"/>
      <c r="R629" s="2369"/>
      <c r="S629" s="2369"/>
      <c r="T629" s="2369"/>
      <c r="U629" s="2369"/>
      <c r="V629" s="2369"/>
      <c r="W629" s="2369"/>
      <c r="X629" s="2369"/>
      <c r="Y629" s="2369"/>
      <c r="Z629" s="2369"/>
      <c r="AA629" s="2369"/>
      <c r="AB629" s="2369"/>
      <c r="AC629" s="2369"/>
      <c r="AD629" s="2369"/>
      <c r="AE629" s="2369"/>
      <c r="AF629" s="2369"/>
      <c r="AG629" s="2369"/>
      <c r="AH629" s="540"/>
      <c r="AI629" s="540"/>
      <c r="AJ629" s="540"/>
      <c r="AK629" s="540"/>
      <c r="AL629" s="540"/>
      <c r="AN629" s="495"/>
    </row>
    <row r="630" spans="1:42" s="449" customFormat="1" ht="12.75" customHeight="1">
      <c r="B630" s="436"/>
      <c r="C630" s="823"/>
      <c r="D630" s="540"/>
      <c r="E630" s="2369"/>
      <c r="F630" s="2369"/>
      <c r="G630" s="2369"/>
      <c r="H630" s="2369"/>
      <c r="I630" s="2369"/>
      <c r="J630" s="2369"/>
      <c r="K630" s="2369"/>
      <c r="L630" s="2369"/>
      <c r="M630" s="2369"/>
      <c r="N630" s="2369"/>
      <c r="O630" s="2369"/>
      <c r="P630" s="2369"/>
      <c r="Q630" s="2369"/>
      <c r="R630" s="2369"/>
      <c r="S630" s="2369"/>
      <c r="T630" s="2369"/>
      <c r="U630" s="2369"/>
      <c r="V630" s="2369"/>
      <c r="W630" s="2369"/>
      <c r="X630" s="2369"/>
      <c r="Y630" s="2369"/>
      <c r="Z630" s="2369"/>
      <c r="AA630" s="2369"/>
      <c r="AB630" s="2369"/>
      <c r="AC630" s="2369"/>
      <c r="AD630" s="2369"/>
      <c r="AE630" s="2369"/>
      <c r="AF630" s="2369"/>
      <c r="AG630" s="2369"/>
      <c r="AH630" s="540"/>
      <c r="AI630" s="540"/>
      <c r="AJ630" s="540"/>
      <c r="AK630" s="540"/>
      <c r="AL630" s="540"/>
      <c r="AN630" s="495"/>
    </row>
    <row r="631" spans="1:42" s="449" customFormat="1" ht="12.75" customHeight="1">
      <c r="B631" s="436"/>
      <c r="C631" s="823"/>
      <c r="D631" s="540"/>
      <c r="E631" s="2369"/>
      <c r="F631" s="2369"/>
      <c r="G631" s="2369"/>
      <c r="H631" s="2369"/>
      <c r="I631" s="2369"/>
      <c r="J631" s="2369"/>
      <c r="K631" s="2369"/>
      <c r="L631" s="2369"/>
      <c r="M631" s="2369"/>
      <c r="N631" s="2369"/>
      <c r="O631" s="2369"/>
      <c r="P631" s="2369"/>
      <c r="Q631" s="2369"/>
      <c r="R631" s="2369"/>
      <c r="S631" s="2369"/>
      <c r="T631" s="2369"/>
      <c r="U631" s="2369"/>
      <c r="V631" s="2369"/>
      <c r="W631" s="2369"/>
      <c r="X631" s="2369"/>
      <c r="Y631" s="2369"/>
      <c r="Z631" s="2369"/>
      <c r="AA631" s="2369"/>
      <c r="AB631" s="2369"/>
      <c r="AC631" s="2369"/>
      <c r="AD631" s="2369"/>
      <c r="AE631" s="2369"/>
      <c r="AF631" s="2369"/>
      <c r="AG631" s="2369"/>
      <c r="AH631" s="540"/>
      <c r="AI631" s="540"/>
      <c r="AJ631" s="540"/>
      <c r="AK631" s="540"/>
      <c r="AL631" s="540"/>
      <c r="AN631" s="495"/>
    </row>
    <row r="632" spans="1:42" s="449" customFormat="1" ht="12.75" customHeight="1">
      <c r="B632" s="436"/>
      <c r="C632" s="823"/>
      <c r="D632" s="540"/>
      <c r="E632" s="2369"/>
      <c r="F632" s="2369"/>
      <c r="G632" s="2369"/>
      <c r="H632" s="2369"/>
      <c r="I632" s="2369"/>
      <c r="J632" s="2369"/>
      <c r="K632" s="2369"/>
      <c r="L632" s="2369"/>
      <c r="M632" s="2369"/>
      <c r="N632" s="2369"/>
      <c r="O632" s="2369"/>
      <c r="P632" s="2369"/>
      <c r="Q632" s="2369"/>
      <c r="R632" s="2369"/>
      <c r="S632" s="2369"/>
      <c r="T632" s="2369"/>
      <c r="U632" s="2369"/>
      <c r="V632" s="2369"/>
      <c r="W632" s="2369"/>
      <c r="X632" s="2369"/>
      <c r="Y632" s="2369"/>
      <c r="Z632" s="2369"/>
      <c r="AA632" s="2369"/>
      <c r="AB632" s="2369"/>
      <c r="AC632" s="2369"/>
      <c r="AD632" s="2369"/>
      <c r="AE632" s="2369"/>
      <c r="AF632" s="2369"/>
      <c r="AG632" s="236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2493</v>
      </c>
      <c r="AJ634" s="2377">
        <f>VLOOKUP($H$619,$AO$599:$AP$604,2,FALSE)+IF(R619=AO607,0,VLOOKUP($I$627,$AO$626:$AP$628,2,FALSE))</f>
        <v>7</v>
      </c>
      <c r="AK634" s="2379"/>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0" t="s">
        <v>2495</v>
      </c>
      <c r="F638" s="2430"/>
      <c r="G638" s="2430"/>
      <c r="H638" s="2430"/>
      <c r="I638" s="2430"/>
      <c r="J638" s="2430"/>
      <c r="K638" s="2430"/>
      <c r="L638" s="2430"/>
      <c r="M638" s="2430"/>
      <c r="N638" s="2430"/>
      <c r="O638" s="2430"/>
      <c r="P638" s="2430"/>
      <c r="Q638" s="2430"/>
      <c r="R638" s="2430"/>
      <c r="S638" s="2430"/>
      <c r="T638" s="2430"/>
      <c r="U638" s="2430"/>
      <c r="V638" s="2430"/>
      <c r="W638" s="2430"/>
      <c r="X638" s="2430"/>
      <c r="Y638" s="2430"/>
      <c r="Z638" s="2430"/>
      <c r="AA638" s="2430"/>
      <c r="AB638" s="2430"/>
      <c r="AC638" s="2430"/>
      <c r="AD638" s="2430"/>
      <c r="AE638" s="439"/>
      <c r="AF638" s="2352" t="s">
        <v>2210</v>
      </c>
      <c r="AG638" s="2352"/>
      <c r="AH638" s="2352"/>
      <c r="AI638" s="2352"/>
      <c r="AJ638" s="2352"/>
      <c r="AK638" s="2352"/>
      <c r="AL638" s="2352"/>
      <c r="AM638" s="449"/>
      <c r="AN638" s="574"/>
    </row>
    <row r="639" spans="1:42" s="449" customFormat="1" ht="12.75" customHeight="1">
      <c r="A639" s="575"/>
      <c r="B639" s="436"/>
      <c r="C639" s="823"/>
      <c r="D639" s="559"/>
      <c r="E639" s="2430"/>
      <c r="F639" s="2430"/>
      <c r="G639" s="2430"/>
      <c r="H639" s="2430"/>
      <c r="I639" s="2430"/>
      <c r="J639" s="2430"/>
      <c r="K639" s="2430"/>
      <c r="L639" s="2430"/>
      <c r="M639" s="2430"/>
      <c r="N639" s="2430"/>
      <c r="O639" s="2430"/>
      <c r="P639" s="2430"/>
      <c r="Q639" s="2430"/>
      <c r="R639" s="2430"/>
      <c r="S639" s="2430"/>
      <c r="T639" s="2430"/>
      <c r="U639" s="2430"/>
      <c r="V639" s="2430"/>
      <c r="W639" s="2430"/>
      <c r="X639" s="2430"/>
      <c r="Y639" s="2430"/>
      <c r="Z639" s="2430"/>
      <c r="AA639" s="2430"/>
      <c r="AB639" s="2430"/>
      <c r="AC639" s="2430"/>
      <c r="AD639" s="2430"/>
      <c r="AE639" s="436"/>
      <c r="AF639" s="436"/>
      <c r="AG639" s="436"/>
      <c r="AH639" s="436"/>
      <c r="AI639" s="436"/>
      <c r="AJ639" s="436"/>
      <c r="AK639" s="436"/>
      <c r="AL639" s="436"/>
      <c r="AN639" s="495"/>
    </row>
    <row r="640" spans="1:42" s="449" customFormat="1" ht="12.75" customHeight="1">
      <c r="B640" s="436"/>
      <c r="C640" s="821"/>
      <c r="D640" s="559"/>
      <c r="E640" s="2430"/>
      <c r="F640" s="2430"/>
      <c r="G640" s="2430"/>
      <c r="H640" s="2430"/>
      <c r="I640" s="2430"/>
      <c r="J640" s="2430"/>
      <c r="K640" s="2430"/>
      <c r="L640" s="2430"/>
      <c r="M640" s="2430"/>
      <c r="N640" s="2430"/>
      <c r="O640" s="2430"/>
      <c r="P640" s="2430"/>
      <c r="Q640" s="2430"/>
      <c r="R640" s="2430"/>
      <c r="S640" s="2430"/>
      <c r="T640" s="2430"/>
      <c r="U640" s="2430"/>
      <c r="V640" s="2430"/>
      <c r="W640" s="2430"/>
      <c r="X640" s="2430"/>
      <c r="Y640" s="2430"/>
      <c r="Z640" s="2430"/>
      <c r="AA640" s="2430"/>
      <c r="AB640" s="2430"/>
      <c r="AC640" s="2430"/>
      <c r="AD640" s="2430"/>
      <c r="AE640" s="436"/>
      <c r="AF640" s="436"/>
      <c r="AG640" s="436"/>
      <c r="AH640" s="436"/>
      <c r="AI640" s="436"/>
      <c r="AJ640" s="436"/>
      <c r="AK640" s="436"/>
      <c r="AL640" s="436"/>
      <c r="AN640" s="495"/>
    </row>
    <row r="641" spans="1:42" s="449" customFormat="1" ht="12.75" customHeight="1">
      <c r="B641" s="436"/>
      <c r="C641" s="821"/>
      <c r="D641" s="559"/>
      <c r="E641" s="2430"/>
      <c r="F641" s="2430"/>
      <c r="G641" s="2430"/>
      <c r="H641" s="2430"/>
      <c r="I641" s="2430"/>
      <c r="J641" s="2430"/>
      <c r="K641" s="2430"/>
      <c r="L641" s="2430"/>
      <c r="M641" s="2430"/>
      <c r="N641" s="2430"/>
      <c r="O641" s="2430"/>
      <c r="P641" s="2430"/>
      <c r="Q641" s="2430"/>
      <c r="R641" s="2430"/>
      <c r="S641" s="2430"/>
      <c r="T641" s="2430"/>
      <c r="U641" s="2430"/>
      <c r="V641" s="2430"/>
      <c r="W641" s="2430"/>
      <c r="X641" s="2430"/>
      <c r="Y641" s="2430"/>
      <c r="Z641" s="2430"/>
      <c r="AA641" s="2430"/>
      <c r="AB641" s="2430"/>
      <c r="AC641" s="2430"/>
      <c r="AD641" s="2430"/>
      <c r="AE641" s="436"/>
      <c r="AF641" s="436"/>
      <c r="AG641" s="436"/>
      <c r="AH641" s="436"/>
      <c r="AI641" s="436"/>
      <c r="AJ641" s="436"/>
      <c r="AK641" s="436"/>
      <c r="AL641" s="436"/>
      <c r="AN641" s="495"/>
    </row>
    <row r="642" spans="1:42" s="449" customFormat="1" ht="12.75" customHeight="1">
      <c r="B642" s="436"/>
      <c r="C642" s="821"/>
      <c r="D642" s="559"/>
      <c r="E642" s="2430"/>
      <c r="F642" s="2430"/>
      <c r="G642" s="2430"/>
      <c r="H642" s="2430"/>
      <c r="I642" s="2430"/>
      <c r="J642" s="2430"/>
      <c r="K642" s="2430"/>
      <c r="L642" s="2430"/>
      <c r="M642" s="2430"/>
      <c r="N642" s="2430"/>
      <c r="O642" s="2430"/>
      <c r="P642" s="2430"/>
      <c r="Q642" s="2430"/>
      <c r="R642" s="2430"/>
      <c r="S642" s="2430"/>
      <c r="T642" s="2430"/>
      <c r="U642" s="2430"/>
      <c r="V642" s="2430"/>
      <c r="W642" s="2430"/>
      <c r="X642" s="2430"/>
      <c r="Y642" s="2430"/>
      <c r="Z642" s="2430"/>
      <c r="AA642" s="2430"/>
      <c r="AB642" s="2430"/>
      <c r="AC642" s="2430"/>
      <c r="AD642" s="2430"/>
      <c r="AE642" s="436"/>
      <c r="AF642" s="436"/>
      <c r="AG642" s="436"/>
      <c r="AH642" s="436"/>
      <c r="AI642" s="436"/>
      <c r="AJ642" s="436"/>
      <c r="AK642" s="436"/>
      <c r="AL642" s="436"/>
      <c r="AN642" s="495"/>
    </row>
    <row r="643" spans="1:42" s="449" customFormat="1" ht="12.75" customHeight="1">
      <c r="B643" s="436"/>
      <c r="C643" s="821"/>
      <c r="D643" s="559"/>
      <c r="E643" s="2430"/>
      <c r="F643" s="2430"/>
      <c r="G643" s="2430"/>
      <c r="H643" s="2430"/>
      <c r="I643" s="2430"/>
      <c r="J643" s="2430"/>
      <c r="K643" s="2430"/>
      <c r="L643" s="2430"/>
      <c r="M643" s="2430"/>
      <c r="N643" s="2430"/>
      <c r="O643" s="2430"/>
      <c r="P643" s="2430"/>
      <c r="Q643" s="2430"/>
      <c r="R643" s="2430"/>
      <c r="S643" s="2430"/>
      <c r="T643" s="2430"/>
      <c r="U643" s="2430"/>
      <c r="V643" s="2430"/>
      <c r="W643" s="2430"/>
      <c r="X643" s="2430"/>
      <c r="Y643" s="2430"/>
      <c r="Z643" s="2430"/>
      <c r="AA643" s="2430"/>
      <c r="AB643" s="2430"/>
      <c r="AC643" s="2430"/>
      <c r="AD643" s="2430"/>
      <c r="AE643" s="436"/>
      <c r="AF643" s="436"/>
      <c r="AG643" s="436"/>
      <c r="AH643" s="436"/>
      <c r="AI643" s="436"/>
      <c r="AJ643" s="436"/>
      <c r="AK643" s="436"/>
      <c r="AL643" s="436"/>
      <c r="AN643" s="495"/>
    </row>
    <row r="644" spans="1:42" s="449" customFormat="1" ht="12.75" customHeight="1">
      <c r="A644" s="535"/>
      <c r="B644" s="514"/>
      <c r="C644" s="830"/>
      <c r="D644" s="559"/>
      <c r="E644" s="2430"/>
      <c r="F644" s="2430"/>
      <c r="G644" s="2430"/>
      <c r="H644" s="2430"/>
      <c r="I644" s="2430"/>
      <c r="J644" s="2430"/>
      <c r="K644" s="2430"/>
      <c r="L644" s="2430"/>
      <c r="M644" s="2430"/>
      <c r="N644" s="2430"/>
      <c r="O644" s="2430"/>
      <c r="P644" s="2430"/>
      <c r="Q644" s="2430"/>
      <c r="R644" s="2430"/>
      <c r="S644" s="2430"/>
      <c r="T644" s="2430"/>
      <c r="U644" s="2430"/>
      <c r="V644" s="2430"/>
      <c r="W644" s="2430"/>
      <c r="X644" s="2430"/>
      <c r="Y644" s="2430"/>
      <c r="Z644" s="2430"/>
      <c r="AA644" s="2430"/>
      <c r="AB644" s="2430"/>
      <c r="AC644" s="2430"/>
      <c r="AD644" s="2430"/>
      <c r="AE644" s="514"/>
      <c r="AF644" s="514"/>
      <c r="AG644" s="514"/>
      <c r="AH644" s="514"/>
      <c r="AI644" s="514"/>
      <c r="AJ644" s="514"/>
      <c r="AK644" s="436"/>
      <c r="AL644" s="436"/>
      <c r="AN644" s="495"/>
    </row>
    <row r="645" spans="1:42" s="449" customFormat="1" ht="12.75" customHeight="1">
      <c r="B645" s="514"/>
      <c r="C645" s="830"/>
      <c r="D645" s="559"/>
      <c r="E645" s="2430"/>
      <c r="F645" s="2430"/>
      <c r="G645" s="2430"/>
      <c r="H645" s="2430"/>
      <c r="I645" s="2430"/>
      <c r="J645" s="2430"/>
      <c r="K645" s="2430"/>
      <c r="L645" s="2430"/>
      <c r="M645" s="2430"/>
      <c r="N645" s="2430"/>
      <c r="O645" s="2430"/>
      <c r="P645" s="2430"/>
      <c r="Q645" s="2430"/>
      <c r="R645" s="2430"/>
      <c r="S645" s="2430"/>
      <c r="T645" s="2430"/>
      <c r="U645" s="2430"/>
      <c r="V645" s="2430"/>
      <c r="W645" s="2430"/>
      <c r="X645" s="2430"/>
      <c r="Y645" s="2430"/>
      <c r="Z645" s="2430"/>
      <c r="AA645" s="2430"/>
      <c r="AB645" s="2430"/>
      <c r="AC645" s="2430"/>
      <c r="AD645" s="2430"/>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2496</v>
      </c>
      <c r="F647" s="831"/>
      <c r="G647" s="831"/>
      <c r="H647" s="831"/>
      <c r="I647" s="831"/>
      <c r="J647" s="831"/>
      <c r="K647" s="831"/>
      <c r="L647" s="831"/>
      <c r="M647" s="831"/>
      <c r="N647" s="831"/>
      <c r="O647" s="831"/>
      <c r="P647" s="831"/>
      <c r="Q647" s="831"/>
      <c r="R647" s="831"/>
      <c r="U647" s="831"/>
      <c r="V647" s="831"/>
      <c r="W647" s="831"/>
      <c r="X647" s="2364" t="s">
        <v>822</v>
      </c>
      <c r="Y647" s="236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52" t="s">
        <v>2498</v>
      </c>
      <c r="AG649" s="2352"/>
      <c r="AH649" s="2352"/>
      <c r="AI649" s="2352"/>
      <c r="AJ649" s="2352"/>
      <c r="AK649" s="2352"/>
      <c r="AL649" s="235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2468</v>
      </c>
      <c r="AP650" s="576">
        <v>4</v>
      </c>
    </row>
    <row r="651" spans="1:42" s="449" customFormat="1" ht="12.75" customHeight="1">
      <c r="B651" s="436"/>
      <c r="C651" s="821"/>
      <c r="D651" s="436" t="s">
        <v>2484</v>
      </c>
      <c r="E651" s="826"/>
      <c r="F651" s="826"/>
      <c r="G651" s="826"/>
      <c r="H651" s="2431" t="s">
        <v>22</v>
      </c>
      <c r="I651" s="243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2500</v>
      </c>
      <c r="AJ653" s="2377">
        <f>VLOOKUP($H$651,$AO$618:$AP$620,2,FALSE)</f>
        <v>3</v>
      </c>
      <c r="AK653" s="2379"/>
      <c r="AL653" s="493"/>
      <c r="AN653" s="495"/>
      <c r="AO653" s="509" t="s">
        <v>2501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69" t="s">
        <v>2503</v>
      </c>
      <c r="F657" s="2369"/>
      <c r="G657" s="2369"/>
      <c r="H657" s="2369"/>
      <c r="I657" s="2369"/>
      <c r="J657" s="2369"/>
      <c r="K657" s="2369"/>
      <c r="L657" s="2369"/>
      <c r="M657" s="2369"/>
      <c r="N657" s="2369"/>
      <c r="O657" s="2369"/>
      <c r="P657" s="2369"/>
      <c r="Q657" s="2369"/>
      <c r="R657" s="2369"/>
      <c r="S657" s="2369"/>
      <c r="T657" s="2369"/>
      <c r="U657" s="2369"/>
      <c r="V657" s="2369"/>
      <c r="W657" s="2369"/>
      <c r="X657" s="2369"/>
      <c r="Y657" s="2369"/>
      <c r="Z657" s="2369"/>
      <c r="AA657" s="2369"/>
      <c r="AB657" s="2369"/>
      <c r="AC657" s="2369"/>
      <c r="AD657" s="2369"/>
      <c r="AE657" s="436"/>
      <c r="AF657" s="2352" t="s">
        <v>2210</v>
      </c>
      <c r="AG657" s="2352"/>
      <c r="AH657" s="2352"/>
      <c r="AI657" s="2352"/>
      <c r="AJ657" s="2352"/>
      <c r="AK657" s="2352"/>
      <c r="AL657" s="2352"/>
      <c r="AN657" s="495"/>
    </row>
    <row r="658" spans="1:42" s="449" customFormat="1" ht="12.75" customHeight="1">
      <c r="B658" s="436"/>
      <c r="C658" s="436"/>
      <c r="D658" s="559"/>
      <c r="E658" s="2369"/>
      <c r="F658" s="2369"/>
      <c r="G658" s="2369"/>
      <c r="H658" s="2369"/>
      <c r="I658" s="2369"/>
      <c r="J658" s="2369"/>
      <c r="K658" s="2369"/>
      <c r="L658" s="2369"/>
      <c r="M658" s="2369"/>
      <c r="N658" s="2369"/>
      <c r="O658" s="2369"/>
      <c r="P658" s="2369"/>
      <c r="Q658" s="2369"/>
      <c r="R658" s="2369"/>
      <c r="S658" s="2369"/>
      <c r="T658" s="2369"/>
      <c r="U658" s="2369"/>
      <c r="V658" s="2369"/>
      <c r="W658" s="2369"/>
      <c r="X658" s="2369"/>
      <c r="Y658" s="2369"/>
      <c r="Z658" s="2369"/>
      <c r="AA658" s="2369"/>
      <c r="AB658" s="2369"/>
      <c r="AC658" s="2369"/>
      <c r="AD658" s="236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52" t="s">
        <v>2498</v>
      </c>
      <c r="AG660" s="2352"/>
      <c r="AH660" s="2352"/>
      <c r="AI660" s="2352"/>
      <c r="AJ660" s="2352"/>
      <c r="AK660" s="2352"/>
      <c r="AL660" s="2352"/>
      <c r="AN660" s="495"/>
    </row>
    <row r="661" spans="1:42" s="449" customFormat="1" ht="12.75" customHeight="1">
      <c r="B661" s="436"/>
      <c r="C661" s="821"/>
      <c r="D661" s="559"/>
      <c r="E661" s="514" t="s">
        <v>2505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2484</v>
      </c>
      <c r="E663" s="826"/>
      <c r="F663" s="826"/>
      <c r="G663" s="826"/>
      <c r="H663" s="2431" t="s">
        <v>22</v>
      </c>
      <c r="I663" s="243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2506</v>
      </c>
      <c r="AJ665" s="2377">
        <f>VLOOKUP(H663,AT618:AU620,2,FALSE)</f>
        <v>3</v>
      </c>
      <c r="AK665" s="2379"/>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69" t="s">
        <v>2509</v>
      </c>
      <c r="F670" s="2369"/>
      <c r="G670" s="2369"/>
      <c r="H670" s="2369"/>
      <c r="I670" s="2369"/>
      <c r="J670" s="2369"/>
      <c r="K670" s="2369"/>
      <c r="L670" s="2369"/>
      <c r="M670" s="2369"/>
      <c r="N670" s="2369"/>
      <c r="O670" s="2369"/>
      <c r="P670" s="2369"/>
      <c r="Q670" s="2369"/>
      <c r="R670" s="2369"/>
      <c r="S670" s="2369"/>
      <c r="T670" s="2369"/>
      <c r="U670" s="2369"/>
      <c r="V670" s="2369"/>
      <c r="W670" s="2369"/>
      <c r="X670" s="2369"/>
      <c r="Y670" s="2369"/>
      <c r="Z670" s="2369"/>
      <c r="AA670" s="2369"/>
      <c r="AB670" s="2369"/>
      <c r="AC670" s="2369"/>
      <c r="AD670" s="436"/>
      <c r="AE670" s="436"/>
      <c r="AF670" s="2352" t="s">
        <v>2470</v>
      </c>
      <c r="AG670" s="2352"/>
      <c r="AH670" s="2352"/>
      <c r="AI670" s="2352"/>
      <c r="AJ670" s="2352"/>
      <c r="AK670" s="2352"/>
      <c r="AL670" s="2352"/>
      <c r="AN670" s="495"/>
    </row>
    <row r="671" spans="1:42" s="449" customFormat="1" ht="12.75" customHeight="1">
      <c r="B671" s="436"/>
      <c r="C671" s="439"/>
      <c r="D671" s="436"/>
      <c r="E671" s="2369"/>
      <c r="F671" s="2369"/>
      <c r="G671" s="2369"/>
      <c r="H671" s="2369"/>
      <c r="I671" s="2369"/>
      <c r="J671" s="2369"/>
      <c r="K671" s="2369"/>
      <c r="L671" s="2369"/>
      <c r="M671" s="2369"/>
      <c r="N671" s="2369"/>
      <c r="O671" s="2369"/>
      <c r="P671" s="2369"/>
      <c r="Q671" s="2369"/>
      <c r="R671" s="2369"/>
      <c r="S671" s="2369"/>
      <c r="T671" s="2369"/>
      <c r="U671" s="2369"/>
      <c r="V671" s="2369"/>
      <c r="W671" s="2369"/>
      <c r="X671" s="2369"/>
      <c r="Y671" s="2369"/>
      <c r="Z671" s="2369"/>
      <c r="AA671" s="2369"/>
      <c r="AB671" s="2369"/>
      <c r="AC671" s="2369"/>
      <c r="AD671" s="436"/>
      <c r="AE671" s="436"/>
      <c r="AF671" s="436"/>
      <c r="AG671" s="436"/>
      <c r="AH671" s="436"/>
      <c r="AI671" s="436"/>
      <c r="AJ671" s="436"/>
      <c r="AK671" s="436"/>
      <c r="AL671" s="436"/>
      <c r="AN671" s="495"/>
    </row>
    <row r="672" spans="1:42" s="449" customFormat="1" ht="12.75" customHeight="1">
      <c r="B672" s="436"/>
      <c r="C672" s="439"/>
      <c r="D672" s="559"/>
      <c r="E672" s="2369"/>
      <c r="F672" s="2369"/>
      <c r="G672" s="2369"/>
      <c r="H672" s="2369"/>
      <c r="I672" s="2369"/>
      <c r="J672" s="2369"/>
      <c r="K672" s="2369"/>
      <c r="L672" s="2369"/>
      <c r="M672" s="2369"/>
      <c r="N672" s="2369"/>
      <c r="O672" s="2369"/>
      <c r="P672" s="2369"/>
      <c r="Q672" s="2369"/>
      <c r="R672" s="2369"/>
      <c r="S672" s="2369"/>
      <c r="T672" s="2369"/>
      <c r="U672" s="2369"/>
      <c r="V672" s="2369"/>
      <c r="W672" s="2369"/>
      <c r="X672" s="2369"/>
      <c r="Y672" s="2369"/>
      <c r="Z672" s="2369"/>
      <c r="AA672" s="2369"/>
      <c r="AB672" s="2369"/>
      <c r="AC672" s="236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69" t="s">
        <v>2510</v>
      </c>
      <c r="F674" s="2369"/>
      <c r="G674" s="2369"/>
      <c r="H674" s="2369"/>
      <c r="I674" s="2369"/>
      <c r="J674" s="2369"/>
      <c r="K674" s="2369"/>
      <c r="L674" s="2369"/>
      <c r="M674" s="2369"/>
      <c r="N674" s="2369"/>
      <c r="O674" s="2369"/>
      <c r="P674" s="2369"/>
      <c r="Q674" s="2369"/>
      <c r="R674" s="2369"/>
      <c r="S674" s="2369"/>
      <c r="T674" s="2369"/>
      <c r="U674" s="2369"/>
      <c r="V674" s="2369"/>
      <c r="W674" s="2369"/>
      <c r="X674" s="2369"/>
      <c r="Y674" s="2369"/>
      <c r="Z674" s="2369"/>
      <c r="AA674" s="2369"/>
      <c r="AB674" s="2369"/>
      <c r="AC674" s="2369"/>
      <c r="AD674" s="436"/>
      <c r="AE674" s="436"/>
      <c r="AF674" s="2352" t="s">
        <v>2476</v>
      </c>
      <c r="AG674" s="2352"/>
      <c r="AH674" s="2352"/>
      <c r="AI674" s="2352"/>
      <c r="AJ674" s="2352"/>
      <c r="AK674" s="2352"/>
      <c r="AL674" s="2352"/>
      <c r="AN674" s="495"/>
    </row>
    <row r="675" spans="1:42" s="449" customFormat="1" ht="12.75" customHeight="1">
      <c r="B675" s="436"/>
      <c r="C675" s="439"/>
      <c r="D675" s="436"/>
      <c r="E675" s="2369"/>
      <c r="F675" s="2369"/>
      <c r="G675" s="2369"/>
      <c r="H675" s="2369"/>
      <c r="I675" s="2369"/>
      <c r="J675" s="2369"/>
      <c r="K675" s="2369"/>
      <c r="L675" s="2369"/>
      <c r="M675" s="2369"/>
      <c r="N675" s="2369"/>
      <c r="O675" s="2369"/>
      <c r="P675" s="2369"/>
      <c r="Q675" s="2369"/>
      <c r="R675" s="2369"/>
      <c r="S675" s="2369"/>
      <c r="T675" s="2369"/>
      <c r="U675" s="2369"/>
      <c r="V675" s="2369"/>
      <c r="W675" s="2369"/>
      <c r="X675" s="2369"/>
      <c r="Y675" s="2369"/>
      <c r="Z675" s="2369"/>
      <c r="AA675" s="2369"/>
      <c r="AB675" s="2369"/>
      <c r="AC675" s="2369"/>
      <c r="AD675" s="436"/>
      <c r="AE675" s="436"/>
      <c r="AF675" s="436"/>
      <c r="AG675" s="436"/>
      <c r="AH675" s="436"/>
      <c r="AI675" s="436"/>
      <c r="AJ675" s="436"/>
      <c r="AK675" s="436"/>
      <c r="AL675" s="436"/>
      <c r="AN675" s="495"/>
    </row>
    <row r="676" spans="1:42" s="449" customFormat="1" ht="15" customHeight="1">
      <c r="B676" s="436"/>
      <c r="C676" s="439"/>
      <c r="D676" s="559"/>
      <c r="E676" s="2369"/>
      <c r="F676" s="2369"/>
      <c r="G676" s="2369"/>
      <c r="H676" s="2369"/>
      <c r="I676" s="2369"/>
      <c r="J676" s="2369"/>
      <c r="K676" s="2369"/>
      <c r="L676" s="2369"/>
      <c r="M676" s="2369"/>
      <c r="N676" s="2369"/>
      <c r="O676" s="2369"/>
      <c r="P676" s="2369"/>
      <c r="Q676" s="2369"/>
      <c r="R676" s="2369"/>
      <c r="S676" s="2369"/>
      <c r="T676" s="2369"/>
      <c r="U676" s="2369"/>
      <c r="V676" s="2369"/>
      <c r="W676" s="2369"/>
      <c r="X676" s="2369"/>
      <c r="Y676" s="2369"/>
      <c r="Z676" s="2369"/>
      <c r="AA676" s="2369"/>
      <c r="AB676" s="2369"/>
      <c r="AC676" s="236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69" t="s">
        <v>2511</v>
      </c>
      <c r="F678" s="2369"/>
      <c r="G678" s="2369"/>
      <c r="H678" s="2369"/>
      <c r="I678" s="2369"/>
      <c r="J678" s="2369"/>
      <c r="K678" s="2369"/>
      <c r="L678" s="2369"/>
      <c r="M678" s="2369"/>
      <c r="N678" s="2369"/>
      <c r="O678" s="2369"/>
      <c r="P678" s="2369"/>
      <c r="Q678" s="2369"/>
      <c r="R678" s="2369"/>
      <c r="S678" s="2369"/>
      <c r="T678" s="2369"/>
      <c r="U678" s="2369"/>
      <c r="V678" s="2369"/>
      <c r="W678" s="2369"/>
      <c r="X678" s="2369"/>
      <c r="Y678" s="2369"/>
      <c r="Z678" s="2369"/>
      <c r="AA678" s="2369"/>
      <c r="AB678" s="2369"/>
      <c r="AC678" s="2369"/>
      <c r="AD678" s="436"/>
      <c r="AE678" s="436"/>
      <c r="AF678" s="2352" t="s">
        <v>2210</v>
      </c>
      <c r="AG678" s="2352"/>
      <c r="AH678" s="2352"/>
      <c r="AI678" s="2352"/>
      <c r="AJ678" s="2352"/>
      <c r="AK678" s="2352"/>
      <c r="AL678" s="2352"/>
      <c r="AN678" s="495"/>
    </row>
    <row r="679" spans="1:42" s="449" customFormat="1" ht="12.75" customHeight="1">
      <c r="B679" s="436"/>
      <c r="C679" s="821"/>
      <c r="D679" s="436"/>
      <c r="E679" s="2369"/>
      <c r="F679" s="2369"/>
      <c r="G679" s="2369"/>
      <c r="H679" s="2369"/>
      <c r="I679" s="2369"/>
      <c r="J679" s="2369"/>
      <c r="K679" s="2369"/>
      <c r="L679" s="2369"/>
      <c r="M679" s="2369"/>
      <c r="N679" s="2369"/>
      <c r="O679" s="2369"/>
      <c r="P679" s="2369"/>
      <c r="Q679" s="2369"/>
      <c r="R679" s="2369"/>
      <c r="S679" s="2369"/>
      <c r="T679" s="2369"/>
      <c r="U679" s="2369"/>
      <c r="V679" s="2369"/>
      <c r="W679" s="2369"/>
      <c r="X679" s="2369"/>
      <c r="Y679" s="2369"/>
      <c r="Z679" s="2369"/>
      <c r="AA679" s="2369"/>
      <c r="AB679" s="2369"/>
      <c r="AC679" s="2369"/>
      <c r="AD679" s="436"/>
      <c r="AE679" s="2352"/>
      <c r="AF679" s="2352"/>
      <c r="AG679" s="2352"/>
      <c r="AH679" s="2352"/>
      <c r="AI679" s="2352"/>
      <c r="AJ679" s="2352"/>
      <c r="AK679" s="2352"/>
      <c r="AL679" s="492"/>
      <c r="AN679" s="495"/>
      <c r="AO679" s="449" t="s">
        <v>822</v>
      </c>
      <c r="AP679" s="569">
        <v>0</v>
      </c>
    </row>
    <row r="680" spans="1:42" s="449" customFormat="1" ht="12.75" customHeight="1">
      <c r="A680" s="575"/>
      <c r="B680" s="436"/>
      <c r="C680" s="436"/>
      <c r="D680" s="559"/>
      <c r="E680" s="2369"/>
      <c r="F680" s="2369"/>
      <c r="G680" s="2369"/>
      <c r="H680" s="2369"/>
      <c r="I680" s="2369"/>
      <c r="J680" s="2369"/>
      <c r="K680" s="2369"/>
      <c r="L680" s="2369"/>
      <c r="M680" s="2369"/>
      <c r="N680" s="2369"/>
      <c r="O680" s="2369"/>
      <c r="P680" s="2369"/>
      <c r="Q680" s="2369"/>
      <c r="R680" s="2369"/>
      <c r="S680" s="2369"/>
      <c r="T680" s="2369"/>
      <c r="U680" s="2369"/>
      <c r="V680" s="2369"/>
      <c r="W680" s="2369"/>
      <c r="X680" s="2369"/>
      <c r="Y680" s="2369"/>
      <c r="Z680" s="2369"/>
      <c r="AA680" s="2369"/>
      <c r="AB680" s="2369"/>
      <c r="AC680" s="236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2468</v>
      </c>
      <c r="E682" s="2369" t="s">
        <v>2512</v>
      </c>
      <c r="F682" s="2369"/>
      <c r="G682" s="2369"/>
      <c r="H682" s="2369"/>
      <c r="I682" s="2369"/>
      <c r="J682" s="2369"/>
      <c r="K682" s="2369"/>
      <c r="L682" s="2369"/>
      <c r="M682" s="2369"/>
      <c r="N682" s="2369"/>
      <c r="O682" s="2369"/>
      <c r="P682" s="2369"/>
      <c r="Q682" s="2369"/>
      <c r="R682" s="2369"/>
      <c r="S682" s="2369"/>
      <c r="T682" s="2369"/>
      <c r="U682" s="2369"/>
      <c r="V682" s="2369"/>
      <c r="W682" s="2369"/>
      <c r="X682" s="2369"/>
      <c r="Y682" s="2369"/>
      <c r="Z682" s="2369"/>
      <c r="AA682" s="2369"/>
      <c r="AB682" s="2369"/>
      <c r="AC682" s="2369"/>
      <c r="AD682" s="436"/>
      <c r="AE682" s="436"/>
      <c r="AF682" s="2352" t="s">
        <v>2476</v>
      </c>
      <c r="AG682" s="2352"/>
      <c r="AH682" s="2352"/>
      <c r="AI682" s="2352"/>
      <c r="AJ682" s="2352"/>
      <c r="AK682" s="2352"/>
      <c r="AL682" s="2352"/>
      <c r="AN682" s="495"/>
    </row>
    <row r="683" spans="1:42" s="449" customFormat="1" ht="12.75" customHeight="1">
      <c r="A683" s="566"/>
      <c r="B683" s="436"/>
      <c r="C683" s="837"/>
      <c r="D683" s="559"/>
      <c r="E683" s="2369"/>
      <c r="F683" s="2369"/>
      <c r="G683" s="2369"/>
      <c r="H683" s="2369"/>
      <c r="I683" s="2369"/>
      <c r="J683" s="2369"/>
      <c r="K683" s="2369"/>
      <c r="L683" s="2369"/>
      <c r="M683" s="2369"/>
      <c r="N683" s="2369"/>
      <c r="O683" s="2369"/>
      <c r="P683" s="2369"/>
      <c r="Q683" s="2369"/>
      <c r="R683" s="2369"/>
      <c r="S683" s="2369"/>
      <c r="T683" s="2369"/>
      <c r="U683" s="2369"/>
      <c r="V683" s="2369"/>
      <c r="W683" s="2369"/>
      <c r="X683" s="2369"/>
      <c r="Y683" s="2369"/>
      <c r="Z683" s="2369"/>
      <c r="AA683" s="2369"/>
      <c r="AB683" s="2369"/>
      <c r="AC683" s="236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69"/>
      <c r="F684" s="2369"/>
      <c r="G684" s="2369"/>
      <c r="H684" s="2369"/>
      <c r="I684" s="2369"/>
      <c r="J684" s="2369"/>
      <c r="K684" s="2369"/>
      <c r="L684" s="2369"/>
      <c r="M684" s="2369"/>
      <c r="N684" s="2369"/>
      <c r="O684" s="2369"/>
      <c r="P684" s="2369"/>
      <c r="Q684" s="2369"/>
      <c r="R684" s="2369"/>
      <c r="S684" s="2369"/>
      <c r="T684" s="2369"/>
      <c r="U684" s="2369"/>
      <c r="V684" s="2369"/>
      <c r="W684" s="2369"/>
      <c r="X684" s="2369"/>
      <c r="Y684" s="2369"/>
      <c r="Z684" s="2369"/>
      <c r="AA684" s="2369"/>
      <c r="AB684" s="2369"/>
      <c r="AC684" s="236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2471</v>
      </c>
      <c r="E686" s="2369" t="s">
        <v>2513</v>
      </c>
      <c r="F686" s="2369"/>
      <c r="G686" s="2369"/>
      <c r="H686" s="2369"/>
      <c r="I686" s="2369"/>
      <c r="J686" s="2369"/>
      <c r="K686" s="2369"/>
      <c r="L686" s="2369"/>
      <c r="M686" s="2369"/>
      <c r="N686" s="2369"/>
      <c r="O686" s="2369"/>
      <c r="P686" s="2369"/>
      <c r="Q686" s="2369"/>
      <c r="R686" s="2369"/>
      <c r="S686" s="2369"/>
      <c r="T686" s="2369"/>
      <c r="U686" s="2369"/>
      <c r="V686" s="2369"/>
      <c r="W686" s="2369"/>
      <c r="X686" s="2369"/>
      <c r="Y686" s="2369"/>
      <c r="Z686" s="2369"/>
      <c r="AA686" s="2369"/>
      <c r="AB686" s="2369"/>
      <c r="AC686" s="2369"/>
      <c r="AD686" s="436"/>
      <c r="AE686" s="436"/>
      <c r="AF686" s="2352" t="s">
        <v>2210</v>
      </c>
      <c r="AG686" s="2352"/>
      <c r="AH686" s="2352"/>
      <c r="AI686" s="2352"/>
      <c r="AJ686" s="2352"/>
      <c r="AK686" s="2352"/>
      <c r="AL686" s="2352"/>
      <c r="AM686" s="494"/>
      <c r="AN686" s="495"/>
    </row>
    <row r="687" spans="1:42" s="449" customFormat="1" ht="12.75" customHeight="1">
      <c r="B687" s="436"/>
      <c r="C687" s="821"/>
      <c r="D687" s="559"/>
      <c r="E687" s="2369"/>
      <c r="F687" s="2369"/>
      <c r="G687" s="2369"/>
      <c r="H687" s="2369"/>
      <c r="I687" s="2369"/>
      <c r="J687" s="2369"/>
      <c r="K687" s="2369"/>
      <c r="L687" s="2369"/>
      <c r="M687" s="2369"/>
      <c r="N687" s="2369"/>
      <c r="O687" s="2369"/>
      <c r="P687" s="2369"/>
      <c r="Q687" s="2369"/>
      <c r="R687" s="2369"/>
      <c r="S687" s="2369"/>
      <c r="T687" s="2369"/>
      <c r="U687" s="2369"/>
      <c r="V687" s="2369"/>
      <c r="W687" s="2369"/>
      <c r="X687" s="2369"/>
      <c r="Y687" s="2369"/>
      <c r="Z687" s="2369"/>
      <c r="AA687" s="2369"/>
      <c r="AB687" s="2369"/>
      <c r="AC687" s="2369"/>
      <c r="AD687" s="436"/>
      <c r="AE687" s="436"/>
      <c r="AF687" s="436"/>
      <c r="AG687" s="436"/>
      <c r="AH687" s="436"/>
      <c r="AI687" s="436"/>
      <c r="AJ687" s="436"/>
      <c r="AK687" s="436"/>
      <c r="AL687" s="436"/>
      <c r="AM687" s="494"/>
      <c r="AN687" s="495"/>
    </row>
    <row r="688" spans="1:42" s="449" customFormat="1" ht="12.75" customHeight="1">
      <c r="B688" s="436"/>
      <c r="C688" s="821"/>
      <c r="D688" s="559"/>
      <c r="E688" s="2369"/>
      <c r="F688" s="2369"/>
      <c r="G688" s="2369"/>
      <c r="H688" s="2369"/>
      <c r="I688" s="2369"/>
      <c r="J688" s="2369"/>
      <c r="K688" s="2369"/>
      <c r="L688" s="2369"/>
      <c r="M688" s="2369"/>
      <c r="N688" s="2369"/>
      <c r="O688" s="2369"/>
      <c r="P688" s="2369"/>
      <c r="Q688" s="2369"/>
      <c r="R688" s="2369"/>
      <c r="S688" s="2369"/>
      <c r="T688" s="2369"/>
      <c r="U688" s="2369"/>
      <c r="V688" s="2369"/>
      <c r="W688" s="2369"/>
      <c r="X688" s="2369"/>
      <c r="Y688" s="2369"/>
      <c r="Z688" s="2369"/>
      <c r="AA688" s="2369"/>
      <c r="AB688" s="2369"/>
      <c r="AC688" s="236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2499</v>
      </c>
      <c r="E690" s="2369" t="s">
        <v>2514</v>
      </c>
      <c r="F690" s="2369"/>
      <c r="G690" s="2369"/>
      <c r="H690" s="2369"/>
      <c r="I690" s="2369"/>
      <c r="J690" s="2369"/>
      <c r="K690" s="2369"/>
      <c r="L690" s="2369"/>
      <c r="M690" s="2369"/>
      <c r="N690" s="2369"/>
      <c r="O690" s="2369"/>
      <c r="P690" s="2369"/>
      <c r="Q690" s="2369"/>
      <c r="R690" s="2369"/>
      <c r="S690" s="2369"/>
      <c r="T690" s="2369"/>
      <c r="U690" s="2369"/>
      <c r="V690" s="2369"/>
      <c r="W690" s="2369"/>
      <c r="X690" s="2369"/>
      <c r="Y690" s="2369"/>
      <c r="Z690" s="2369"/>
      <c r="AA690" s="2369"/>
      <c r="AB690" s="2369"/>
      <c r="AC690" s="2369"/>
      <c r="AD690" s="436"/>
      <c r="AE690" s="436"/>
      <c r="AF690" s="2352" t="s">
        <v>2498</v>
      </c>
      <c r="AG690" s="2352"/>
      <c r="AH690" s="2352"/>
      <c r="AI690" s="2352"/>
      <c r="AJ690" s="2352"/>
      <c r="AK690" s="2352"/>
      <c r="AL690" s="2352"/>
      <c r="AM690" s="494"/>
      <c r="AN690" s="495"/>
    </row>
    <row r="691" spans="1:50" s="449" customFormat="1" ht="12.75" customHeight="1">
      <c r="A691" s="575"/>
      <c r="B691" s="436"/>
      <c r="C691" s="821"/>
      <c r="D691" s="559"/>
      <c r="E691" s="2369"/>
      <c r="F691" s="2369"/>
      <c r="G691" s="2369"/>
      <c r="H691" s="2369"/>
      <c r="I691" s="2369"/>
      <c r="J691" s="2369"/>
      <c r="K691" s="2369"/>
      <c r="L691" s="2369"/>
      <c r="M691" s="2369"/>
      <c r="N691" s="2369"/>
      <c r="O691" s="2369"/>
      <c r="P691" s="2369"/>
      <c r="Q691" s="2369"/>
      <c r="R691" s="2369"/>
      <c r="S691" s="2369"/>
      <c r="T691" s="2369"/>
      <c r="U691" s="2369"/>
      <c r="V691" s="2369"/>
      <c r="W691" s="2369"/>
      <c r="X691" s="2369"/>
      <c r="Y691" s="2369"/>
      <c r="Z691" s="2369"/>
      <c r="AA691" s="2369"/>
      <c r="AB691" s="2369"/>
      <c r="AC691" s="236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69"/>
      <c r="F692" s="2369"/>
      <c r="G692" s="2369"/>
      <c r="H692" s="2369"/>
      <c r="I692" s="2369"/>
      <c r="J692" s="2369"/>
      <c r="K692" s="2369"/>
      <c r="L692" s="2369"/>
      <c r="M692" s="2369"/>
      <c r="N692" s="2369"/>
      <c r="O692" s="2369"/>
      <c r="P692" s="2369"/>
      <c r="Q692" s="2369"/>
      <c r="R692" s="2369"/>
      <c r="S692" s="2369"/>
      <c r="T692" s="2369"/>
      <c r="U692" s="2369"/>
      <c r="V692" s="2369"/>
      <c r="W692" s="2369"/>
      <c r="X692" s="2369"/>
      <c r="Y692" s="2369"/>
      <c r="Z692" s="2369"/>
      <c r="AA692" s="2369"/>
      <c r="AB692" s="2369"/>
      <c r="AC692" s="236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2501</v>
      </c>
      <c r="E694" s="2369" t="s">
        <v>2515</v>
      </c>
      <c r="F694" s="2369"/>
      <c r="G694" s="2369"/>
      <c r="H694" s="2369"/>
      <c r="I694" s="2369"/>
      <c r="J694" s="2369"/>
      <c r="K694" s="2369"/>
      <c r="L694" s="2369"/>
      <c r="M694" s="2369"/>
      <c r="N694" s="2369"/>
      <c r="O694" s="2369"/>
      <c r="P694" s="2369"/>
      <c r="Q694" s="2369"/>
      <c r="R694" s="2369"/>
      <c r="S694" s="2369"/>
      <c r="T694" s="2369"/>
      <c r="U694" s="2369"/>
      <c r="V694" s="2369"/>
      <c r="W694" s="2369"/>
      <c r="X694" s="2369"/>
      <c r="Y694" s="2369"/>
      <c r="Z694" s="2369"/>
      <c r="AA694" s="2369"/>
      <c r="AB694" s="2369"/>
      <c r="AC694" s="2369"/>
      <c r="AD694" s="436"/>
      <c r="AE694" s="436"/>
      <c r="AF694" s="2352" t="s">
        <v>2516</v>
      </c>
      <c r="AG694" s="2352"/>
      <c r="AH694" s="2352"/>
      <c r="AI694" s="2352"/>
      <c r="AJ694" s="2352"/>
      <c r="AK694" s="2352"/>
      <c r="AL694" s="2352"/>
      <c r="AM694" s="494"/>
      <c r="AN694" s="495"/>
      <c r="AO694" s="509" t="s">
        <v>22</v>
      </c>
      <c r="AP694" s="449">
        <v>3</v>
      </c>
    </row>
    <row r="695" spans="1:50" s="449" customFormat="1" ht="12.75" customHeight="1">
      <c r="A695" s="575"/>
      <c r="B695" s="436"/>
      <c r="C695" s="821"/>
      <c r="D695" s="559"/>
      <c r="E695" s="2369"/>
      <c r="F695" s="2369"/>
      <c r="G695" s="2369"/>
      <c r="H695" s="2369"/>
      <c r="I695" s="2369"/>
      <c r="J695" s="2369"/>
      <c r="K695" s="2369"/>
      <c r="L695" s="2369"/>
      <c r="M695" s="2369"/>
      <c r="N695" s="2369"/>
      <c r="O695" s="2369"/>
      <c r="P695" s="2369"/>
      <c r="Q695" s="2369"/>
      <c r="R695" s="2369"/>
      <c r="S695" s="2369"/>
      <c r="T695" s="2369"/>
      <c r="U695" s="2369"/>
      <c r="V695" s="2369"/>
      <c r="W695" s="2369"/>
      <c r="X695" s="2369"/>
      <c r="Y695" s="2369"/>
      <c r="Z695" s="2369"/>
      <c r="AA695" s="2369"/>
      <c r="AB695" s="2369"/>
      <c r="AC695" s="236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69"/>
      <c r="F696" s="2369"/>
      <c r="G696" s="2369"/>
      <c r="H696" s="2369"/>
      <c r="I696" s="2369"/>
      <c r="J696" s="2369"/>
      <c r="K696" s="2369"/>
      <c r="L696" s="2369"/>
      <c r="M696" s="2369"/>
      <c r="N696" s="2369"/>
      <c r="O696" s="2369"/>
      <c r="P696" s="2369"/>
      <c r="Q696" s="2369"/>
      <c r="R696" s="2369"/>
      <c r="S696" s="2369"/>
      <c r="T696" s="2369"/>
      <c r="U696" s="2369"/>
      <c r="V696" s="2369"/>
      <c r="W696" s="2369"/>
      <c r="X696" s="2369"/>
      <c r="Y696" s="2369"/>
      <c r="Z696" s="2369"/>
      <c r="AA696" s="2369"/>
      <c r="AB696" s="2369"/>
      <c r="AC696" s="236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2484</v>
      </c>
      <c r="E698" s="826"/>
      <c r="F698" s="826"/>
      <c r="G698" s="826"/>
      <c r="H698" s="2431" t="s">
        <v>822</v>
      </c>
      <c r="I698" s="243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2517</v>
      </c>
      <c r="AJ700" s="2377">
        <f>VLOOKUP($H$698,$AO$646:$AP$653,2,FALSE)</f>
        <v>0</v>
      </c>
      <c r="AK700" s="2379"/>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2519</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2520</v>
      </c>
      <c r="AX703" s="1035">
        <f>Application!G761</f>
        <v>83</v>
      </c>
    </row>
    <row r="704" spans="1:50" s="449" customFormat="1" ht="12.75" customHeight="1">
      <c r="A704" s="575"/>
      <c r="B704" s="436"/>
      <c r="C704" s="838"/>
      <c r="D704" s="559" t="s">
        <v>22</v>
      </c>
      <c r="E704" s="2438" t="s">
        <v>2521</v>
      </c>
      <c r="F704" s="2438"/>
      <c r="G704" s="2438"/>
      <c r="H704" s="2438"/>
      <c r="I704" s="2438"/>
      <c r="J704" s="2438"/>
      <c r="K704" s="2438"/>
      <c r="L704" s="2438"/>
      <c r="M704" s="2438"/>
      <c r="N704" s="2438"/>
      <c r="O704" s="2438"/>
      <c r="P704" s="2438"/>
      <c r="Q704" s="2438"/>
      <c r="R704" s="2438"/>
      <c r="S704" s="2438"/>
      <c r="T704" s="2438"/>
      <c r="U704" s="2438"/>
      <c r="V704" s="2438"/>
      <c r="W704" s="2438"/>
      <c r="X704" s="2438"/>
      <c r="Y704" s="2438"/>
      <c r="Z704" s="2438"/>
      <c r="AA704" s="2438"/>
      <c r="AB704" s="2438"/>
      <c r="AC704" s="436"/>
      <c r="AD704" s="436"/>
      <c r="AE704" s="436"/>
      <c r="AF704" s="2352" t="s">
        <v>2210</v>
      </c>
      <c r="AG704" s="2352"/>
      <c r="AH704" s="2352"/>
      <c r="AI704" s="2352"/>
      <c r="AJ704" s="2352"/>
      <c r="AK704" s="2352"/>
      <c r="AL704" s="2352"/>
      <c r="AN704" s="495"/>
      <c r="AW704" s="19" t="s">
        <v>2522</v>
      </c>
      <c r="AX704" s="449">
        <f>Application!DE761</f>
        <v>0</v>
      </c>
    </row>
    <row r="705" spans="1:51" s="449" customFormat="1" ht="12.75" customHeight="1">
      <c r="A705" s="575"/>
      <c r="B705" s="436"/>
      <c r="C705" s="838"/>
      <c r="D705" s="559"/>
      <c r="E705" s="2438"/>
      <c r="F705" s="2438"/>
      <c r="G705" s="2438"/>
      <c r="H705" s="2438"/>
      <c r="I705" s="2438"/>
      <c r="J705" s="2438"/>
      <c r="K705" s="2438"/>
      <c r="L705" s="2438"/>
      <c r="M705" s="2438"/>
      <c r="N705" s="2438"/>
      <c r="O705" s="2438"/>
      <c r="P705" s="2438"/>
      <c r="Q705" s="2438"/>
      <c r="R705" s="2438"/>
      <c r="S705" s="2438"/>
      <c r="T705" s="2438"/>
      <c r="U705" s="2438"/>
      <c r="V705" s="2438"/>
      <c r="W705" s="2438"/>
      <c r="X705" s="2438"/>
      <c r="Y705" s="2438"/>
      <c r="Z705" s="2438"/>
      <c r="AA705" s="2438"/>
      <c r="AB705" s="2438"/>
      <c r="AC705" s="436"/>
      <c r="AD705" s="436"/>
      <c r="AE705" s="436"/>
      <c r="AF705" s="436"/>
      <c r="AG705" s="436"/>
      <c r="AH705" s="436"/>
      <c r="AI705" s="436"/>
      <c r="AJ705" s="436"/>
      <c r="AK705" s="436"/>
      <c r="AL705" s="436"/>
      <c r="AN705" s="495"/>
      <c r="AW705" s="19" t="s">
        <v>2523</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2524</v>
      </c>
      <c r="AX706" s="449">
        <f>Application!DO761</f>
        <v>0</v>
      </c>
    </row>
    <row r="707" spans="1:51" s="449" customFormat="1" ht="12.75" customHeight="1">
      <c r="B707" s="436"/>
      <c r="C707" s="821"/>
      <c r="D707" s="559" t="s">
        <v>27</v>
      </c>
      <c r="E707" s="2369" t="s">
        <v>2525</v>
      </c>
      <c r="F707" s="2369"/>
      <c r="G707" s="2369"/>
      <c r="H707" s="2369"/>
      <c r="I707" s="2369"/>
      <c r="J707" s="2369"/>
      <c r="K707" s="2369"/>
      <c r="L707" s="2369"/>
      <c r="M707" s="2369"/>
      <c r="N707" s="2369"/>
      <c r="O707" s="2369"/>
      <c r="P707" s="2369"/>
      <c r="Q707" s="2369"/>
      <c r="R707" s="2369"/>
      <c r="S707" s="2369"/>
      <c r="T707" s="2369"/>
      <c r="U707" s="2369"/>
      <c r="V707" s="2369"/>
      <c r="W707" s="2369"/>
      <c r="X707" s="2369"/>
      <c r="Y707" s="2369"/>
      <c r="Z707" s="2369"/>
      <c r="AA707" s="2369"/>
      <c r="AB707" s="2369"/>
      <c r="AC707" s="436"/>
      <c r="AD707" s="436"/>
      <c r="AE707" s="436"/>
      <c r="AF707" s="2352" t="s">
        <v>2210</v>
      </c>
      <c r="AG707" s="2352"/>
      <c r="AH707" s="2352"/>
      <c r="AI707" s="2352"/>
      <c r="AJ707" s="2352"/>
      <c r="AK707" s="2352"/>
      <c r="AL707" s="2352"/>
      <c r="AN707" s="495"/>
      <c r="AW707" s="19" t="s">
        <v>2526</v>
      </c>
      <c r="AX707" s="449">
        <f>AX704+AX705+AX706</f>
        <v>0</v>
      </c>
    </row>
    <row r="708" spans="1:51" s="449" customFormat="1" ht="12.75" customHeight="1">
      <c r="B708" s="436"/>
      <c r="C708" s="830"/>
      <c r="D708" s="559"/>
      <c r="E708" s="2369"/>
      <c r="F708" s="2369"/>
      <c r="G708" s="2369"/>
      <c r="H708" s="2369"/>
      <c r="I708" s="2369"/>
      <c r="J708" s="2369"/>
      <c r="K708" s="2369"/>
      <c r="L708" s="2369"/>
      <c r="M708" s="2369"/>
      <c r="N708" s="2369"/>
      <c r="O708" s="2369"/>
      <c r="P708" s="2369"/>
      <c r="Q708" s="2369"/>
      <c r="R708" s="2369"/>
      <c r="S708" s="2369"/>
      <c r="T708" s="2369"/>
      <c r="U708" s="2369"/>
      <c r="V708" s="2369"/>
      <c r="W708" s="2369"/>
      <c r="X708" s="2369"/>
      <c r="Y708" s="2369"/>
      <c r="Z708" s="2369"/>
      <c r="AA708" s="2369"/>
      <c r="AB708" s="2369"/>
      <c r="AC708" s="436"/>
      <c r="AD708" s="436"/>
      <c r="AE708" s="514"/>
      <c r="AF708" s="436"/>
      <c r="AG708" s="436"/>
      <c r="AH708" s="436"/>
      <c r="AI708" s="436"/>
      <c r="AJ708" s="436"/>
      <c r="AK708" s="436"/>
      <c r="AL708" s="436"/>
      <c r="AN708" s="495"/>
      <c r="AO708" s="2437" t="b">
        <f>IF(Application!D211="Special Needs",IF(AY708&gt;=0.25,TRUE,FALSE),IF(AX708&gt;=0.25,TRUE,FALSE))</f>
        <v>0</v>
      </c>
      <c r="AP708" s="2437"/>
      <c r="AW708" s="19" t="s">
        <v>2527</v>
      </c>
      <c r="AX708" s="449">
        <f>IFERROR(AX707/AX703,0)</f>
        <v>0</v>
      </c>
      <c r="AY708" s="449">
        <f>IFERROR(AX707/(AX703-AX702),0)</f>
        <v>0</v>
      </c>
    </row>
    <row r="709" spans="1:51" s="449" customFormat="1" ht="12.75" customHeight="1">
      <c r="B709" s="436"/>
      <c r="C709" s="830"/>
      <c r="E709" s="2369"/>
      <c r="F709" s="2369"/>
      <c r="G709" s="2369"/>
      <c r="H709" s="2369"/>
      <c r="I709" s="2369"/>
      <c r="J709" s="2369"/>
      <c r="K709" s="2369"/>
      <c r="L709" s="2369"/>
      <c r="M709" s="2369"/>
      <c r="N709" s="2369"/>
      <c r="O709" s="2369"/>
      <c r="P709" s="2369"/>
      <c r="Q709" s="2369"/>
      <c r="R709" s="2369"/>
      <c r="S709" s="2369"/>
      <c r="T709" s="2369"/>
      <c r="U709" s="2369"/>
      <c r="V709" s="2369"/>
      <c r="W709" s="2369"/>
      <c r="X709" s="2369"/>
      <c r="Y709" s="2369"/>
      <c r="Z709" s="2369"/>
      <c r="AA709" s="2369"/>
      <c r="AB709" s="236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69"/>
      <c r="F710" s="2369"/>
      <c r="G710" s="2369"/>
      <c r="H710" s="2369"/>
      <c r="I710" s="2369"/>
      <c r="J710" s="2369"/>
      <c r="K710" s="2369"/>
      <c r="L710" s="2369"/>
      <c r="M710" s="2369"/>
      <c r="N710" s="2369"/>
      <c r="O710" s="2369"/>
      <c r="P710" s="2369"/>
      <c r="Q710" s="2369"/>
      <c r="R710" s="2369"/>
      <c r="S710" s="2369"/>
      <c r="T710" s="2369"/>
      <c r="U710" s="2369"/>
      <c r="V710" s="2369"/>
      <c r="W710" s="2369"/>
      <c r="X710" s="2369"/>
      <c r="Y710" s="2369"/>
      <c r="Z710" s="2369"/>
      <c r="AA710" s="2369"/>
      <c r="AB710" s="2369"/>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69" t="s">
        <v>2528</v>
      </c>
      <c r="F712" s="2369"/>
      <c r="G712" s="2369"/>
      <c r="H712" s="2369"/>
      <c r="I712" s="2369"/>
      <c r="J712" s="2369"/>
      <c r="K712" s="2369"/>
      <c r="L712" s="2369"/>
      <c r="M712" s="2369"/>
      <c r="N712" s="2369"/>
      <c r="O712" s="2369"/>
      <c r="P712" s="2369"/>
      <c r="Q712" s="2369"/>
      <c r="R712" s="2369"/>
      <c r="S712" s="2369"/>
      <c r="T712" s="2369"/>
      <c r="U712" s="2369"/>
      <c r="V712" s="2369"/>
      <c r="W712" s="2369"/>
      <c r="X712" s="2369"/>
      <c r="Y712" s="2369"/>
      <c r="Z712" s="2369"/>
      <c r="AA712" s="2369"/>
      <c r="AB712" s="2369"/>
      <c r="AC712" s="436"/>
      <c r="AD712" s="436"/>
      <c r="AE712" s="436"/>
      <c r="AF712" s="2352" t="s">
        <v>2498</v>
      </c>
      <c r="AG712" s="2352"/>
      <c r="AH712" s="2352"/>
      <c r="AI712" s="2352"/>
      <c r="AJ712" s="2352"/>
      <c r="AK712" s="2352"/>
      <c r="AL712" s="2352"/>
      <c r="AN712" s="495"/>
      <c r="AO712" s="509" t="s">
        <v>27</v>
      </c>
      <c r="AP712" s="449">
        <v>1</v>
      </c>
    </row>
    <row r="713" spans="1:51" s="449" customFormat="1" ht="12" customHeight="1">
      <c r="B713" s="436"/>
      <c r="C713" s="821"/>
      <c r="E713" s="2369"/>
      <c r="F713" s="2369"/>
      <c r="G713" s="2369"/>
      <c r="H713" s="2369"/>
      <c r="I713" s="2369"/>
      <c r="J713" s="2369"/>
      <c r="K713" s="2369"/>
      <c r="L713" s="2369"/>
      <c r="M713" s="2369"/>
      <c r="N713" s="2369"/>
      <c r="O713" s="2369"/>
      <c r="P713" s="2369"/>
      <c r="Q713" s="2369"/>
      <c r="R713" s="2369"/>
      <c r="S713" s="2369"/>
      <c r="T713" s="2369"/>
      <c r="U713" s="2369"/>
      <c r="V713" s="2369"/>
      <c r="W713" s="2369"/>
      <c r="X713" s="2369"/>
      <c r="Y713" s="2369"/>
      <c r="Z713" s="2369"/>
      <c r="AA713" s="2369"/>
      <c r="AB713" s="2369"/>
      <c r="AC713" s="436"/>
      <c r="AD713" s="436"/>
      <c r="AE713" s="514"/>
      <c r="AF713" s="436"/>
      <c r="AG713" s="436"/>
      <c r="AH713" s="436"/>
      <c r="AI713" s="436"/>
      <c r="AJ713" s="436"/>
      <c r="AK713" s="436"/>
      <c r="AL713" s="436"/>
      <c r="AN713" s="495"/>
    </row>
    <row r="714" spans="1:51" s="449" customFormat="1" ht="12" customHeight="1">
      <c r="B714" s="436"/>
      <c r="C714" s="821"/>
      <c r="D714" s="436"/>
      <c r="E714" s="2369"/>
      <c r="F714" s="2369"/>
      <c r="G714" s="2369"/>
      <c r="H714" s="2369"/>
      <c r="I714" s="2369"/>
      <c r="J714" s="2369"/>
      <c r="K714" s="2369"/>
      <c r="L714" s="2369"/>
      <c r="M714" s="2369"/>
      <c r="N714" s="2369"/>
      <c r="O714" s="2369"/>
      <c r="P714" s="2369"/>
      <c r="Q714" s="2369"/>
      <c r="R714" s="2369"/>
      <c r="S714" s="2369"/>
      <c r="T714" s="2369"/>
      <c r="U714" s="2369"/>
      <c r="V714" s="2369"/>
      <c r="W714" s="2369"/>
      <c r="X714" s="2369"/>
      <c r="Y714" s="2369"/>
      <c r="Z714" s="2369"/>
      <c r="AA714" s="2369"/>
      <c r="AB714" s="2369"/>
      <c r="AC714" s="436"/>
      <c r="AD714" s="436"/>
      <c r="AE714" s="514"/>
      <c r="AF714" s="436"/>
      <c r="AG714" s="436"/>
      <c r="AH714" s="436"/>
      <c r="AI714" s="436"/>
      <c r="AJ714" s="436"/>
      <c r="AK714" s="436"/>
      <c r="AL714" s="436"/>
      <c r="AN714" s="495"/>
    </row>
    <row r="715" spans="1:51" s="449" customFormat="1" ht="12" customHeight="1">
      <c r="B715" s="436"/>
      <c r="C715" s="821"/>
      <c r="D715" s="436"/>
      <c r="E715" s="2369"/>
      <c r="F715" s="2369"/>
      <c r="G715" s="2369"/>
      <c r="H715" s="2369"/>
      <c r="I715" s="2369"/>
      <c r="J715" s="2369"/>
      <c r="K715" s="2369"/>
      <c r="L715" s="2369"/>
      <c r="M715" s="2369"/>
      <c r="N715" s="2369"/>
      <c r="O715" s="2369"/>
      <c r="P715" s="2369"/>
      <c r="Q715" s="2369"/>
      <c r="R715" s="2369"/>
      <c r="S715" s="2369"/>
      <c r="T715" s="2369"/>
      <c r="U715" s="2369"/>
      <c r="V715" s="2369"/>
      <c r="W715" s="2369"/>
      <c r="X715" s="2369"/>
      <c r="Y715" s="2369"/>
      <c r="Z715" s="2369"/>
      <c r="AA715" s="2369"/>
      <c r="AB715" s="2369"/>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69"/>
      <c r="F716" s="2369"/>
      <c r="G716" s="2369"/>
      <c r="H716" s="2369"/>
      <c r="I716" s="2369"/>
      <c r="J716" s="2369"/>
      <c r="K716" s="2369"/>
      <c r="L716" s="2369"/>
      <c r="M716" s="2369"/>
      <c r="N716" s="2369"/>
      <c r="O716" s="2369"/>
      <c r="P716" s="2369"/>
      <c r="Q716" s="2369"/>
      <c r="R716" s="2369"/>
      <c r="S716" s="2369"/>
      <c r="T716" s="2369"/>
      <c r="U716" s="2369"/>
      <c r="V716" s="2369"/>
      <c r="W716" s="2369"/>
      <c r="X716" s="2369"/>
      <c r="Y716" s="2369"/>
      <c r="Z716" s="2369"/>
      <c r="AA716" s="2369"/>
      <c r="AB716" s="2369"/>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69" t="s">
        <v>2529</v>
      </c>
      <c r="F718" s="2369"/>
      <c r="G718" s="2369"/>
      <c r="H718" s="2369"/>
      <c r="I718" s="2369"/>
      <c r="J718" s="2369"/>
      <c r="K718" s="2369"/>
      <c r="L718" s="2369"/>
      <c r="M718" s="2369"/>
      <c r="N718" s="2369"/>
      <c r="O718" s="2369"/>
      <c r="P718" s="2369"/>
      <c r="Q718" s="2369"/>
      <c r="R718" s="2369"/>
      <c r="S718" s="2369"/>
      <c r="T718" s="2369"/>
      <c r="U718" s="2369"/>
      <c r="V718" s="2369"/>
      <c r="W718" s="2369"/>
      <c r="X718" s="2369"/>
      <c r="Y718" s="2369"/>
      <c r="Z718" s="2369"/>
      <c r="AA718" s="2369"/>
      <c r="AB718" s="2369"/>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69"/>
      <c r="F719" s="2369"/>
      <c r="G719" s="2369"/>
      <c r="H719" s="2369"/>
      <c r="I719" s="2369"/>
      <c r="J719" s="2369"/>
      <c r="K719" s="2369"/>
      <c r="L719" s="2369"/>
      <c r="M719" s="2369"/>
      <c r="N719" s="2369"/>
      <c r="O719" s="2369"/>
      <c r="P719" s="2369"/>
      <c r="Q719" s="2369"/>
      <c r="R719" s="2369"/>
      <c r="S719" s="2369"/>
      <c r="T719" s="2369"/>
      <c r="U719" s="2369"/>
      <c r="V719" s="2369"/>
      <c r="W719" s="2369"/>
      <c r="X719" s="2369"/>
      <c r="Y719" s="2369"/>
      <c r="Z719" s="2369"/>
      <c r="AA719" s="2369"/>
      <c r="AB719" s="2369"/>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69"/>
      <c r="F720" s="2369"/>
      <c r="G720" s="2369"/>
      <c r="H720" s="2369"/>
      <c r="I720" s="2369"/>
      <c r="J720" s="2369"/>
      <c r="K720" s="2369"/>
      <c r="L720" s="2369"/>
      <c r="M720" s="2369"/>
      <c r="N720" s="2369"/>
      <c r="O720" s="2369"/>
      <c r="P720" s="2369"/>
      <c r="Q720" s="2369"/>
      <c r="R720" s="2369"/>
      <c r="S720" s="2369"/>
      <c r="T720" s="2369"/>
      <c r="U720" s="2369"/>
      <c r="V720" s="2369"/>
      <c r="W720" s="2369"/>
      <c r="X720" s="2369"/>
      <c r="Y720" s="2369"/>
      <c r="Z720" s="2369"/>
      <c r="AA720" s="2369"/>
      <c r="AB720" s="236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2484</v>
      </c>
      <c r="E722" s="826"/>
      <c r="F722" s="826"/>
      <c r="G722" s="826"/>
      <c r="H722" s="2431" t="s">
        <v>22</v>
      </c>
      <c r="I722" s="243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2531</v>
      </c>
      <c r="AJ724" s="2377">
        <f>VLOOKUP($H$722,$AO$716:$AP$719,2,FALSE)</f>
        <v>3</v>
      </c>
      <c r="AK724" s="2379"/>
      <c r="AL724" s="493"/>
      <c r="AM724" s="449"/>
      <c r="AN724" s="580"/>
      <c r="AP724" s="468" t="s">
        <v>2502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2532</v>
      </c>
    </row>
    <row r="726" spans="1:43" s="468" customFormat="1" ht="12.75" customHeight="1">
      <c r="A726" s="449"/>
      <c r="B726" s="436"/>
      <c r="C726" s="439" t="s">
        <v>2533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2535</v>
      </c>
    </row>
    <row r="728" spans="1:43" s="468" customFormat="1" ht="12.75" customHeight="1">
      <c r="A728" s="535"/>
      <c r="B728" s="436"/>
      <c r="C728" s="821"/>
      <c r="D728" s="559" t="s">
        <v>22</v>
      </c>
      <c r="E728" s="2439" t="s">
        <v>2536</v>
      </c>
      <c r="F728" s="2439"/>
      <c r="G728" s="2439"/>
      <c r="H728" s="2439"/>
      <c r="I728" s="2439"/>
      <c r="J728" s="2439"/>
      <c r="K728" s="2439"/>
      <c r="L728" s="2439"/>
      <c r="M728" s="2439"/>
      <c r="N728" s="2439"/>
      <c r="O728" s="2439"/>
      <c r="P728" s="2439"/>
      <c r="Q728" s="2439"/>
      <c r="R728" s="2439"/>
      <c r="S728" s="2439"/>
      <c r="T728" s="2439"/>
      <c r="U728" s="2439"/>
      <c r="V728" s="2439"/>
      <c r="W728" s="2439"/>
      <c r="X728" s="2439"/>
      <c r="Y728" s="2439"/>
      <c r="Z728" s="2439"/>
      <c r="AA728" s="2439"/>
      <c r="AB728" s="2439"/>
      <c r="AC728" s="436"/>
      <c r="AD728" s="436"/>
      <c r="AE728" s="436"/>
      <c r="AF728" s="2352" t="s">
        <v>2210</v>
      </c>
      <c r="AG728" s="2352"/>
      <c r="AH728" s="2352"/>
      <c r="AI728" s="2352"/>
      <c r="AJ728" s="2352"/>
      <c r="AK728" s="2352"/>
      <c r="AL728" s="2352"/>
      <c r="AM728" s="449"/>
      <c r="AN728" s="580"/>
      <c r="AP728" s="468" t="s">
        <v>2537</v>
      </c>
    </row>
    <row r="729" spans="1:43" s="468" customFormat="1" ht="11.85" customHeight="1">
      <c r="A729" s="449"/>
      <c r="B729" s="436"/>
      <c r="C729" s="823"/>
      <c r="D729" s="559"/>
      <c r="E729" s="2439"/>
      <c r="F729" s="2439"/>
      <c r="G729" s="2439"/>
      <c r="H729" s="2439"/>
      <c r="I729" s="2439"/>
      <c r="J729" s="2439"/>
      <c r="K729" s="2439"/>
      <c r="L729" s="2439"/>
      <c r="M729" s="2439"/>
      <c r="N729" s="2439"/>
      <c r="O729" s="2439"/>
      <c r="P729" s="2439"/>
      <c r="Q729" s="2439"/>
      <c r="R729" s="2439"/>
      <c r="S729" s="2439"/>
      <c r="T729" s="2439"/>
      <c r="U729" s="2439"/>
      <c r="V729" s="2439"/>
      <c r="W729" s="2439"/>
      <c r="X729" s="2439"/>
      <c r="Y729" s="2439"/>
      <c r="Z729" s="2439"/>
      <c r="AA729" s="2439"/>
      <c r="AB729" s="2439"/>
      <c r="AC729" s="436"/>
      <c r="AD729" s="436"/>
      <c r="AE729" s="436"/>
      <c r="AF729" s="436"/>
      <c r="AG729" s="436"/>
      <c r="AH729" s="436"/>
      <c r="AI729" s="436"/>
      <c r="AJ729" s="436"/>
      <c r="AK729" s="436"/>
      <c r="AL729" s="436"/>
      <c r="AM729" s="449"/>
      <c r="AN729" s="580"/>
      <c r="AP729" s="468" t="s">
        <v>2538</v>
      </c>
    </row>
    <row r="730" spans="1:43" s="468" customFormat="1" ht="14.1" customHeight="1">
      <c r="A730" s="449"/>
      <c r="B730" s="508"/>
      <c r="C730" s="821"/>
      <c r="D730" s="559"/>
      <c r="E730" s="2439"/>
      <c r="F730" s="2439"/>
      <c r="G730" s="2439"/>
      <c r="H730" s="2439"/>
      <c r="I730" s="2439"/>
      <c r="J730" s="2439"/>
      <c r="K730" s="2439"/>
      <c r="L730" s="2439"/>
      <c r="M730" s="2439"/>
      <c r="N730" s="2439"/>
      <c r="O730" s="2439"/>
      <c r="P730" s="2439"/>
      <c r="Q730" s="2439"/>
      <c r="R730" s="2439"/>
      <c r="S730" s="2439"/>
      <c r="T730" s="2439"/>
      <c r="U730" s="2439"/>
      <c r="V730" s="2439"/>
      <c r="W730" s="2439"/>
      <c r="X730" s="2439"/>
      <c r="Y730" s="2439"/>
      <c r="Z730" s="2439"/>
      <c r="AA730" s="2439"/>
      <c r="AB730" s="2439"/>
      <c r="AC730" s="436"/>
      <c r="AD730" s="436"/>
      <c r="AE730" s="514"/>
      <c r="AF730" s="436"/>
      <c r="AG730" s="436"/>
      <c r="AH730" s="436"/>
      <c r="AI730" s="436"/>
      <c r="AJ730" s="436"/>
      <c r="AK730" s="436"/>
      <c r="AL730" s="436"/>
      <c r="AM730" s="449"/>
      <c r="AN730" s="580"/>
      <c r="AP730" s="468" t="s">
        <v>2539</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2540</v>
      </c>
    </row>
    <row r="732" spans="1:43" s="468" customFormat="1" ht="14.1" customHeight="1">
      <c r="A732" s="449"/>
      <c r="B732" s="436"/>
      <c r="C732" s="821"/>
      <c r="D732" s="559" t="s">
        <v>27</v>
      </c>
      <c r="E732" s="2440" t="s">
        <v>2541</v>
      </c>
      <c r="F732" s="2440"/>
      <c r="G732" s="2440"/>
      <c r="H732" s="2440"/>
      <c r="I732" s="2440"/>
      <c r="J732" s="2440"/>
      <c r="K732" s="2440"/>
      <c r="L732" s="2440"/>
      <c r="M732" s="2440"/>
      <c r="N732" s="2440"/>
      <c r="O732" s="2440"/>
      <c r="P732" s="2440"/>
      <c r="Q732" s="2440"/>
      <c r="R732" s="2440"/>
      <c r="S732" s="2440"/>
      <c r="T732" s="2440"/>
      <c r="U732" s="2440"/>
      <c r="V732" s="2440"/>
      <c r="W732" s="2440"/>
      <c r="X732" s="2440"/>
      <c r="Y732" s="2440"/>
      <c r="Z732" s="2440"/>
      <c r="AA732" s="2440"/>
      <c r="AB732" s="2440"/>
      <c r="AC732" s="436"/>
      <c r="AD732" s="436"/>
      <c r="AE732" s="436"/>
      <c r="AF732" s="2352" t="s">
        <v>2498</v>
      </c>
      <c r="AG732" s="2352"/>
      <c r="AH732" s="2352"/>
      <c r="AI732" s="2352"/>
      <c r="AJ732" s="2352"/>
      <c r="AK732" s="2352"/>
      <c r="AL732" s="2352"/>
      <c r="AM732" s="449"/>
      <c r="AN732" s="581"/>
    </row>
    <row r="733" spans="1:43" s="468" customFormat="1" ht="12.75" customHeight="1">
      <c r="A733" s="449"/>
      <c r="B733" s="436"/>
      <c r="C733" s="823"/>
      <c r="D733" s="436"/>
      <c r="E733" s="2440"/>
      <c r="F733" s="2440"/>
      <c r="G733" s="2440"/>
      <c r="H733" s="2440"/>
      <c r="I733" s="2440"/>
      <c r="J733" s="2440"/>
      <c r="K733" s="2440"/>
      <c r="L733" s="2440"/>
      <c r="M733" s="2440"/>
      <c r="N733" s="2440"/>
      <c r="O733" s="2440"/>
      <c r="P733" s="2440"/>
      <c r="Q733" s="2440"/>
      <c r="R733" s="2440"/>
      <c r="S733" s="2440"/>
      <c r="T733" s="2440"/>
      <c r="U733" s="2440"/>
      <c r="V733" s="2440"/>
      <c r="W733" s="2440"/>
      <c r="X733" s="2440"/>
      <c r="Y733" s="2440"/>
      <c r="Z733" s="2440"/>
      <c r="AA733" s="2440"/>
      <c r="AB733" s="2440"/>
      <c r="AC733" s="436"/>
      <c r="AD733" s="436"/>
      <c r="AE733" s="436"/>
      <c r="AF733" s="436"/>
      <c r="AG733" s="436"/>
      <c r="AH733" s="436"/>
      <c r="AI733" s="436"/>
      <c r="AJ733" s="436"/>
      <c r="AK733" s="436"/>
      <c r="AL733" s="436"/>
      <c r="AM733" s="449"/>
      <c r="AN733" s="580"/>
      <c r="AP733" s="449" t="s">
        <v>822</v>
      </c>
      <c r="AQ733" s="569">
        <v>0</v>
      </c>
    </row>
    <row r="734" spans="1:43" s="468" customFormat="1" ht="14.1" customHeight="1">
      <c r="A734" s="449"/>
      <c r="B734" s="436"/>
      <c r="C734" s="823"/>
      <c r="D734" s="436"/>
      <c r="E734" s="2440"/>
      <c r="F734" s="2440"/>
      <c r="G734" s="2440"/>
      <c r="H734" s="2440"/>
      <c r="I734" s="2440"/>
      <c r="J734" s="2440"/>
      <c r="K734" s="2440"/>
      <c r="L734" s="2440"/>
      <c r="M734" s="2440"/>
      <c r="N734" s="2440"/>
      <c r="O734" s="2440"/>
      <c r="P734" s="2440"/>
      <c r="Q734" s="2440"/>
      <c r="R734" s="2440"/>
      <c r="S734" s="2440"/>
      <c r="T734" s="2440"/>
      <c r="U734" s="2440"/>
      <c r="V734" s="2440"/>
      <c r="W734" s="2440"/>
      <c r="X734" s="2440"/>
      <c r="Y734" s="2440"/>
      <c r="Z734" s="2440"/>
      <c r="AA734" s="2440"/>
      <c r="AB734" s="2440"/>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2484</v>
      </c>
      <c r="E736" s="826"/>
      <c r="F736" s="826"/>
      <c r="G736" s="826"/>
      <c r="H736" s="2431" t="s">
        <v>822</v>
      </c>
      <c r="I736" s="243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2542</v>
      </c>
      <c r="AJ738" s="2377">
        <f>VLOOKUP($H$736,$AP$733:$AQ$735,2,FALSE)</f>
        <v>0</v>
      </c>
      <c r="AK738" s="2379"/>
      <c r="AL738" s="493"/>
      <c r="AM738" s="449"/>
      <c r="AN738" s="580"/>
      <c r="AP738" s="2377"/>
      <c r="AQ738" s="2379"/>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2543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69" t="s">
        <v>2544</v>
      </c>
      <c r="F742" s="2369"/>
      <c r="G742" s="2369"/>
      <c r="H742" s="2369"/>
      <c r="I742" s="2369"/>
      <c r="J742" s="2369"/>
      <c r="K742" s="2369"/>
      <c r="L742" s="2369"/>
      <c r="M742" s="2369"/>
      <c r="N742" s="2369"/>
      <c r="O742" s="2369"/>
      <c r="P742" s="2369"/>
      <c r="Q742" s="2369"/>
      <c r="R742" s="2369"/>
      <c r="S742" s="2369"/>
      <c r="T742" s="2369"/>
      <c r="U742" s="2369"/>
      <c r="V742" s="2369"/>
      <c r="W742" s="2369"/>
      <c r="X742" s="2369"/>
      <c r="Y742" s="2369"/>
      <c r="Z742" s="2369"/>
      <c r="AA742" s="2369"/>
      <c r="AB742" s="2369"/>
      <c r="AC742" s="436"/>
      <c r="AD742" s="436"/>
      <c r="AE742" s="436"/>
      <c r="AF742" s="2352" t="s">
        <v>2210</v>
      </c>
      <c r="AG742" s="2352"/>
      <c r="AH742" s="2352"/>
      <c r="AI742" s="2352"/>
      <c r="AJ742" s="2352"/>
      <c r="AK742" s="2352"/>
      <c r="AL742" s="2352"/>
      <c r="AM742" s="449"/>
      <c r="AN742" s="580"/>
      <c r="AT742" s="13"/>
      <c r="AU742" s="13"/>
      <c r="AV742" s="13"/>
      <c r="AW742" s="13"/>
      <c r="AX742" s="13"/>
      <c r="AY742" s="13"/>
      <c r="AZ742" s="13"/>
    </row>
    <row r="743" spans="1:81" s="468" customFormat="1">
      <c r="A743" s="449"/>
      <c r="B743" s="436"/>
      <c r="C743" s="823"/>
      <c r="D743" s="559"/>
      <c r="E743" s="2369"/>
      <c r="F743" s="2369"/>
      <c r="G743" s="2369"/>
      <c r="H743" s="2369"/>
      <c r="I743" s="2369"/>
      <c r="J743" s="2369"/>
      <c r="K743" s="2369"/>
      <c r="L743" s="2369"/>
      <c r="M743" s="2369"/>
      <c r="N743" s="2369"/>
      <c r="O743" s="2369"/>
      <c r="P743" s="2369"/>
      <c r="Q743" s="2369"/>
      <c r="R743" s="2369"/>
      <c r="S743" s="2369"/>
      <c r="T743" s="2369"/>
      <c r="U743" s="2369"/>
      <c r="V743" s="2369"/>
      <c r="W743" s="2369"/>
      <c r="X743" s="2369"/>
      <c r="Y743" s="2369"/>
      <c r="Z743" s="2369"/>
      <c r="AA743" s="2369"/>
      <c r="AB743" s="236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69" t="s">
        <v>2545</v>
      </c>
      <c r="F745" s="2369"/>
      <c r="G745" s="2369"/>
      <c r="H745" s="2369"/>
      <c r="I745" s="2369"/>
      <c r="J745" s="2369"/>
      <c r="K745" s="2369"/>
      <c r="L745" s="2369"/>
      <c r="M745" s="2369"/>
      <c r="N745" s="2369"/>
      <c r="O745" s="2369"/>
      <c r="P745" s="2369"/>
      <c r="Q745" s="2369"/>
      <c r="R745" s="2369"/>
      <c r="S745" s="2369"/>
      <c r="T745" s="2369"/>
      <c r="U745" s="2369"/>
      <c r="V745" s="2369"/>
      <c r="W745" s="2369"/>
      <c r="X745" s="2369"/>
      <c r="Y745" s="2369"/>
      <c r="Z745" s="2369"/>
      <c r="AA745" s="2369"/>
      <c r="AB745" s="2369"/>
      <c r="AC745" s="436"/>
      <c r="AD745" s="436"/>
      <c r="AE745" s="436"/>
      <c r="AF745" s="2352" t="s">
        <v>2498</v>
      </c>
      <c r="AG745" s="2352"/>
      <c r="AH745" s="2352"/>
      <c r="AI745" s="2352"/>
      <c r="AJ745" s="2352"/>
      <c r="AK745" s="2352"/>
      <c r="AL745" s="2352"/>
      <c r="AM745" s="449"/>
      <c r="AN745" s="580"/>
      <c r="AT745" s="13"/>
      <c r="AU745" s="13"/>
      <c r="AV745" s="13"/>
      <c r="AW745" s="13"/>
      <c r="AX745" s="13"/>
      <c r="AY745" s="13"/>
      <c r="AZ745" s="13"/>
    </row>
    <row r="746" spans="1:81" s="468" customFormat="1">
      <c r="A746" s="449"/>
      <c r="B746" s="436"/>
      <c r="C746" s="823"/>
      <c r="D746" s="436"/>
      <c r="E746" s="2369"/>
      <c r="F746" s="2369"/>
      <c r="G746" s="2369"/>
      <c r="H746" s="2369"/>
      <c r="I746" s="2369"/>
      <c r="J746" s="2369"/>
      <c r="K746" s="2369"/>
      <c r="L746" s="2369"/>
      <c r="M746" s="2369"/>
      <c r="N746" s="2369"/>
      <c r="O746" s="2369"/>
      <c r="P746" s="2369"/>
      <c r="Q746" s="2369"/>
      <c r="R746" s="2369"/>
      <c r="S746" s="2369"/>
      <c r="T746" s="2369"/>
      <c r="U746" s="2369"/>
      <c r="V746" s="2369"/>
      <c r="W746" s="2369"/>
      <c r="X746" s="2369"/>
      <c r="Y746" s="2369"/>
      <c r="Z746" s="2369"/>
      <c r="AA746" s="2369"/>
      <c r="AB746" s="236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2484</v>
      </c>
      <c r="E748" s="826"/>
      <c r="F748" s="826"/>
      <c r="G748" s="826"/>
      <c r="H748" s="2431" t="s">
        <v>822</v>
      </c>
      <c r="I748" s="243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2546</v>
      </c>
      <c r="AJ750" s="2377">
        <f>VLOOKUP($H$748,$AO$679:$AP$681,2,FALSE)</f>
        <v>0</v>
      </c>
      <c r="AK750" s="2379"/>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69" t="s">
        <v>2548</v>
      </c>
      <c r="F754" s="2369"/>
      <c r="G754" s="2369"/>
      <c r="H754" s="2369"/>
      <c r="I754" s="2369"/>
      <c r="J754" s="2369"/>
      <c r="K754" s="2369"/>
      <c r="L754" s="2369"/>
      <c r="M754" s="2369"/>
      <c r="N754" s="2369"/>
      <c r="O754" s="2369"/>
      <c r="P754" s="2369"/>
      <c r="Q754" s="2369"/>
      <c r="R754" s="2369"/>
      <c r="S754" s="2369"/>
      <c r="T754" s="2369"/>
      <c r="U754" s="2369"/>
      <c r="V754" s="2369"/>
      <c r="W754" s="2369"/>
      <c r="X754" s="2369"/>
      <c r="Y754" s="2369"/>
      <c r="Z754" s="2369"/>
      <c r="AA754" s="2369"/>
      <c r="AB754" s="2369"/>
      <c r="AC754" s="436"/>
      <c r="AD754" s="436"/>
      <c r="AE754" s="436"/>
      <c r="AF754" s="2352" t="s">
        <v>2210</v>
      </c>
      <c r="AG754" s="2352"/>
      <c r="AH754" s="2352"/>
      <c r="AI754" s="2352"/>
      <c r="AJ754" s="2352"/>
      <c r="AK754" s="2352"/>
      <c r="AL754" s="2352"/>
      <c r="AM754" s="449"/>
      <c r="AN754" s="580"/>
      <c r="AT754" s="13"/>
      <c r="AU754" s="13"/>
      <c r="AV754" s="13"/>
      <c r="AW754" s="13"/>
      <c r="AX754" s="13"/>
      <c r="AY754" s="13"/>
      <c r="AZ754" s="13"/>
    </row>
    <row r="755" spans="1:81" s="468" customFormat="1">
      <c r="A755" s="449"/>
      <c r="B755" s="436"/>
      <c r="C755" s="821"/>
      <c r="D755" s="559"/>
      <c r="E755" s="2369"/>
      <c r="F755" s="2369"/>
      <c r="G755" s="2369"/>
      <c r="H755" s="2369"/>
      <c r="I755" s="2369"/>
      <c r="J755" s="2369"/>
      <c r="K755" s="2369"/>
      <c r="L755" s="2369"/>
      <c r="M755" s="2369"/>
      <c r="N755" s="2369"/>
      <c r="O755" s="2369"/>
      <c r="P755" s="2369"/>
      <c r="Q755" s="2369"/>
      <c r="R755" s="2369"/>
      <c r="S755" s="2369"/>
      <c r="T755" s="2369"/>
      <c r="U755" s="2369"/>
      <c r="V755" s="2369"/>
      <c r="W755" s="2369"/>
      <c r="X755" s="2369"/>
      <c r="Y755" s="2369"/>
      <c r="Z755" s="2369"/>
      <c r="AA755" s="2369"/>
      <c r="AB755" s="236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69"/>
      <c r="F756" s="2369"/>
      <c r="G756" s="2369"/>
      <c r="H756" s="2369"/>
      <c r="I756" s="2369"/>
      <c r="J756" s="2369"/>
      <c r="K756" s="2369"/>
      <c r="L756" s="2369"/>
      <c r="M756" s="2369"/>
      <c r="N756" s="2369"/>
      <c r="O756" s="2369"/>
      <c r="P756" s="2369"/>
      <c r="Q756" s="2369"/>
      <c r="R756" s="2369"/>
      <c r="S756" s="2369"/>
      <c r="T756" s="2369"/>
      <c r="U756" s="2369"/>
      <c r="V756" s="2369"/>
      <c r="W756" s="2369"/>
      <c r="X756" s="2369"/>
      <c r="Y756" s="2369"/>
      <c r="Z756" s="2369"/>
      <c r="AA756" s="2369"/>
      <c r="AB756" s="236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69"/>
      <c r="F757" s="2369"/>
      <c r="G757" s="2369"/>
      <c r="H757" s="2369"/>
      <c r="I757" s="2369"/>
      <c r="J757" s="2369"/>
      <c r="K757" s="2369"/>
      <c r="L757" s="2369"/>
      <c r="M757" s="2369"/>
      <c r="N757" s="2369"/>
      <c r="O757" s="2369"/>
      <c r="P757" s="2369"/>
      <c r="Q757" s="2369"/>
      <c r="R757" s="2369"/>
      <c r="S757" s="2369"/>
      <c r="T757" s="2369"/>
      <c r="U757" s="2369"/>
      <c r="V757" s="2369"/>
      <c r="W757" s="2369"/>
      <c r="X757" s="2369"/>
      <c r="Y757" s="2369"/>
      <c r="Z757" s="2369"/>
      <c r="AA757" s="2369"/>
      <c r="AB757" s="236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69" t="s">
        <v>2549</v>
      </c>
      <c r="F759" s="2369"/>
      <c r="G759" s="2369"/>
      <c r="H759" s="2369"/>
      <c r="I759" s="2369"/>
      <c r="J759" s="2369"/>
      <c r="K759" s="2369"/>
      <c r="L759" s="2369"/>
      <c r="M759" s="2369"/>
      <c r="N759" s="2369"/>
      <c r="O759" s="2369"/>
      <c r="P759" s="2369"/>
      <c r="Q759" s="2369"/>
      <c r="R759" s="2369"/>
      <c r="S759" s="2369"/>
      <c r="T759" s="2369"/>
      <c r="U759" s="2369"/>
      <c r="V759" s="2369"/>
      <c r="W759" s="2369"/>
      <c r="X759" s="2369"/>
      <c r="Y759" s="2369"/>
      <c r="Z759" s="2369"/>
      <c r="AA759" s="2369"/>
      <c r="AB759" s="473"/>
      <c r="AC759" s="436"/>
      <c r="AD759" s="436"/>
      <c r="AE759" s="436"/>
      <c r="AF759" s="2352" t="s">
        <v>2498</v>
      </c>
      <c r="AG759" s="2352"/>
      <c r="AH759" s="2352"/>
      <c r="AI759" s="2352"/>
      <c r="AJ759" s="2352"/>
      <c r="AK759" s="2352"/>
      <c r="AL759" s="2352"/>
      <c r="AM759" s="449"/>
      <c r="AN759" s="580"/>
      <c r="AO759" s="25"/>
      <c r="AP759" s="13"/>
    </row>
    <row r="760" spans="1:81" s="468" customFormat="1">
      <c r="A760" s="449"/>
      <c r="B760" s="436"/>
      <c r="C760" s="821"/>
      <c r="D760" s="559"/>
      <c r="E760" s="2369"/>
      <c r="F760" s="2369"/>
      <c r="G760" s="2369"/>
      <c r="H760" s="2369"/>
      <c r="I760" s="2369"/>
      <c r="J760" s="2369"/>
      <c r="K760" s="2369"/>
      <c r="L760" s="2369"/>
      <c r="M760" s="2369"/>
      <c r="N760" s="2369"/>
      <c r="O760" s="2369"/>
      <c r="P760" s="2369"/>
      <c r="Q760" s="2369"/>
      <c r="R760" s="2369"/>
      <c r="S760" s="2369"/>
      <c r="T760" s="2369"/>
      <c r="U760" s="2369"/>
      <c r="V760" s="2369"/>
      <c r="W760" s="2369"/>
      <c r="X760" s="2369"/>
      <c r="Y760" s="2369"/>
      <c r="Z760" s="2369"/>
      <c r="AA760" s="236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69"/>
      <c r="F761" s="2369"/>
      <c r="G761" s="2369"/>
      <c r="H761" s="2369"/>
      <c r="I761" s="2369"/>
      <c r="J761" s="2369"/>
      <c r="K761" s="2369"/>
      <c r="L761" s="2369"/>
      <c r="M761" s="2369"/>
      <c r="N761" s="2369"/>
      <c r="O761" s="2369"/>
      <c r="P761" s="2369"/>
      <c r="Q761" s="2369"/>
      <c r="R761" s="2369"/>
      <c r="S761" s="2369"/>
      <c r="T761" s="2369"/>
      <c r="U761" s="2369"/>
      <c r="V761" s="2369"/>
      <c r="W761" s="2369"/>
      <c r="X761" s="2369"/>
      <c r="Y761" s="2369"/>
      <c r="Z761" s="2369"/>
      <c r="AA761" s="236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69"/>
      <c r="F762" s="2369"/>
      <c r="G762" s="2369"/>
      <c r="H762" s="2369"/>
      <c r="I762" s="2369"/>
      <c r="J762" s="2369"/>
      <c r="K762" s="2369"/>
      <c r="L762" s="2369"/>
      <c r="M762" s="2369"/>
      <c r="N762" s="2369"/>
      <c r="O762" s="2369"/>
      <c r="P762" s="2369"/>
      <c r="Q762" s="2369"/>
      <c r="R762" s="2369"/>
      <c r="S762" s="2369"/>
      <c r="T762" s="2369"/>
      <c r="U762" s="2369"/>
      <c r="V762" s="2369"/>
      <c r="W762" s="2369"/>
      <c r="X762" s="2369"/>
      <c r="Y762" s="2369"/>
      <c r="Z762" s="2369"/>
      <c r="AA762" s="236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2484</v>
      </c>
      <c r="E764" s="826"/>
      <c r="F764" s="826"/>
      <c r="G764" s="826"/>
      <c r="H764" s="2431" t="s">
        <v>22</v>
      </c>
      <c r="I764" s="243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2550</v>
      </c>
      <c r="AJ766" s="2377">
        <f>VLOOKUP($H$764,$AO$693:$AP$695,2,FALSE)</f>
        <v>3</v>
      </c>
      <c r="AK766" s="2379"/>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2539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69" t="s">
        <v>2551</v>
      </c>
      <c r="F770" s="2369"/>
      <c r="G770" s="2369"/>
      <c r="H770" s="2369"/>
      <c r="I770" s="2369"/>
      <c r="J770" s="2369"/>
      <c r="K770" s="2369"/>
      <c r="L770" s="2369"/>
      <c r="M770" s="2369"/>
      <c r="N770" s="2369"/>
      <c r="O770" s="2369"/>
      <c r="P770" s="2369"/>
      <c r="Q770" s="2369"/>
      <c r="R770" s="2369"/>
      <c r="S770" s="2369"/>
      <c r="T770" s="2369"/>
      <c r="U770" s="2369"/>
      <c r="V770" s="2369"/>
      <c r="W770" s="2369"/>
      <c r="X770" s="2369"/>
      <c r="Y770" s="2369"/>
      <c r="Z770" s="2369"/>
      <c r="AA770" s="2369"/>
      <c r="AB770" s="2369"/>
      <c r="AC770" s="436"/>
      <c r="AD770" s="436"/>
      <c r="AE770" s="436"/>
      <c r="AF770" s="2352" t="s">
        <v>2498</v>
      </c>
      <c r="AG770" s="2352"/>
      <c r="AH770" s="2352"/>
      <c r="AI770" s="2352"/>
      <c r="AJ770" s="2352"/>
      <c r="AK770" s="2352"/>
      <c r="AL770" s="235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69"/>
      <c r="F771" s="2369"/>
      <c r="G771" s="2369"/>
      <c r="H771" s="2369"/>
      <c r="I771" s="2369"/>
      <c r="J771" s="2369"/>
      <c r="K771" s="2369"/>
      <c r="L771" s="2369"/>
      <c r="M771" s="2369"/>
      <c r="N771" s="2369"/>
      <c r="O771" s="2369"/>
      <c r="P771" s="2369"/>
      <c r="Q771" s="2369"/>
      <c r="R771" s="2369"/>
      <c r="S771" s="2369"/>
      <c r="T771" s="2369"/>
      <c r="U771" s="2369"/>
      <c r="V771" s="2369"/>
      <c r="W771" s="2369"/>
      <c r="X771" s="2369"/>
      <c r="Y771" s="2369"/>
      <c r="Z771" s="2369"/>
      <c r="AA771" s="2369"/>
      <c r="AB771" s="236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69" t="s">
        <v>2552</v>
      </c>
      <c r="F773" s="2369"/>
      <c r="G773" s="2369"/>
      <c r="H773" s="2369"/>
      <c r="I773" s="2369"/>
      <c r="J773" s="2369"/>
      <c r="K773" s="2369"/>
      <c r="L773" s="2369"/>
      <c r="M773" s="2369"/>
      <c r="N773" s="2369"/>
      <c r="O773" s="2369"/>
      <c r="P773" s="2369"/>
      <c r="Q773" s="2369"/>
      <c r="R773" s="2369"/>
      <c r="S773" s="2369"/>
      <c r="T773" s="2369"/>
      <c r="U773" s="2369"/>
      <c r="V773" s="2369"/>
      <c r="W773" s="2369"/>
      <c r="X773" s="2369"/>
      <c r="Y773" s="2369"/>
      <c r="Z773" s="2369"/>
      <c r="AA773" s="2369"/>
      <c r="AB773" s="2369"/>
      <c r="AC773" s="436"/>
      <c r="AD773" s="436"/>
      <c r="AE773" s="436"/>
      <c r="AF773" s="2352" t="s">
        <v>2516</v>
      </c>
      <c r="AG773" s="2352"/>
      <c r="AH773" s="2352"/>
      <c r="AI773" s="2352"/>
      <c r="AJ773" s="2352"/>
      <c r="AK773" s="2352"/>
      <c r="AL773" s="235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69"/>
      <c r="F774" s="2369"/>
      <c r="G774" s="2369"/>
      <c r="H774" s="2369"/>
      <c r="I774" s="2369"/>
      <c r="J774" s="2369"/>
      <c r="K774" s="2369"/>
      <c r="L774" s="2369"/>
      <c r="M774" s="2369"/>
      <c r="N774" s="2369"/>
      <c r="O774" s="2369"/>
      <c r="P774" s="2369"/>
      <c r="Q774" s="2369"/>
      <c r="R774" s="2369"/>
      <c r="S774" s="2369"/>
      <c r="T774" s="2369"/>
      <c r="U774" s="2369"/>
      <c r="V774" s="2369"/>
      <c r="W774" s="2369"/>
      <c r="X774" s="2369"/>
      <c r="Y774" s="2369"/>
      <c r="Z774" s="2369"/>
      <c r="AA774" s="2369"/>
      <c r="AB774" s="236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2484</v>
      </c>
      <c r="E776" s="826"/>
      <c r="F776" s="826"/>
      <c r="G776" s="826"/>
      <c r="H776" s="2431" t="s">
        <v>27</v>
      </c>
      <c r="I776" s="243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2553</v>
      </c>
      <c r="AJ778" s="2377">
        <f>VLOOKUP($H$776,$AO$710:$AP$712,2,FALSE)</f>
        <v>1</v>
      </c>
      <c r="AK778" s="2379"/>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2540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69" t="s">
        <v>2554</v>
      </c>
      <c r="F782" s="2369"/>
      <c r="G782" s="2369"/>
      <c r="H782" s="2369"/>
      <c r="I782" s="2369"/>
      <c r="J782" s="2369"/>
      <c r="K782" s="2369"/>
      <c r="L782" s="2369"/>
      <c r="M782" s="2369"/>
      <c r="N782" s="2369"/>
      <c r="O782" s="2369"/>
      <c r="P782" s="2369"/>
      <c r="Q782" s="2369"/>
      <c r="R782" s="2369"/>
      <c r="S782" s="2369"/>
      <c r="T782" s="2369"/>
      <c r="U782" s="2369"/>
      <c r="V782" s="2369"/>
      <c r="W782" s="2369"/>
      <c r="X782" s="2369"/>
      <c r="Y782" s="2369"/>
      <c r="Z782" s="2369"/>
      <c r="AA782" s="2369"/>
      <c r="AB782" s="2369"/>
      <c r="AC782" s="2369"/>
      <c r="AD782" s="2369"/>
      <c r="AE782" s="436"/>
      <c r="AF782" s="2352" t="s">
        <v>2498</v>
      </c>
      <c r="AG782" s="2352"/>
      <c r="AH782" s="2352"/>
      <c r="AI782" s="2352"/>
      <c r="AJ782" s="2352"/>
      <c r="AK782" s="2352"/>
      <c r="AL782" s="2352"/>
      <c r="AM782" s="511"/>
      <c r="AN782" s="580"/>
      <c r="AO782" s="449" t="s">
        <v>822</v>
      </c>
      <c r="AP782" s="569">
        <v>0</v>
      </c>
    </row>
    <row r="783" spans="1:74" s="468" customFormat="1" ht="13.7" customHeight="1">
      <c r="A783" s="449"/>
      <c r="B783" s="514"/>
      <c r="C783" s="830"/>
      <c r="D783" s="559"/>
      <c r="E783" s="2369"/>
      <c r="F783" s="2369"/>
      <c r="G783" s="2369"/>
      <c r="H783" s="2369"/>
      <c r="I783" s="2369"/>
      <c r="J783" s="2369"/>
      <c r="K783" s="2369"/>
      <c r="L783" s="2369"/>
      <c r="M783" s="2369"/>
      <c r="N783" s="2369"/>
      <c r="O783" s="2369"/>
      <c r="P783" s="2369"/>
      <c r="Q783" s="2369"/>
      <c r="R783" s="2369"/>
      <c r="S783" s="2369"/>
      <c r="T783" s="2369"/>
      <c r="U783" s="2369"/>
      <c r="V783" s="2369"/>
      <c r="W783" s="2369"/>
      <c r="X783" s="2369"/>
      <c r="Y783" s="2369"/>
      <c r="Z783" s="2369"/>
      <c r="AA783" s="2369"/>
      <c r="AB783" s="2369"/>
      <c r="AC783" s="2369"/>
      <c r="AD783" s="236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69"/>
      <c r="F784" s="2369"/>
      <c r="G784" s="2369"/>
      <c r="H784" s="2369"/>
      <c r="I784" s="2369"/>
      <c r="J784" s="2369"/>
      <c r="K784" s="2369"/>
      <c r="L784" s="2369"/>
      <c r="M784" s="2369"/>
      <c r="N784" s="2369"/>
      <c r="O784" s="2369"/>
      <c r="P784" s="2369"/>
      <c r="Q784" s="2369"/>
      <c r="R784" s="2369"/>
      <c r="S784" s="2369"/>
      <c r="T784" s="2369"/>
      <c r="U784" s="2369"/>
      <c r="V784" s="2369"/>
      <c r="W784" s="2369"/>
      <c r="X784" s="2369"/>
      <c r="Y784" s="2369"/>
      <c r="Z784" s="2369"/>
      <c r="AA784" s="2369"/>
      <c r="AB784" s="2369"/>
      <c r="AC784" s="2369"/>
      <c r="AD784" s="236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69"/>
      <c r="F785" s="2369"/>
      <c r="G785" s="2369"/>
      <c r="H785" s="2369"/>
      <c r="I785" s="2369"/>
      <c r="J785" s="2369"/>
      <c r="K785" s="2369"/>
      <c r="L785" s="2369"/>
      <c r="M785" s="2369"/>
      <c r="N785" s="2369"/>
      <c r="O785" s="2369"/>
      <c r="P785" s="2369"/>
      <c r="Q785" s="2369"/>
      <c r="R785" s="2369"/>
      <c r="S785" s="2369"/>
      <c r="T785" s="2369"/>
      <c r="U785" s="2369"/>
      <c r="V785" s="2369"/>
      <c r="W785" s="2369"/>
      <c r="X785" s="2369"/>
      <c r="Y785" s="2369"/>
      <c r="Z785" s="2369"/>
      <c r="AA785" s="2369"/>
      <c r="AB785" s="2369"/>
      <c r="AC785" s="2369"/>
      <c r="AD785" s="236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41" t="s">
        <v>2555</v>
      </c>
      <c r="F787" s="2441"/>
      <c r="G787" s="2441"/>
      <c r="H787" s="2441"/>
      <c r="I787" s="2441"/>
      <c r="J787" s="2441"/>
      <c r="K787" s="2441"/>
      <c r="L787" s="2441"/>
      <c r="M787" s="2441"/>
      <c r="N787" s="2441"/>
      <c r="O787" s="2441"/>
      <c r="P787" s="2441"/>
      <c r="Q787" s="2441"/>
      <c r="R787" s="2441"/>
      <c r="S787" s="2441"/>
      <c r="T787" s="2441"/>
      <c r="U787" s="2441"/>
      <c r="V787" s="2441"/>
      <c r="W787" s="2441"/>
      <c r="X787" s="2441"/>
      <c r="Y787" s="2441"/>
      <c r="Z787" s="2441"/>
      <c r="AA787" s="2441"/>
      <c r="AB787" s="2441"/>
      <c r="AC787" s="2441"/>
      <c r="AD787" s="2441"/>
      <c r="AE787" s="436"/>
      <c r="AF787" s="2352" t="s">
        <v>2210</v>
      </c>
      <c r="AG787" s="2352"/>
      <c r="AH787" s="2352"/>
      <c r="AI787" s="2352"/>
      <c r="AJ787" s="2352"/>
      <c r="AK787" s="2352"/>
      <c r="AL787" s="2352"/>
      <c r="AM787" s="511"/>
      <c r="AN787" s="495"/>
    </row>
    <row r="788" spans="1:81" s="449" customFormat="1" ht="12.75" customHeight="1">
      <c r="B788" s="514"/>
      <c r="C788" s="830"/>
      <c r="D788" s="559"/>
      <c r="E788" s="2441"/>
      <c r="F788" s="2441"/>
      <c r="G788" s="2441"/>
      <c r="H788" s="2441"/>
      <c r="I788" s="2441"/>
      <c r="J788" s="2441"/>
      <c r="K788" s="2441"/>
      <c r="L788" s="2441"/>
      <c r="M788" s="2441"/>
      <c r="N788" s="2441"/>
      <c r="O788" s="2441"/>
      <c r="P788" s="2441"/>
      <c r="Q788" s="2441"/>
      <c r="R788" s="2441"/>
      <c r="S788" s="2441"/>
      <c r="T788" s="2441"/>
      <c r="U788" s="2441"/>
      <c r="V788" s="2441"/>
      <c r="W788" s="2441"/>
      <c r="X788" s="2441"/>
      <c r="Y788" s="2441"/>
      <c r="Z788" s="2441"/>
      <c r="AA788" s="2441"/>
      <c r="AB788" s="2441"/>
      <c r="AC788" s="2441"/>
      <c r="AD788" s="2441"/>
      <c r="AE788" s="492"/>
      <c r="AF788" s="492"/>
      <c r="AG788" s="492"/>
      <c r="AH788" s="492"/>
      <c r="AI788" s="492"/>
      <c r="AJ788" s="492"/>
      <c r="AK788" s="492"/>
      <c r="AL788" s="492"/>
      <c r="AM788" s="511"/>
      <c r="AN788" s="495"/>
    </row>
    <row r="789" spans="1:81" s="449" customFormat="1" ht="12.75" customHeight="1">
      <c r="B789" s="514"/>
      <c r="C789" s="830"/>
      <c r="D789" s="559"/>
      <c r="E789" s="2441"/>
      <c r="F789" s="2441"/>
      <c r="G789" s="2441"/>
      <c r="H789" s="2441"/>
      <c r="I789" s="2441"/>
      <c r="J789" s="2441"/>
      <c r="K789" s="2441"/>
      <c r="L789" s="2441"/>
      <c r="M789" s="2441"/>
      <c r="N789" s="2441"/>
      <c r="O789" s="2441"/>
      <c r="P789" s="2441"/>
      <c r="Q789" s="2441"/>
      <c r="R789" s="2441"/>
      <c r="S789" s="2441"/>
      <c r="T789" s="2441"/>
      <c r="U789" s="2441"/>
      <c r="V789" s="2441"/>
      <c r="W789" s="2441"/>
      <c r="X789" s="2441"/>
      <c r="Y789" s="2441"/>
      <c r="Z789" s="2441"/>
      <c r="AA789" s="2441"/>
      <c r="AB789" s="2441"/>
      <c r="AC789" s="2441"/>
      <c r="AD789" s="2441"/>
      <c r="AE789" s="492"/>
      <c r="AF789" s="492"/>
      <c r="AG789" s="492"/>
      <c r="AH789" s="492"/>
      <c r="AI789" s="492"/>
      <c r="AJ789" s="492"/>
      <c r="AK789" s="492"/>
      <c r="AL789" s="492"/>
      <c r="AM789" s="511"/>
      <c r="AN789" s="495"/>
    </row>
    <row r="790" spans="1:81" s="449" customFormat="1" ht="12.75" customHeight="1">
      <c r="B790" s="514"/>
      <c r="C790" s="830"/>
      <c r="D790" s="559"/>
      <c r="E790" s="2441"/>
      <c r="F790" s="2441"/>
      <c r="G790" s="2441"/>
      <c r="H790" s="2441"/>
      <c r="I790" s="2441"/>
      <c r="J790" s="2441"/>
      <c r="K790" s="2441"/>
      <c r="L790" s="2441"/>
      <c r="M790" s="2441"/>
      <c r="N790" s="2441"/>
      <c r="O790" s="2441"/>
      <c r="P790" s="2441"/>
      <c r="Q790" s="2441"/>
      <c r="R790" s="2441"/>
      <c r="S790" s="2441"/>
      <c r="T790" s="2441"/>
      <c r="U790" s="2441"/>
      <c r="V790" s="2441"/>
      <c r="W790" s="2441"/>
      <c r="X790" s="2441"/>
      <c r="Y790" s="2441"/>
      <c r="Z790" s="2441"/>
      <c r="AA790" s="2441"/>
      <c r="AB790" s="2441"/>
      <c r="AC790" s="2441"/>
      <c r="AD790" s="2441"/>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2484</v>
      </c>
      <c r="E792" s="826"/>
      <c r="F792" s="826"/>
      <c r="G792" s="826"/>
      <c r="H792" s="2431" t="s">
        <v>822</v>
      </c>
      <c r="I792" s="243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2556</v>
      </c>
      <c r="AJ794" s="2377">
        <f>VLOOKUP($H$792,$AO$782:$AP$784,2,FALSE)</f>
        <v>0</v>
      </c>
      <c r="AK794" s="2379"/>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2557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69" t="s">
        <v>2558</v>
      </c>
      <c r="F798" s="2369"/>
      <c r="G798" s="2369"/>
      <c r="H798" s="2369"/>
      <c r="I798" s="2369"/>
      <c r="J798" s="2369"/>
      <c r="K798" s="2369"/>
      <c r="L798" s="2369"/>
      <c r="M798" s="2369"/>
      <c r="N798" s="2369"/>
      <c r="O798" s="2369"/>
      <c r="P798" s="2369"/>
      <c r="Q798" s="2369"/>
      <c r="R798" s="2369"/>
      <c r="S798" s="2369"/>
      <c r="T798" s="2369"/>
      <c r="U798" s="2369"/>
      <c r="V798" s="2369"/>
      <c r="W798" s="2369"/>
      <c r="X798" s="2369"/>
      <c r="Y798" s="2369"/>
      <c r="Z798" s="2369"/>
      <c r="AA798" s="2369"/>
      <c r="AB798" s="2369"/>
      <c r="AC798" s="2369"/>
      <c r="AD798" s="2369"/>
      <c r="AE798" s="436"/>
      <c r="AF798" s="2352" t="s">
        <v>2210</v>
      </c>
      <c r="AG798" s="2352"/>
      <c r="AH798" s="2352"/>
      <c r="AI798" s="2352"/>
      <c r="AJ798" s="2352"/>
      <c r="AK798" s="2352"/>
      <c r="AL798" s="2352"/>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69"/>
      <c r="F799" s="2369"/>
      <c r="G799" s="2369"/>
      <c r="H799" s="2369"/>
      <c r="I799" s="2369"/>
      <c r="J799" s="2369"/>
      <c r="K799" s="2369"/>
      <c r="L799" s="2369"/>
      <c r="M799" s="2369"/>
      <c r="N799" s="2369"/>
      <c r="O799" s="2369"/>
      <c r="P799" s="2369"/>
      <c r="Q799" s="2369"/>
      <c r="R799" s="2369"/>
      <c r="S799" s="2369"/>
      <c r="T799" s="2369"/>
      <c r="U799" s="2369"/>
      <c r="V799" s="2369"/>
      <c r="W799" s="2369"/>
      <c r="X799" s="2369"/>
      <c r="Y799" s="2369"/>
      <c r="Z799" s="2369"/>
      <c r="AA799" s="2369"/>
      <c r="AB799" s="2369"/>
      <c r="AC799" s="2369"/>
      <c r="AD799" s="236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69"/>
      <c r="F800" s="2369"/>
      <c r="G800" s="2369"/>
      <c r="H800" s="2369"/>
      <c r="I800" s="2369"/>
      <c r="J800" s="2369"/>
      <c r="K800" s="2369"/>
      <c r="L800" s="2369"/>
      <c r="M800" s="2369"/>
      <c r="N800" s="2369"/>
      <c r="O800" s="2369"/>
      <c r="P800" s="2369"/>
      <c r="Q800" s="2369"/>
      <c r="R800" s="2369"/>
      <c r="S800" s="2369"/>
      <c r="T800" s="2369"/>
      <c r="U800" s="2369"/>
      <c r="V800" s="2369"/>
      <c r="W800" s="2369"/>
      <c r="X800" s="2369"/>
      <c r="Y800" s="2369"/>
      <c r="Z800" s="2369"/>
      <c r="AA800" s="2369"/>
      <c r="AB800" s="2369"/>
      <c r="AC800" s="2369"/>
      <c r="AD800" s="236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69"/>
      <c r="F801" s="2369"/>
      <c r="G801" s="2369"/>
      <c r="H801" s="2369"/>
      <c r="I801" s="2369"/>
      <c r="J801" s="2369"/>
      <c r="K801" s="2369"/>
      <c r="L801" s="2369"/>
      <c r="M801" s="2369"/>
      <c r="N801" s="2369"/>
      <c r="O801" s="2369"/>
      <c r="P801" s="2369"/>
      <c r="Q801" s="2369"/>
      <c r="R801" s="2369"/>
      <c r="S801" s="2369"/>
      <c r="T801" s="2369"/>
      <c r="U801" s="2369"/>
      <c r="V801" s="2369"/>
      <c r="W801" s="2369"/>
      <c r="X801" s="2369"/>
      <c r="Y801" s="2369"/>
      <c r="Z801" s="2369"/>
      <c r="AA801" s="2369"/>
      <c r="AB801" s="2369"/>
      <c r="AC801" s="2369"/>
      <c r="AD801" s="236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2484</v>
      </c>
      <c r="E803" s="826"/>
      <c r="F803" s="826"/>
      <c r="G803" s="826"/>
      <c r="H803" s="2431" t="s">
        <v>822</v>
      </c>
      <c r="I803" s="243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2559</v>
      </c>
      <c r="AJ805" s="2377">
        <f>VLOOKUP($H$803,$AO$797:$AP$798,2,FALSE)</f>
        <v>0</v>
      </c>
      <c r="AK805" s="2379"/>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69" t="s">
        <v>2561</v>
      </c>
      <c r="F809" s="2369"/>
      <c r="G809" s="2369"/>
      <c r="H809" s="2369"/>
      <c r="I809" s="2369"/>
      <c r="J809" s="2369"/>
      <c r="K809" s="2369"/>
      <c r="L809" s="2369"/>
      <c r="M809" s="2369"/>
      <c r="N809" s="2369"/>
      <c r="O809" s="2369"/>
      <c r="P809" s="2369"/>
      <c r="Q809" s="2369"/>
      <c r="R809" s="2369"/>
      <c r="S809" s="2369"/>
      <c r="T809" s="2369"/>
      <c r="U809" s="2369"/>
      <c r="V809" s="2369"/>
      <c r="W809" s="2369"/>
      <c r="X809" s="2369"/>
      <c r="Y809" s="2369"/>
      <c r="Z809" s="2369"/>
      <c r="AA809" s="2369"/>
      <c r="AB809" s="2369"/>
      <c r="AC809" s="2369"/>
      <c r="AD809" s="2369"/>
      <c r="AE809" s="450"/>
      <c r="AF809" s="2352" t="s">
        <v>2470</v>
      </c>
      <c r="AG809" s="2352"/>
      <c r="AH809" s="2352"/>
      <c r="AI809" s="2352"/>
      <c r="AJ809" s="2352"/>
      <c r="AK809" s="2352"/>
      <c r="AL809" s="2352"/>
      <c r="AN809" s="495"/>
    </row>
    <row r="810" spans="1:81" s="449" customFormat="1" ht="12.75" customHeight="1">
      <c r="B810" s="514"/>
      <c r="C810" s="584"/>
      <c r="D810" s="559"/>
      <c r="E810" s="2369"/>
      <c r="F810" s="2369"/>
      <c r="G810" s="2369"/>
      <c r="H810" s="2369"/>
      <c r="I810" s="2369"/>
      <c r="J810" s="2369"/>
      <c r="K810" s="2369"/>
      <c r="L810" s="2369"/>
      <c r="M810" s="2369"/>
      <c r="N810" s="2369"/>
      <c r="O810" s="2369"/>
      <c r="P810" s="2369"/>
      <c r="Q810" s="2369"/>
      <c r="R810" s="2369"/>
      <c r="S810" s="2369"/>
      <c r="T810" s="2369"/>
      <c r="U810" s="2369"/>
      <c r="V810" s="2369"/>
      <c r="W810" s="2369"/>
      <c r="X810" s="2369"/>
      <c r="Y810" s="2369"/>
      <c r="Z810" s="2369"/>
      <c r="AA810" s="2369"/>
      <c r="AB810" s="2369"/>
      <c r="AC810" s="2369"/>
      <c r="AD810" s="236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2484</v>
      </c>
      <c r="E812" s="826"/>
      <c r="F812" s="826"/>
      <c r="G812" s="826"/>
      <c r="H812" s="2431" t="s">
        <v>822</v>
      </c>
      <c r="I812" s="243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2562</v>
      </c>
      <c r="AJ814" s="2377">
        <f>IF(H812="Yes",5,0)</f>
        <v>0</v>
      </c>
      <c r="AK814" s="2379"/>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2563</v>
      </c>
      <c r="AK816" s="2377">
        <f>IF(($AJ$634+$AJ$653+$AJ$665+$AJ$700+$AJ$724+$AJ$738+$AJ$750+$AJ$766+$AJ$778+$AJ$794+AJ805+AJ814)&gt;10,10,($AJ$634+$AJ$653+$AJ$665+$AJ$700+$AJ$724+$AJ$738+$AJ$750+$AJ$766+$AJ$778+$AJ$794+AJ805+AJ814))</f>
        <v>10</v>
      </c>
      <c r="AL816" s="2378"/>
      <c r="AM816" s="2379"/>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63" t="s">
        <v>2564</v>
      </c>
      <c r="B819" s="2464"/>
      <c r="C819" s="2464"/>
      <c r="D819" s="2464"/>
      <c r="E819" s="2464"/>
      <c r="F819" s="2464"/>
      <c r="G819" s="2464"/>
      <c r="H819" s="2464"/>
      <c r="I819" s="2464"/>
      <c r="J819" s="2464"/>
      <c r="K819" s="2464"/>
      <c r="L819" s="2464"/>
      <c r="M819" s="2464"/>
      <c r="N819" s="2464"/>
      <c r="O819" s="2464"/>
      <c r="P819" s="2464"/>
      <c r="Q819" s="2464"/>
      <c r="R819" s="2464"/>
      <c r="S819" s="2464"/>
      <c r="T819" s="2464"/>
      <c r="U819" s="2464"/>
      <c r="V819" s="2464"/>
      <c r="W819" s="2464"/>
      <c r="X819" s="2464"/>
      <c r="Y819" s="2464"/>
      <c r="Z819" s="2464"/>
      <c r="AA819" s="2464"/>
      <c r="AB819" s="2464"/>
      <c r="AC819" s="2464"/>
      <c r="AD819" s="2464"/>
      <c r="AE819" s="2464"/>
      <c r="AF819" s="2464"/>
      <c r="AG819" s="2464"/>
      <c r="AH819" s="2464"/>
      <c r="AI819" s="2464"/>
      <c r="AJ819" s="2464"/>
      <c r="AK819" s="2464"/>
      <c r="AL819" s="2464"/>
      <c r="AM819" s="2464"/>
    </row>
    <row r="820" spans="1:43">
      <c r="A820" s="2465"/>
      <c r="B820" s="2465"/>
      <c r="C820" s="2465"/>
      <c r="D820" s="2465"/>
      <c r="E820" s="2465"/>
      <c r="F820" s="2465"/>
      <c r="G820" s="2465"/>
      <c r="H820" s="2465"/>
      <c r="I820" s="2465"/>
      <c r="J820" s="2465"/>
      <c r="K820" s="2465"/>
      <c r="L820" s="2465"/>
      <c r="M820" s="2465"/>
      <c r="N820" s="2465"/>
      <c r="O820" s="2465"/>
      <c r="P820" s="2465"/>
      <c r="Q820" s="2465"/>
      <c r="R820" s="2465"/>
      <c r="S820" s="2465"/>
      <c r="T820" s="2465"/>
      <c r="U820" s="2465"/>
      <c r="V820" s="2465"/>
      <c r="W820" s="2465"/>
      <c r="X820" s="2465"/>
      <c r="Y820" s="2465"/>
      <c r="Z820" s="2465"/>
      <c r="AA820" s="2465"/>
      <c r="AB820" s="2465"/>
      <c r="AC820" s="2465"/>
      <c r="AD820" s="2465"/>
      <c r="AE820" s="2465"/>
      <c r="AF820" s="2465"/>
      <c r="AG820" s="2465"/>
      <c r="AH820" s="2465"/>
      <c r="AI820" s="2465"/>
      <c r="AJ820" s="2465"/>
      <c r="AK820" s="2465"/>
      <c r="AL820" s="2465"/>
      <c r="AM820" s="2465"/>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14"/>
      <c r="B822" s="2414"/>
      <c r="C822" s="2414"/>
      <c r="D822" s="2414"/>
      <c r="E822" s="2414"/>
      <c r="F822" s="2414"/>
      <c r="G822" s="2414"/>
      <c r="H822" s="2414"/>
      <c r="I822" s="2414"/>
      <c r="J822" s="2414"/>
      <c r="K822" s="2414"/>
      <c r="L822" s="2414"/>
      <c r="M822" s="2414"/>
      <c r="N822" s="2414"/>
      <c r="O822" s="2414"/>
      <c r="P822" s="2414"/>
      <c r="Q822" s="2414"/>
      <c r="R822" s="2414"/>
      <c r="S822" s="2414"/>
      <c r="T822" s="2414"/>
      <c r="U822" s="2414"/>
      <c r="V822" s="2414"/>
      <c r="W822" s="2414"/>
      <c r="X822" s="2414"/>
      <c r="Y822" s="2414"/>
      <c r="Z822" s="2414"/>
      <c r="AA822" s="2414"/>
      <c r="AB822" s="2414"/>
      <c r="AC822" s="2414"/>
      <c r="AD822" s="2414"/>
      <c r="AE822" s="2414"/>
      <c r="AF822" s="2414"/>
      <c r="AG822" s="2414"/>
      <c r="AH822" s="2414"/>
      <c r="AI822" s="2414"/>
      <c r="AJ822" s="2414"/>
      <c r="AK822" s="2414"/>
      <c r="AL822" s="2414"/>
      <c r="AM822" s="2414"/>
      <c r="AP822" s="712"/>
      <c r="AQ822" s="712"/>
    </row>
    <row r="823" spans="1:43">
      <c r="A823" s="2414"/>
      <c r="B823" s="2414"/>
      <c r="C823" s="2414"/>
      <c r="D823" s="2414"/>
      <c r="E823" s="2414"/>
      <c r="F823" s="2414"/>
      <c r="G823" s="2414"/>
      <c r="H823" s="2414"/>
      <c r="I823" s="2414"/>
      <c r="J823" s="2414"/>
      <c r="K823" s="2414"/>
      <c r="L823" s="2414"/>
      <c r="M823" s="2414"/>
      <c r="N823" s="2414"/>
      <c r="O823" s="2414"/>
      <c r="P823" s="2414"/>
      <c r="Q823" s="2414"/>
      <c r="R823" s="2414"/>
      <c r="S823" s="2414"/>
      <c r="T823" s="2414"/>
      <c r="U823" s="2414"/>
      <c r="V823" s="2414"/>
      <c r="W823" s="2414"/>
      <c r="X823" s="2414"/>
      <c r="Y823" s="2414"/>
      <c r="Z823" s="2414"/>
      <c r="AA823" s="2414"/>
      <c r="AB823" s="2414"/>
      <c r="AC823" s="2414"/>
      <c r="AD823" s="2414"/>
      <c r="AE823" s="2414"/>
      <c r="AF823" s="2414"/>
      <c r="AG823" s="2414"/>
      <c r="AH823" s="2414"/>
      <c r="AI823" s="2414"/>
      <c r="AJ823" s="2414"/>
      <c r="AK823" s="2414"/>
      <c r="AL823" s="2414"/>
      <c r="AM823" s="2414"/>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66" t="s">
        <v>2565</v>
      </c>
      <c r="U824" s="2467"/>
      <c r="V824" s="2467"/>
      <c r="W824" s="2467"/>
      <c r="X824" s="2467"/>
      <c r="Y824" s="2468"/>
      <c r="Z824" s="2466" t="s">
        <v>2566</v>
      </c>
      <c r="AA824" s="2467"/>
      <c r="AB824" s="2467"/>
      <c r="AC824" s="2467"/>
      <c r="AD824" s="2467"/>
      <c r="AE824" s="2468"/>
      <c r="AF824" s="2466" t="s">
        <v>2567</v>
      </c>
      <c r="AG824" s="2467"/>
      <c r="AH824" s="2467"/>
      <c r="AI824" s="2467"/>
      <c r="AJ824" s="2467"/>
      <c r="AK824" s="2468"/>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69"/>
      <c r="U825" s="2470"/>
      <c r="V825" s="2470"/>
      <c r="W825" s="2470"/>
      <c r="X825" s="2470"/>
      <c r="Y825" s="2471"/>
      <c r="Z825" s="2469"/>
      <c r="AA825" s="2470"/>
      <c r="AB825" s="2470"/>
      <c r="AC825" s="2470"/>
      <c r="AD825" s="2470"/>
      <c r="AE825" s="2471"/>
      <c r="AF825" s="2469"/>
      <c r="AG825" s="2470"/>
      <c r="AH825" s="2470"/>
      <c r="AI825" s="2470"/>
      <c r="AJ825" s="2470"/>
      <c r="AK825" s="2471"/>
      <c r="AL825" s="714"/>
      <c r="AM825" s="494"/>
      <c r="AO825" s="712"/>
      <c r="AP825" s="712"/>
      <c r="AQ825" s="712"/>
    </row>
    <row r="826" spans="1:43">
      <c r="A826" s="715" t="s">
        <v>53</v>
      </c>
      <c r="B826" s="2446" t="str">
        <f>B7</f>
        <v xml:space="preserve">Acquisition/Rehabilitation Project Priorities </v>
      </c>
      <c r="C826" s="2446"/>
      <c r="D826" s="2446"/>
      <c r="E826" s="2446"/>
      <c r="F826" s="2446"/>
      <c r="G826" s="2446"/>
      <c r="H826" s="2446"/>
      <c r="I826" s="2446"/>
      <c r="J826" s="2446"/>
      <c r="K826" s="2446"/>
      <c r="L826" s="2446"/>
      <c r="M826" s="2446"/>
      <c r="N826" s="2446"/>
      <c r="O826" s="2446"/>
      <c r="P826" s="2446"/>
      <c r="Q826" s="2446"/>
      <c r="R826" s="2446"/>
      <c r="S826" s="2447"/>
      <c r="T826" s="2448">
        <f>AK61</f>
        <v>0</v>
      </c>
      <c r="U826" s="2449"/>
      <c r="V826" s="2449"/>
      <c r="W826" s="2449"/>
      <c r="X826" s="2449"/>
      <c r="Y826" s="2450"/>
      <c r="Z826" s="2451">
        <v>20</v>
      </c>
      <c r="AA826" s="2449"/>
      <c r="AB826" s="2449"/>
      <c r="AC826" s="2449"/>
      <c r="AD826" s="2449"/>
      <c r="AE826" s="2450"/>
      <c r="AF826" s="2444">
        <f>IF(T826&gt;Z826,Z826,T826)</f>
        <v>0</v>
      </c>
      <c r="AG826" s="2444"/>
      <c r="AH826" s="2444"/>
      <c r="AI826" s="2444"/>
      <c r="AJ826" s="2444"/>
      <c r="AK826" s="2444"/>
      <c r="AL826" s="714"/>
      <c r="AM826" s="494"/>
      <c r="AO826" s="712"/>
      <c r="AP826" s="712"/>
      <c r="AQ826" s="712"/>
    </row>
    <row r="827" spans="1:43">
      <c r="A827" s="715" t="s">
        <v>2415</v>
      </c>
      <c r="B827" s="2446" t="s">
        <v>623</v>
      </c>
      <c r="C827" s="2446"/>
      <c r="D827" s="2446"/>
      <c r="E827" s="2446"/>
      <c r="F827" s="2446"/>
      <c r="G827" s="2446"/>
      <c r="H827" s="2446"/>
      <c r="I827" s="2446"/>
      <c r="J827" s="2446"/>
      <c r="K827" s="2446"/>
      <c r="L827" s="2446"/>
      <c r="M827" s="2446"/>
      <c r="N827" s="2446"/>
      <c r="O827" s="2446"/>
      <c r="P827" s="2446"/>
      <c r="Q827" s="2446"/>
      <c r="R827" s="2446"/>
      <c r="S827" s="2447"/>
      <c r="T827" s="2448">
        <f>AK83</f>
        <v>10</v>
      </c>
      <c r="U827" s="2449"/>
      <c r="V827" s="2449"/>
      <c r="W827" s="2449"/>
      <c r="X827" s="2449"/>
      <c r="Y827" s="2450"/>
      <c r="Z827" s="2451">
        <v>10</v>
      </c>
      <c r="AA827" s="2449"/>
      <c r="AB827" s="2449"/>
      <c r="AC827" s="2449"/>
      <c r="AD827" s="2449"/>
      <c r="AE827" s="2450"/>
      <c r="AF827" s="2444">
        <f>IF(T827&gt;Z827,Z827,T827)</f>
        <v>10</v>
      </c>
      <c r="AG827" s="2444"/>
      <c r="AH827" s="2444"/>
      <c r="AI827" s="2444"/>
      <c r="AJ827" s="2444"/>
      <c r="AK827" s="2444"/>
      <c r="AL827" s="714"/>
      <c r="AM827" s="494"/>
      <c r="AO827" s="712"/>
      <c r="AP827" s="712"/>
      <c r="AQ827" s="712"/>
    </row>
    <row r="828" spans="1:43">
      <c r="A828" s="715" t="s">
        <v>2424</v>
      </c>
      <c r="B828" s="2446" t="s">
        <v>2164</v>
      </c>
      <c r="C828" s="2446"/>
      <c r="D828" s="2446"/>
      <c r="E828" s="2446"/>
      <c r="F828" s="2446"/>
      <c r="G828" s="2446"/>
      <c r="H828" s="2446"/>
      <c r="I828" s="2446"/>
      <c r="J828" s="2446"/>
      <c r="K828" s="2446"/>
      <c r="L828" s="2446"/>
      <c r="M828" s="2446"/>
      <c r="N828" s="2446"/>
      <c r="O828" s="2446"/>
      <c r="P828" s="2446"/>
      <c r="Q828" s="2446"/>
      <c r="R828" s="2446"/>
      <c r="S828" s="2447"/>
      <c r="T828" s="2448">
        <f ca="1">AK108</f>
        <v>20</v>
      </c>
      <c r="U828" s="2449"/>
      <c r="V828" s="2449"/>
      <c r="W828" s="2449"/>
      <c r="X828" s="2449"/>
      <c r="Y828" s="2450"/>
      <c r="Z828" s="2451">
        <v>20</v>
      </c>
      <c r="AA828" s="2449"/>
      <c r="AB828" s="2449"/>
      <c r="AC828" s="2449"/>
      <c r="AD828" s="2449"/>
      <c r="AE828" s="2450"/>
      <c r="AF828" s="2444">
        <f ca="1">IF(T828&gt;Z828,Z828,T828)</f>
        <v>20</v>
      </c>
      <c r="AG828" s="2444"/>
      <c r="AH828" s="2444"/>
      <c r="AI828" s="2444"/>
      <c r="AJ828" s="2444"/>
      <c r="AK828" s="2444"/>
      <c r="AL828" s="714"/>
      <c r="AM828" s="494"/>
      <c r="AO828" s="712"/>
      <c r="AP828" s="712"/>
      <c r="AQ828" s="712"/>
    </row>
    <row r="829" spans="1:43">
      <c r="A829" s="715" t="s">
        <v>2568</v>
      </c>
      <c r="B829" s="2446" t="s">
        <v>2175</v>
      </c>
      <c r="C829" s="2446"/>
      <c r="D829" s="2446"/>
      <c r="E829" s="2446"/>
      <c r="F829" s="2446"/>
      <c r="G829" s="2446"/>
      <c r="H829" s="2446"/>
      <c r="I829" s="2446"/>
      <c r="J829" s="2446"/>
      <c r="K829" s="2446"/>
      <c r="L829" s="2446"/>
      <c r="M829" s="2446"/>
      <c r="N829" s="2446"/>
      <c r="O829" s="2446"/>
      <c r="P829" s="2446"/>
      <c r="Q829" s="2446"/>
      <c r="R829" s="2446"/>
      <c r="S829" s="2447"/>
      <c r="T829" s="2448">
        <f>AK142</f>
        <v>10</v>
      </c>
      <c r="U829" s="2449"/>
      <c r="V829" s="2449"/>
      <c r="W829" s="2449"/>
      <c r="X829" s="2449"/>
      <c r="Y829" s="2450"/>
      <c r="Z829" s="2451">
        <v>10</v>
      </c>
      <c r="AA829" s="2449"/>
      <c r="AB829" s="2449"/>
      <c r="AC829" s="2449"/>
      <c r="AD829" s="2449"/>
      <c r="AE829" s="2450"/>
      <c r="AF829" s="2444">
        <f>IF(T829&gt;Z829,Z829,T829)</f>
        <v>10</v>
      </c>
      <c r="AG829" s="2444"/>
      <c r="AH829" s="2444"/>
      <c r="AI829" s="2444"/>
      <c r="AJ829" s="2444"/>
      <c r="AK829" s="2444"/>
      <c r="AL829" s="714"/>
      <c r="AM829" s="494"/>
      <c r="AO829" s="712"/>
      <c r="AP829" s="712"/>
      <c r="AQ829" s="712"/>
    </row>
    <row r="830" spans="1:43">
      <c r="A830" s="716" t="s">
        <v>2569</v>
      </c>
      <c r="B830" s="2446" t="s">
        <v>2570</v>
      </c>
      <c r="C830" s="2446"/>
      <c r="D830" s="2446"/>
      <c r="E830" s="2446"/>
      <c r="F830" s="2446"/>
      <c r="G830" s="2446"/>
      <c r="H830" s="2446"/>
      <c r="I830" s="2446"/>
      <c r="J830" s="2446"/>
      <c r="K830" s="2446"/>
      <c r="L830" s="2446"/>
      <c r="M830" s="2446"/>
      <c r="N830" s="2446"/>
      <c r="O830" s="2446"/>
      <c r="P830" s="2446"/>
      <c r="Q830" s="2446"/>
      <c r="R830" s="2446"/>
      <c r="S830" s="2447"/>
      <c r="T830" s="2472">
        <f>SUM(T831:Y832)</f>
        <v>10</v>
      </c>
      <c r="U830" s="2472"/>
      <c r="V830" s="2472"/>
      <c r="W830" s="2472"/>
      <c r="X830" s="2472"/>
      <c r="Y830" s="2472"/>
      <c r="Z830" s="2444">
        <v>10</v>
      </c>
      <c r="AA830" s="2444"/>
      <c r="AB830" s="2444"/>
      <c r="AC830" s="2444"/>
      <c r="AD830" s="2444"/>
      <c r="AE830" s="2444"/>
      <c r="AF830" s="2444">
        <f>IF(T830&gt;Z830,Z830,T830)</f>
        <v>10</v>
      </c>
      <c r="AG830" s="2444"/>
      <c r="AH830" s="2444"/>
      <c r="AI830" s="2444"/>
      <c r="AJ830" s="2444"/>
      <c r="AK830" s="2444"/>
      <c r="AL830" s="714"/>
      <c r="AM830" s="494"/>
    </row>
    <row r="831" spans="1:43">
      <c r="A831" s="435"/>
      <c r="B831" s="499"/>
      <c r="C831" s="2473" t="s">
        <v>2571</v>
      </c>
      <c r="D831" s="2473"/>
      <c r="E831" s="2473"/>
      <c r="F831" s="2473"/>
      <c r="G831" s="2473"/>
      <c r="H831" s="2473"/>
      <c r="I831" s="2473"/>
      <c r="J831" s="2473"/>
      <c r="K831" s="2473"/>
      <c r="L831" s="2473"/>
      <c r="M831" s="2473"/>
      <c r="N831" s="2473"/>
      <c r="O831" s="2473"/>
      <c r="P831" s="2473"/>
      <c r="Q831" s="2473"/>
      <c r="R831" s="2473"/>
      <c r="S831" s="2474"/>
      <c r="T831" s="2366">
        <f>AJ165</f>
        <v>7</v>
      </c>
      <c r="U831" s="2366"/>
      <c r="V831" s="2366"/>
      <c r="W831" s="2366"/>
      <c r="X831" s="2366"/>
      <c r="Y831" s="2366"/>
      <c r="Z831" s="2367">
        <v>7</v>
      </c>
      <c r="AA831" s="2367"/>
      <c r="AB831" s="2367"/>
      <c r="AC831" s="2367"/>
      <c r="AD831" s="2367"/>
      <c r="AE831" s="2367"/>
      <c r="AF831" s="2475"/>
      <c r="AG831" s="2475"/>
      <c r="AH831" s="2475"/>
      <c r="AI831" s="2475"/>
      <c r="AJ831" s="2475"/>
      <c r="AK831" s="2475"/>
      <c r="AL831" s="714"/>
      <c r="AM831" s="494"/>
    </row>
    <row r="832" spans="1:43">
      <c r="A832" s="498"/>
      <c r="B832" s="499"/>
      <c r="C832" s="2473" t="s">
        <v>1992</v>
      </c>
      <c r="D832" s="2473"/>
      <c r="E832" s="2473"/>
      <c r="F832" s="2473"/>
      <c r="G832" s="2473"/>
      <c r="H832" s="2473"/>
      <c r="I832" s="2473"/>
      <c r="J832" s="2473"/>
      <c r="K832" s="2473"/>
      <c r="L832" s="2473"/>
      <c r="M832" s="2473"/>
      <c r="N832" s="2473"/>
      <c r="O832" s="2473"/>
      <c r="P832" s="2473"/>
      <c r="Q832" s="2473"/>
      <c r="R832" s="2473"/>
      <c r="S832" s="2474"/>
      <c r="T832" s="2366">
        <f>AJ179</f>
        <v>3</v>
      </c>
      <c r="U832" s="2366"/>
      <c r="V832" s="2366"/>
      <c r="W832" s="2366"/>
      <c r="X832" s="2366"/>
      <c r="Y832" s="2366"/>
      <c r="Z832" s="2367">
        <v>3</v>
      </c>
      <c r="AA832" s="2367"/>
      <c r="AB832" s="2367"/>
      <c r="AC832" s="2367"/>
      <c r="AD832" s="2367"/>
      <c r="AE832" s="2367"/>
      <c r="AF832" s="2475"/>
      <c r="AG832" s="2475"/>
      <c r="AH832" s="2475"/>
      <c r="AI832" s="2475"/>
      <c r="AJ832" s="2475"/>
      <c r="AK832" s="2475"/>
      <c r="AL832" s="714"/>
      <c r="AM832" s="494"/>
      <c r="AO832" s="449"/>
    </row>
    <row r="833" spans="1:81">
      <c r="A833" s="716" t="s">
        <v>2222</v>
      </c>
      <c r="B833" s="2446" t="s">
        <v>2572</v>
      </c>
      <c r="C833" s="2446"/>
      <c r="D833" s="2446"/>
      <c r="E833" s="2446"/>
      <c r="F833" s="2446"/>
      <c r="G833" s="2446"/>
      <c r="H833" s="2446"/>
      <c r="I833" s="2446"/>
      <c r="J833" s="2446"/>
      <c r="K833" s="2446"/>
      <c r="L833" s="2446"/>
      <c r="M833" s="2446"/>
      <c r="N833" s="2446"/>
      <c r="O833" s="2446"/>
      <c r="P833" s="2446"/>
      <c r="Q833" s="2446"/>
      <c r="R833" s="2446"/>
      <c r="S833" s="2447"/>
      <c r="T833" s="2472">
        <f>AK190</f>
        <v>10</v>
      </c>
      <c r="U833" s="2472"/>
      <c r="V833" s="2472"/>
      <c r="W833" s="2472"/>
      <c r="X833" s="2472"/>
      <c r="Y833" s="2472"/>
      <c r="Z833" s="2444">
        <v>10</v>
      </c>
      <c r="AA833" s="2444"/>
      <c r="AB833" s="2444"/>
      <c r="AC833" s="2444"/>
      <c r="AD833" s="2444"/>
      <c r="AE833" s="2444"/>
      <c r="AF833" s="2444">
        <f>IF(T833&gt;Z833,Z833,T833)</f>
        <v>10</v>
      </c>
      <c r="AG833" s="2444"/>
      <c r="AH833" s="2444"/>
      <c r="AI833" s="2444"/>
      <c r="AJ833" s="2444"/>
      <c r="AK833" s="2444"/>
      <c r="AL833" s="714"/>
      <c r="AM833" s="494"/>
    </row>
    <row r="834" spans="1:81" hidden="1">
      <c r="A834" s="715" t="s">
        <v>2232</v>
      </c>
      <c r="B834" s="2446" t="s">
        <v>2233</v>
      </c>
      <c r="C834" s="2446"/>
      <c r="D834" s="2446"/>
      <c r="E834" s="2446"/>
      <c r="F834" s="2446"/>
      <c r="G834" s="2446"/>
      <c r="H834" s="2446"/>
      <c r="I834" s="2446"/>
      <c r="J834" s="2446"/>
      <c r="K834" s="2446"/>
      <c r="L834" s="2446"/>
      <c r="M834" s="2446"/>
      <c r="N834" s="2446"/>
      <c r="O834" s="2446"/>
      <c r="P834" s="2446"/>
      <c r="Q834" s="2446"/>
      <c r="R834" s="2446"/>
      <c r="S834" s="2447"/>
      <c r="T834" s="2472">
        <f>AK272</f>
        <v>0</v>
      </c>
      <c r="U834" s="2472"/>
      <c r="V834" s="2472"/>
      <c r="W834" s="2472"/>
      <c r="X834" s="2472"/>
      <c r="Y834" s="2472"/>
      <c r="Z834" s="2451">
        <v>8</v>
      </c>
      <c r="AA834" s="2449"/>
      <c r="AB834" s="2449"/>
      <c r="AC834" s="2449"/>
      <c r="AD834" s="2449"/>
      <c r="AE834" s="2450"/>
      <c r="AF834" s="2444"/>
      <c r="AG834" s="2444"/>
      <c r="AH834" s="2444"/>
      <c r="AI834" s="2444"/>
      <c r="AJ834" s="2444"/>
      <c r="AK834" s="2444"/>
      <c r="AL834" s="714"/>
      <c r="AM834" s="494"/>
    </row>
    <row r="835" spans="1:81" s="434" customFormat="1" hidden="1">
      <c r="A835" s="716" t="s">
        <v>1018</v>
      </c>
      <c r="B835" s="2446" t="s">
        <v>2573</v>
      </c>
      <c r="C835" s="2446"/>
      <c r="D835" s="2446"/>
      <c r="E835" s="2446"/>
      <c r="F835" s="2446"/>
      <c r="G835" s="2446"/>
      <c r="H835" s="2446"/>
      <c r="I835" s="2446"/>
      <c r="J835" s="2446"/>
      <c r="K835" s="2446"/>
      <c r="L835" s="2446"/>
      <c r="M835" s="2446"/>
      <c r="N835" s="2446"/>
      <c r="O835" s="2446"/>
      <c r="P835" s="2446"/>
      <c r="Q835" s="2446"/>
      <c r="R835" s="2446"/>
      <c r="S835" s="2447"/>
      <c r="T835" s="2472">
        <f>IF(AK548&gt;5,5,AK548)</f>
        <v>0</v>
      </c>
      <c r="U835" s="2472"/>
      <c r="V835" s="2472"/>
      <c r="W835" s="2472"/>
      <c r="X835" s="2472"/>
      <c r="Y835" s="2472"/>
      <c r="Z835" s="2444">
        <v>5</v>
      </c>
      <c r="AA835" s="2444"/>
      <c r="AB835" s="2444"/>
      <c r="AC835" s="2444"/>
      <c r="AD835" s="2444"/>
      <c r="AE835" s="2444"/>
      <c r="AF835" s="2444"/>
      <c r="AG835" s="2444"/>
      <c r="AH835" s="2444"/>
      <c r="AI835" s="2444"/>
      <c r="AJ835" s="2444"/>
      <c r="AK835" s="2444"/>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46" t="str">
        <f>B275</f>
        <v>Readiness to Proceed</v>
      </c>
      <c r="C836" s="2446"/>
      <c r="D836" s="2446"/>
      <c r="E836" s="2446"/>
      <c r="F836" s="2446"/>
      <c r="G836" s="2446"/>
      <c r="H836" s="2446"/>
      <c r="I836" s="2446"/>
      <c r="J836" s="2446"/>
      <c r="K836" s="2446"/>
      <c r="L836" s="2446"/>
      <c r="M836" s="2446"/>
      <c r="N836" s="2446"/>
      <c r="O836" s="2446"/>
      <c r="P836" s="2446"/>
      <c r="Q836" s="2446"/>
      <c r="R836" s="2446"/>
      <c r="S836" s="2447"/>
      <c r="T836" s="2472">
        <f>AK298</f>
        <v>10</v>
      </c>
      <c r="U836" s="2472"/>
      <c r="V836" s="2472"/>
      <c r="W836" s="2472"/>
      <c r="X836" s="2472"/>
      <c r="Y836" s="2472"/>
      <c r="Z836" s="2444">
        <v>10</v>
      </c>
      <c r="AA836" s="2444"/>
      <c r="AB836" s="2444"/>
      <c r="AC836" s="2444"/>
      <c r="AD836" s="2444"/>
      <c r="AE836" s="2444"/>
      <c r="AF836" s="2477">
        <f>IF(T836&gt;Z836,Z836,T836)</f>
        <v>10</v>
      </c>
      <c r="AG836" s="2478"/>
      <c r="AH836" s="2478"/>
      <c r="AI836" s="2478"/>
      <c r="AJ836" s="2478"/>
      <c r="AK836" s="2479"/>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46" t="str">
        <f>B301</f>
        <v>Access to Opportunity</v>
      </c>
      <c r="C837" s="2446"/>
      <c r="D837" s="2446"/>
      <c r="E837" s="2446"/>
      <c r="F837" s="2446"/>
      <c r="G837" s="2446"/>
      <c r="H837" s="2446"/>
      <c r="I837" s="2446"/>
      <c r="J837" s="2446"/>
      <c r="K837" s="2446"/>
      <c r="L837" s="2446"/>
      <c r="M837" s="2446"/>
      <c r="N837" s="2446"/>
      <c r="O837" s="2446"/>
      <c r="P837" s="2446"/>
      <c r="Q837" s="2446"/>
      <c r="R837" s="2446"/>
      <c r="S837" s="2447"/>
      <c r="T837" s="2472">
        <f>AK351</f>
        <v>9</v>
      </c>
      <c r="U837" s="2472"/>
      <c r="V837" s="2472"/>
      <c r="W837" s="2472"/>
      <c r="X837" s="2472"/>
      <c r="Y837" s="2472"/>
      <c r="Z837" s="2477">
        <v>10</v>
      </c>
      <c r="AA837" s="2478"/>
      <c r="AB837" s="2478"/>
      <c r="AC837" s="2478"/>
      <c r="AD837" s="2478"/>
      <c r="AE837" s="2479"/>
      <c r="AF837" s="2477">
        <f>IF(T837&gt;Z837,Z837,T837)</f>
        <v>9</v>
      </c>
      <c r="AG837" s="2478"/>
      <c r="AH837" s="2478"/>
      <c r="AI837" s="2478"/>
      <c r="AJ837" s="2478"/>
      <c r="AK837" s="2479"/>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2574</v>
      </c>
      <c r="D838" s="719"/>
      <c r="E838" s="719"/>
      <c r="F838" s="719"/>
      <c r="G838" s="719"/>
      <c r="H838" s="719"/>
      <c r="I838" s="719"/>
      <c r="J838" s="719"/>
      <c r="K838" s="719"/>
      <c r="L838" s="719"/>
      <c r="M838" s="719"/>
      <c r="N838" s="719"/>
      <c r="O838" s="719"/>
      <c r="P838" s="719"/>
      <c r="Q838" s="719"/>
      <c r="R838" s="717"/>
      <c r="S838" s="720"/>
      <c r="T838" s="2366">
        <f>AK351</f>
        <v>9</v>
      </c>
      <c r="U838" s="2366"/>
      <c r="V838" s="2366"/>
      <c r="W838" s="2366"/>
      <c r="X838" s="2366"/>
      <c r="Y838" s="2366"/>
      <c r="Z838" s="2377">
        <v>20</v>
      </c>
      <c r="AA838" s="2378"/>
      <c r="AB838" s="2378"/>
      <c r="AC838" s="2378"/>
      <c r="AD838" s="2378"/>
      <c r="AE838" s="2379"/>
      <c r="AF838" s="2475"/>
      <c r="AG838" s="2475"/>
      <c r="AH838" s="2475"/>
      <c r="AI838" s="2475"/>
      <c r="AJ838" s="2475"/>
      <c r="AK838" s="2475"/>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46" t="s">
        <v>2319</v>
      </c>
      <c r="C839" s="2446"/>
      <c r="D839" s="2446"/>
      <c r="E839" s="2446"/>
      <c r="F839" s="2446"/>
      <c r="G839" s="2446"/>
      <c r="H839" s="2446"/>
      <c r="I839" s="2446"/>
      <c r="J839" s="2446"/>
      <c r="K839" s="2446"/>
      <c r="L839" s="2446"/>
      <c r="M839" s="2446"/>
      <c r="N839" s="2446"/>
      <c r="O839" s="2446"/>
      <c r="P839" s="2446"/>
      <c r="Q839" s="2446"/>
      <c r="R839" s="2446"/>
      <c r="S839" s="2447"/>
      <c r="T839" s="2472">
        <f>AK482</f>
        <v>10</v>
      </c>
      <c r="U839" s="2472"/>
      <c r="V839" s="2472"/>
      <c r="W839" s="2472"/>
      <c r="X839" s="2472"/>
      <c r="Y839" s="2472"/>
      <c r="Z839" s="2477">
        <v>10</v>
      </c>
      <c r="AA839" s="2478"/>
      <c r="AB839" s="2478"/>
      <c r="AC839" s="2478"/>
      <c r="AD839" s="2478"/>
      <c r="AE839" s="2479"/>
      <c r="AF839" s="2444">
        <f>IF(T839&gt;Z839,Z839,T839)</f>
        <v>10</v>
      </c>
      <c r="AG839" s="2444"/>
      <c r="AH839" s="2444"/>
      <c r="AI839" s="2444"/>
      <c r="AJ839" s="2444"/>
      <c r="AK839" s="2444"/>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46" t="s">
        <v>2435</v>
      </c>
      <c r="C840" s="2446"/>
      <c r="D840" s="2446"/>
      <c r="E840" s="2446"/>
      <c r="F840" s="2446"/>
      <c r="G840" s="2446"/>
      <c r="H840" s="2446"/>
      <c r="I840" s="2446"/>
      <c r="J840" s="2446"/>
      <c r="K840" s="2446"/>
      <c r="L840" s="2446"/>
      <c r="M840" s="2446"/>
      <c r="N840" s="2446"/>
      <c r="O840" s="2446"/>
      <c r="P840" s="2446"/>
      <c r="Q840" s="2446"/>
      <c r="R840" s="2446"/>
      <c r="S840" s="2447"/>
      <c r="T840" s="2472">
        <f>AK572</f>
        <v>12</v>
      </c>
      <c r="U840" s="2472"/>
      <c r="V840" s="2472"/>
      <c r="W840" s="2472"/>
      <c r="X840" s="2472"/>
      <c r="Y840" s="2472"/>
      <c r="Z840" s="2477">
        <v>12</v>
      </c>
      <c r="AA840" s="2478"/>
      <c r="AB840" s="2478"/>
      <c r="AC840" s="2478"/>
      <c r="AD840" s="2478"/>
      <c r="AE840" s="2479"/>
      <c r="AF840" s="2444">
        <f>IF(T840&gt;Z840,Z840,T840)</f>
        <v>12</v>
      </c>
      <c r="AG840" s="2444"/>
      <c r="AH840" s="2444"/>
      <c r="AI840" s="2444"/>
      <c r="AJ840" s="2444"/>
      <c r="AK840" s="2444"/>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46" t="s">
        <v>2575</v>
      </c>
      <c r="C841" s="2446"/>
      <c r="D841" s="2446"/>
      <c r="E841" s="2446"/>
      <c r="F841" s="2446"/>
      <c r="G841" s="2446"/>
      <c r="H841" s="2446"/>
      <c r="I841" s="2446"/>
      <c r="J841" s="2446"/>
      <c r="K841" s="2446"/>
      <c r="L841" s="2446"/>
      <c r="M841" s="2446"/>
      <c r="N841" s="2446"/>
      <c r="O841" s="2446"/>
      <c r="P841" s="2446"/>
      <c r="Q841" s="2446"/>
      <c r="R841" s="2446"/>
      <c r="S841" s="2447"/>
      <c r="T841" s="2472">
        <f>AK816</f>
        <v>10</v>
      </c>
      <c r="U841" s="2472"/>
      <c r="V841" s="2472"/>
      <c r="W841" s="2472"/>
      <c r="X841" s="2472"/>
      <c r="Y841" s="2472"/>
      <c r="Z841" s="2477">
        <v>10</v>
      </c>
      <c r="AA841" s="2478"/>
      <c r="AB841" s="2478"/>
      <c r="AC841" s="2478"/>
      <c r="AD841" s="2478"/>
      <c r="AE841" s="2479"/>
      <c r="AF841" s="2444">
        <f>IF(T841&gt;Z841,Z841,T841)</f>
        <v>10</v>
      </c>
      <c r="AG841" s="2444"/>
      <c r="AH841" s="2444"/>
      <c r="AI841" s="2444"/>
      <c r="AJ841" s="2444"/>
      <c r="AK841" s="2444"/>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2576</v>
      </c>
      <c r="B842" s="596" t="s">
        <v>2577</v>
      </c>
      <c r="C842" s="596"/>
      <c r="D842" s="596"/>
      <c r="E842" s="596"/>
      <c r="F842" s="596"/>
      <c r="G842" s="596"/>
      <c r="H842" s="596"/>
      <c r="I842" s="596"/>
      <c r="J842" s="596"/>
      <c r="K842" s="596"/>
      <c r="L842" s="596"/>
      <c r="M842" s="596"/>
      <c r="N842" s="596"/>
      <c r="O842" s="596"/>
      <c r="P842" s="596"/>
      <c r="Q842" s="596"/>
      <c r="R842" s="596"/>
      <c r="S842" s="1089"/>
      <c r="T842" s="2476"/>
      <c r="U842" s="2476"/>
      <c r="V842" s="2476"/>
      <c r="W842" s="2476"/>
      <c r="X842" s="2476"/>
      <c r="Y842" s="2476"/>
      <c r="Z842" s="2367" t="s">
        <v>2578</v>
      </c>
      <c r="AA842" s="2367"/>
      <c r="AB842" s="2367"/>
      <c r="AC842" s="2367"/>
      <c r="AD842" s="2367"/>
      <c r="AE842" s="2367"/>
      <c r="AF842" s="2477">
        <f>ABS(T842)</f>
        <v>0</v>
      </c>
      <c r="AG842" s="2478"/>
      <c r="AH842" s="2478"/>
      <c r="AI842" s="2478"/>
      <c r="AJ842" s="2478"/>
      <c r="AK842" s="2479"/>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80" t="s">
        <v>2579</v>
      </c>
      <c r="B843" s="2481"/>
      <c r="C843" s="2481"/>
      <c r="D843" s="2481"/>
      <c r="E843" s="2481"/>
      <c r="F843" s="2481"/>
      <c r="G843" s="2481"/>
      <c r="H843" s="2481"/>
      <c r="I843" s="2481"/>
      <c r="J843" s="2481"/>
      <c r="K843" s="2481"/>
      <c r="L843" s="2481"/>
      <c r="M843" s="2481"/>
      <c r="N843" s="2481"/>
      <c r="O843" s="2481"/>
      <c r="P843" s="2481"/>
      <c r="Q843" s="2481"/>
      <c r="R843" s="2481"/>
      <c r="S843" s="2481"/>
      <c r="T843" s="2481"/>
      <c r="U843" s="2481"/>
      <c r="V843" s="2481"/>
      <c r="W843" s="2481"/>
      <c r="X843" s="2481"/>
      <c r="Y843" s="2481"/>
      <c r="Z843" s="2481"/>
      <c r="AA843" s="2481"/>
      <c r="AB843" s="2481"/>
      <c r="AC843" s="2481"/>
      <c r="AD843" s="2481"/>
      <c r="AE843" s="2482"/>
      <c r="AF843" s="2486">
        <f ca="1">SUM(AF826:AK841)-AF842</f>
        <v>111</v>
      </c>
      <c r="AG843" s="2487"/>
      <c r="AH843" s="2487"/>
      <c r="AI843" s="2487"/>
      <c r="AJ843" s="2487"/>
      <c r="AK843" s="2488"/>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83"/>
      <c r="B844" s="2484"/>
      <c r="C844" s="2484"/>
      <c r="D844" s="2484"/>
      <c r="E844" s="2484"/>
      <c r="F844" s="2484"/>
      <c r="G844" s="2484"/>
      <c r="H844" s="2484"/>
      <c r="I844" s="2484"/>
      <c r="J844" s="2484"/>
      <c r="K844" s="2484"/>
      <c r="L844" s="2484"/>
      <c r="M844" s="2484"/>
      <c r="N844" s="2484"/>
      <c r="O844" s="2484"/>
      <c r="P844" s="2484"/>
      <c r="Q844" s="2484"/>
      <c r="R844" s="2484"/>
      <c r="S844" s="2484"/>
      <c r="T844" s="2484"/>
      <c r="U844" s="2484"/>
      <c r="V844" s="2484"/>
      <c r="W844" s="2484"/>
      <c r="X844" s="2484"/>
      <c r="Y844" s="2484"/>
      <c r="Z844" s="2484"/>
      <c r="AA844" s="2484"/>
      <c r="AB844" s="2484"/>
      <c r="AC844" s="2484"/>
      <c r="AD844" s="2484"/>
      <c r="AE844" s="2485"/>
      <c r="AF844" s="2489"/>
      <c r="AG844" s="2490"/>
      <c r="AH844" s="2490"/>
      <c r="AI844" s="2490"/>
      <c r="AJ844" s="2490"/>
      <c r="AK844" s="2491"/>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D3B3976B51D24581DC564F6D2F61F0" ma:contentTypeVersion="15" ma:contentTypeDescription="Create a new document." ma:contentTypeScope="" ma:versionID="6edeedf2f7e7cafa953118c0d4abef5b">
  <xsd:schema xmlns:xsd="http://www.w3.org/2001/XMLSchema" xmlns:xs="http://www.w3.org/2001/XMLSchema" xmlns:p="http://schemas.microsoft.com/office/2006/metadata/properties" xmlns:ns1="http://schemas.microsoft.com/sharepoint/v3" xmlns:ns2="cd71357c-e72f-4cb3-9048-4149a8070f75" xmlns:ns3="a4e1918c-d877-4488-8e2a-f60e3366650a" targetNamespace="http://schemas.microsoft.com/office/2006/metadata/properties" ma:root="true" ma:fieldsID="9dbde4b67eefb1c22ca2db0c9d55aa1a" ns1:_="" ns2:_="" ns3:_="">
    <xsd:import namespace="http://schemas.microsoft.com/sharepoint/v3"/>
    <xsd:import namespace="cd71357c-e72f-4cb3-9048-4149a8070f75"/>
    <xsd:import namespace="a4e1918c-d877-4488-8e2a-f60e3366650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OCR" minOccurs="0"/>
                <xsd:element ref="ns2:MediaServiceEventHashCode" minOccurs="0"/>
                <xsd:element ref="ns2:MediaServiceLocation" minOccurs="0"/>
                <xsd:element ref="ns2:MediaLengthInSecond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71357c-e72f-4cb3-9048-4149a8070f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4864ea4-570d-452f-a457-ce90c4599a4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e1918c-d877-4488-8e2a-f60e3366650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80e117b-30c8-4a8b-9bdc-12461d15d9e3}" ma:internalName="TaxCatchAll" ma:showField="CatchAllData" ma:web="a4e1918c-d877-4488-8e2a-f60e336665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4e1918c-d877-4488-8e2a-f60e3366650a" xsi:nil="true"/>
    <lcf76f155ced4ddcb4097134ff3c332f xmlns="cd71357c-e72f-4cb3-9048-4149a8070f7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83339E-00F2-4A68-ACC0-9E580709D458}"/>
</file>

<file path=customXml/itemProps2.xml><?xml version="1.0" encoding="utf-8"?>
<ds:datastoreItem xmlns:ds="http://schemas.openxmlformats.org/officeDocument/2006/customXml" ds:itemID="{B6596DF3-7AB5-4DDC-852D-D06E876141CE}"/>
</file>

<file path=customXml/itemProps3.xml><?xml version="1.0" encoding="utf-8"?>
<ds:datastoreItem xmlns:ds="http://schemas.openxmlformats.org/officeDocument/2006/customXml" ds:itemID="{EBEBA7FC-560B-475B-8295-9D62F249FE0B}"/>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Jonathan Lee</cp:lastModifiedBy>
  <cp:revision/>
  <dcterms:created xsi:type="dcterms:W3CDTF">2007-12-27T18:26:28Z</dcterms:created>
  <dcterms:modified xsi:type="dcterms:W3CDTF">2026-01-30T21:24:42Z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0x010100F3D3B3976B51D24581DC564F6D2F61F0</vt:lpwstr>
  </property>
  <property fmtid="{D5CDD505-2E9C-101B-9397-08002B2CF9AE}" pid="3" name="MediaServiceImageTags">
    <vt:lpwstr/>
  </property>
</Properties>
</file>