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jared\Downloads\"/>
    </mc:Choice>
  </mc:AlternateContent>
  <xr:revisionPtr revIDLastSave="0" documentId="13_ncr:1_{1CFEEC7F-8FAF-4C58-8FEF-5D0734BC2F8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8868" yWindow="0" windowWidth="13884" windowHeight="13776"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2" i="3" l="1"/>
  <c r="C52" i="4" l="1"/>
  <c r="D52" i="4"/>
  <c r="S41" i="4"/>
  <c r="S34" i="4"/>
  <c r="H103" i="4"/>
  <c r="H102" i="4"/>
  <c r="H101" i="4"/>
  <c r="H100" i="4"/>
  <c r="H95" i="4"/>
  <c r="H94" i="4"/>
  <c r="H91" i="4"/>
  <c r="H84" i="4"/>
  <c r="H83" i="4"/>
  <c r="H76" i="4"/>
  <c r="H75" i="4"/>
  <c r="H74" i="4"/>
  <c r="H73" i="4"/>
  <c r="H72" i="4"/>
  <c r="H68" i="4"/>
  <c r="H67" i="4"/>
  <c r="H66" i="4"/>
  <c r="H65" i="4"/>
  <c r="H61" i="4"/>
  <c r="H60" i="4"/>
  <c r="H59" i="4"/>
  <c r="H58" i="4"/>
  <c r="H57" i="4"/>
  <c r="H56" i="4"/>
  <c r="H48" i="4"/>
  <c r="H47" i="4"/>
  <c r="H41" i="4"/>
  <c r="H34" i="4"/>
  <c r="H14" i="4"/>
  <c r="H15" i="4"/>
  <c r="H13" i="4"/>
  <c r="H9" i="4"/>
  <c r="H5" i="4"/>
  <c r="H6" i="4"/>
  <c r="H7" i="4"/>
  <c r="H4" i="4"/>
  <c r="C61" i="4"/>
  <c r="D49" i="4"/>
  <c r="H49" i="4" s="1"/>
  <c r="C30" i="4"/>
  <c r="S30" i="4" s="1"/>
  <c r="H88" i="4"/>
  <c r="D89" i="4"/>
  <c r="H89" i="4" s="1"/>
  <c r="D90" i="4"/>
  <c r="H90" i="4" s="1"/>
  <c r="C88" i="4"/>
  <c r="C76" i="4"/>
  <c r="C65" i="4"/>
  <c r="C58" i="4"/>
  <c r="H45" i="4"/>
  <c r="H46" i="4"/>
  <c r="H53" i="4"/>
  <c r="D30" i="4"/>
  <c r="H30" i="4" s="1"/>
  <c r="C6" i="4"/>
  <c r="W635" i="3"/>
  <c r="T635" i="3"/>
  <c r="Q635" i="3"/>
  <c r="AM566" i="3"/>
  <c r="W563" i="3"/>
  <c r="W562" i="3"/>
  <c r="Q562" i="3"/>
  <c r="Q563" i="3" s="1"/>
  <c r="I430" i="3"/>
  <c r="D79" i="4" l="1"/>
  <c r="H79" i="4" s="1"/>
  <c r="C4" i="4"/>
  <c r="S65" i="4"/>
  <c r="C90" i="4"/>
  <c r="AG457" i="3"/>
  <c r="D10" i="4" l="1"/>
  <c r="H10" i="4" s="1"/>
  <c r="D69" i="4"/>
  <c r="H69" i="4" s="1"/>
  <c r="D86" i="4"/>
  <c r="H86" i="4" s="1"/>
  <c r="D51" i="4"/>
  <c r="H51" i="4" s="1"/>
  <c r="D80" i="4"/>
  <c r="H80" i="4" s="1"/>
  <c r="D29" i="4"/>
  <c r="H29" i="4" s="1"/>
  <c r="D37" i="4"/>
  <c r="H37" i="4" s="1"/>
  <c r="D31" i="4"/>
  <c r="H31" i="4" s="1"/>
  <c r="D35" i="4"/>
  <c r="H35" i="4" s="1"/>
  <c r="D32" i="4"/>
  <c r="D36" i="4"/>
  <c r="H36" i="4" s="1"/>
  <c r="D40" i="4"/>
  <c r="H40" i="4" s="1"/>
  <c r="D43" i="4"/>
  <c r="H43" i="4" s="1"/>
  <c r="C43" i="4"/>
  <c r="S43" i="4" s="1"/>
  <c r="H52" i="4"/>
  <c r="D50" i="4"/>
  <c r="H50" i="4" s="1"/>
  <c r="D92" i="4"/>
  <c r="H92" i="4" s="1"/>
  <c r="C79" i="4"/>
  <c r="S79" i="4" s="1"/>
  <c r="S53" i="4"/>
  <c r="C53" i="4"/>
  <c r="C89" i="4"/>
  <c r="S89" i="4" s="1"/>
  <c r="D85" i="4"/>
  <c r="H85" i="4" s="1"/>
  <c r="AF842" i="20"/>
  <c r="C10" i="4" l="1"/>
  <c r="C69" i="4"/>
  <c r="S69" i="4" s="1"/>
  <c r="C86" i="4"/>
  <c r="S86" i="4" s="1"/>
  <c r="C51" i="4"/>
  <c r="S51" i="4" s="1"/>
  <c r="C80" i="4"/>
  <c r="S80" i="4" s="1"/>
  <c r="C29" i="4"/>
  <c r="S29" i="4" s="1"/>
  <c r="C37" i="4"/>
  <c r="S37" i="4" s="1"/>
  <c r="C31" i="4"/>
  <c r="S31" i="4" s="1"/>
  <c r="C35" i="4"/>
  <c r="S35" i="4" s="1"/>
  <c r="C32" i="4"/>
  <c r="H32" i="4"/>
  <c r="D33" i="4"/>
  <c r="H33" i="4" s="1"/>
  <c r="C36" i="4"/>
  <c r="C40" i="4"/>
  <c r="S40" i="4" s="1"/>
  <c r="S52" i="4"/>
  <c r="C50" i="4"/>
  <c r="S50" i="4" s="1"/>
  <c r="C92" i="4"/>
  <c r="S92" i="4" s="1"/>
  <c r="C85" i="4"/>
  <c r="AJ814" i="20"/>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G10" i="4" l="1"/>
  <c r="S10" i="4"/>
  <c r="S32" i="4"/>
  <c r="C33" i="4"/>
  <c r="S33" i="4" s="1"/>
  <c r="S36" i="4"/>
  <c r="S85" i="4"/>
  <c r="AF1036" i="3"/>
  <c r="J28" i="24"/>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BA1061" i="3"/>
  <c r="BE7" i="3" l="1"/>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4" i="3"/>
  <c r="AT568" i="3"/>
  <c r="AT569" i="3"/>
  <c r="AT570" i="3"/>
  <c r="AT571" i="3"/>
  <c r="AT572" i="3"/>
  <c r="AT573" i="3"/>
  <c r="R24" i="4"/>
  <c r="AF1035" i="3"/>
  <c r="AF1030" i="3"/>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9" i="11"/>
  <c r="C90" i="11"/>
  <c r="C91" i="11"/>
  <c r="C92" i="11"/>
  <c r="C93" i="11"/>
  <c r="C95" i="11"/>
  <c r="C96" i="11"/>
  <c r="B85" i="11"/>
  <c r="B86" i="11"/>
  <c r="B87" i="11"/>
  <c r="B89" i="11"/>
  <c r="B90" i="11"/>
  <c r="B91" i="11"/>
  <c r="B92" i="11"/>
  <c r="B93" i="11"/>
  <c r="B95" i="11"/>
  <c r="B96" i="11"/>
  <c r="A70" i="11"/>
  <c r="C67" i="11"/>
  <c r="C68" i="11"/>
  <c r="C69" i="11"/>
  <c r="C70" i="11"/>
  <c r="B67" i="11"/>
  <c r="B68" i="11"/>
  <c r="B69" i="11"/>
  <c r="B70" i="11"/>
  <c r="A62" i="11"/>
  <c r="A54" i="11"/>
  <c r="A38" i="11"/>
  <c r="A26" i="11"/>
  <c r="C31" i="11"/>
  <c r="C32" i="11"/>
  <c r="C33" i="11"/>
  <c r="C34" i="11"/>
  <c r="C35" i="11"/>
  <c r="C37" i="11"/>
  <c r="C38" i="11"/>
  <c r="B31" i="11"/>
  <c r="B32" i="11"/>
  <c r="B33" i="11"/>
  <c r="B34" i="11"/>
  <c r="B35"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9" i="13"/>
  <c r="E86" i="13"/>
  <c r="E85" i="13"/>
  <c r="E84" i="13"/>
  <c r="E79" i="13"/>
  <c r="E65" i="13"/>
  <c r="E53" i="13"/>
  <c r="E52" i="13"/>
  <c r="E51" i="13"/>
  <c r="E50" i="13"/>
  <c r="E48" i="13"/>
  <c r="E47"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2" i="13"/>
  <c r="B91" i="13"/>
  <c r="B90" i="13"/>
  <c r="B89" i="13"/>
  <c r="B88" i="13"/>
  <c r="B86" i="13"/>
  <c r="B85" i="13"/>
  <c r="B84" i="13"/>
  <c r="B79" i="13"/>
  <c r="B76" i="13"/>
  <c r="B74" i="13"/>
  <c r="B73" i="13"/>
  <c r="B72" i="13"/>
  <c r="B65" i="13"/>
  <c r="B61" i="13"/>
  <c r="B60" i="13"/>
  <c r="B59" i="13"/>
  <c r="B58" i="13"/>
  <c r="B57" i="13"/>
  <c r="B53" i="13"/>
  <c r="B52" i="13"/>
  <c r="B51" i="13"/>
  <c r="B50" i="13"/>
  <c r="B48" i="13"/>
  <c r="B47" i="13"/>
  <c r="B43" i="13"/>
  <c r="C42" i="4"/>
  <c r="B42" i="13" s="1"/>
  <c r="B41" i="13"/>
  <c r="B40" i="13"/>
  <c r="B37"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62" i="4"/>
  <c r="D77" i="4"/>
  <c r="S38" i="4"/>
  <c r="E38" i="13" s="1"/>
  <c r="S42" i="4"/>
  <c r="E42" i="13" s="1"/>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K8" i="4"/>
  <c r="K11" i="4"/>
  <c r="L8" i="4"/>
  <c r="L11" i="4"/>
  <c r="M8" i="4"/>
  <c r="M11" i="4"/>
  <c r="N8" i="4"/>
  <c r="O8" i="4"/>
  <c r="Q8" i="4"/>
  <c r="Q11" i="4"/>
  <c r="B9" i="4"/>
  <c r="E9" i="4" s="1"/>
  <c r="B10" i="4"/>
  <c r="F11" i="4"/>
  <c r="F26" i="4"/>
  <c r="F42" i="4"/>
  <c r="F54" i="4"/>
  <c r="F62" i="4"/>
  <c r="N11" i="4"/>
  <c r="O11" i="4"/>
  <c r="B13" i="4"/>
  <c r="E13" i="4" s="1"/>
  <c r="R13" i="4" s="1"/>
  <c r="B14" i="4"/>
  <c r="E14" i="4" s="1"/>
  <c r="R14" i="4" s="1"/>
  <c r="B15" i="4"/>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E33" i="4" s="1"/>
  <c r="R33" i="4" s="1"/>
  <c r="B34" i="4"/>
  <c r="E34" i="4" s="1"/>
  <c r="R34" i="4" s="1"/>
  <c r="B37" i="4"/>
  <c r="E37" i="4" s="1"/>
  <c r="R37" i="4" s="1"/>
  <c r="H38" i="4"/>
  <c r="K38" i="4"/>
  <c r="L38" i="4"/>
  <c r="O38" i="4"/>
  <c r="P38" i="4"/>
  <c r="P42" i="4"/>
  <c r="P54" i="4"/>
  <c r="P62" i="4"/>
  <c r="P70" i="4"/>
  <c r="P77" i="4"/>
  <c r="P96" i="4"/>
  <c r="P104" i="4"/>
  <c r="Q38" i="4"/>
  <c r="B40" i="4"/>
  <c r="E40" i="4" s="1"/>
  <c r="B41" i="4"/>
  <c r="E41" i="4" s="1"/>
  <c r="R41" i="4" s="1"/>
  <c r="G42" i="4"/>
  <c r="H42" i="4"/>
  <c r="K42" i="4"/>
  <c r="L42" i="4"/>
  <c r="O42" i="4"/>
  <c r="Q42" i="4"/>
  <c r="B43" i="4"/>
  <c r="E43" i="4" s="1"/>
  <c r="R43" i="4" s="1"/>
  <c r="B47" i="4"/>
  <c r="E47" i="4" s="1"/>
  <c r="R47" i="4" s="1"/>
  <c r="B48" i="4"/>
  <c r="E48" i="4" s="1"/>
  <c r="R48" i="4" s="1"/>
  <c r="B50" i="4"/>
  <c r="E50" i="4" s="1"/>
  <c r="R50" i="4" s="1"/>
  <c r="B51" i="4"/>
  <c r="E51" i="4" s="1"/>
  <c r="R51" i="4" s="1"/>
  <c r="B52" i="4"/>
  <c r="B53" i="4"/>
  <c r="E53" i="4" s="1"/>
  <c r="R53" i="4"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79" i="4"/>
  <c r="E79" i="4" s="1"/>
  <c r="B84" i="4"/>
  <c r="E84" i="4" s="1"/>
  <c r="R84" i="4" s="1"/>
  <c r="B85" i="4"/>
  <c r="E85" i="4" s="1"/>
  <c r="R85" i="4" s="1"/>
  <c r="B86" i="4"/>
  <c r="E86" i="4" s="1"/>
  <c r="R86" i="4" s="1"/>
  <c r="B88" i="4"/>
  <c r="E88" i="4" s="1"/>
  <c r="R88" i="4" s="1"/>
  <c r="B89" i="4"/>
  <c r="E89" i="4" s="1"/>
  <c r="R89" i="4" s="1"/>
  <c r="B90" i="4"/>
  <c r="E90" i="4" s="1"/>
  <c r="R90" i="4" s="1"/>
  <c r="B91" i="4"/>
  <c r="E91" i="4" s="1"/>
  <c r="R91" i="4" s="1"/>
  <c r="B92" i="4"/>
  <c r="E92" i="4" s="1"/>
  <c r="R92" i="4" s="1"/>
  <c r="B94" i="4"/>
  <c r="E94" i="4" s="1"/>
  <c r="R94" i="4" s="1"/>
  <c r="B95" i="4"/>
  <c r="E95" i="4" s="1"/>
  <c r="R95" i="4" s="1"/>
  <c r="F96" i="4"/>
  <c r="G96" i="4"/>
  <c r="I96" i="4"/>
  <c r="K96" i="4"/>
  <c r="L96" i="4"/>
  <c r="Q96" i="4"/>
  <c r="B101" i="4"/>
  <c r="E101" i="4" s="1"/>
  <c r="R101" i="4" s="1"/>
  <c r="B102" i="4"/>
  <c r="E102" i="4" s="1"/>
  <c r="R102" i="4" s="1"/>
  <c r="B103" i="4"/>
  <c r="E103" i="4" s="1"/>
  <c r="R103" i="4" s="1"/>
  <c r="F104" i="4"/>
  <c r="G104" i="4"/>
  <c r="K104" i="4"/>
  <c r="L104" i="4"/>
  <c r="Q104"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E23" i="3" l="1"/>
  <c r="E4" i="4"/>
  <c r="R9" i="4"/>
  <c r="E10" i="4"/>
  <c r="AD209" i="20"/>
  <c r="E15" i="4"/>
  <c r="R15" i="4" s="1"/>
  <c r="E29" i="4"/>
  <c r="R29" i="4" s="1"/>
  <c r="E32" i="4"/>
  <c r="R32" i="4" s="1"/>
  <c r="E42" i="4"/>
  <c r="R40" i="4"/>
  <c r="R42" i="4" s="1"/>
  <c r="E70" i="4"/>
  <c r="R65" i="4"/>
  <c r="R70" i="4" s="1"/>
  <c r="E81" i="4"/>
  <c r="R79" i="4"/>
  <c r="R81" i="4" s="1"/>
  <c r="E31" i="4"/>
  <c r="R31" i="4" s="1"/>
  <c r="B26" i="4"/>
  <c r="D35" i="11"/>
  <c r="B8" i="13"/>
  <c r="N183" i="24"/>
  <c r="T20" i="21"/>
  <c r="AD7" i="15"/>
  <c r="AD68" i="15"/>
  <c r="BE24" i="3"/>
  <c r="BE69" i="3"/>
  <c r="D86" i="11"/>
  <c r="D87" i="11"/>
  <c r="D103" i="11"/>
  <c r="D34" i="11"/>
  <c r="D6" i="11"/>
  <c r="D25" i="11"/>
  <c r="D91" i="11"/>
  <c r="D54" i="11"/>
  <c r="D90" i="11"/>
  <c r="D70" i="11"/>
  <c r="D93" i="11"/>
  <c r="D85" i="11"/>
  <c r="D89" i="11"/>
  <c r="D101" i="11"/>
  <c r="D32" i="11"/>
  <c r="D33" i="11"/>
  <c r="D92" i="11"/>
  <c r="D96" i="11"/>
  <c r="D104" i="11"/>
  <c r="C82" i="11"/>
  <c r="B8" i="4"/>
  <c r="N184" i="24" s="1"/>
  <c r="D95" i="11"/>
  <c r="C12" i="4"/>
  <c r="B12" i="13" s="1"/>
  <c r="D75" i="11"/>
  <c r="D62" i="11"/>
  <c r="D58" i="11"/>
  <c r="L12" i="4"/>
  <c r="D38" i="11"/>
  <c r="B42" i="4"/>
  <c r="H12" i="4"/>
  <c r="D51" i="11"/>
  <c r="D49" i="11"/>
  <c r="D48" i="11"/>
  <c r="D20" i="11"/>
  <c r="D15" i="11"/>
  <c r="D8" i="11"/>
  <c r="D41" i="11"/>
  <c r="D12" i="13"/>
  <c r="D74" i="11"/>
  <c r="C12" i="13"/>
  <c r="D77" i="11"/>
  <c r="D73" i="11"/>
  <c r="D53" i="11"/>
  <c r="D21" i="11"/>
  <c r="D16" i="11"/>
  <c r="B12" i="11"/>
  <c r="D5" i="11"/>
  <c r="D66" i="11"/>
  <c r="D59" i="11"/>
  <c r="D42" i="11"/>
  <c r="D28" i="11"/>
  <c r="N63" i="4"/>
  <c r="N97" i="4" s="1"/>
  <c r="N105" i="4" s="1"/>
  <c r="D12" i="4"/>
  <c r="C43" i="11"/>
  <c r="F12" i="4"/>
  <c r="D11" i="11"/>
  <c r="F63" i="13"/>
  <c r="F97" i="13" s="1"/>
  <c r="F105" i="13" s="1"/>
  <c r="F107" i="13" s="1"/>
  <c r="D24" i="11"/>
  <c r="B71" i="11"/>
  <c r="O12" i="4"/>
  <c r="D10" i="11"/>
  <c r="B43" i="11"/>
  <c r="Q12" i="4"/>
  <c r="K12" i="4"/>
  <c r="D61" i="11"/>
  <c r="B9" i="11"/>
  <c r="J12" i="4"/>
  <c r="D30" i="11"/>
  <c r="D22" i="11"/>
  <c r="D80" i="11"/>
  <c r="D31" i="11"/>
  <c r="O63" i="4"/>
  <c r="O97" i="4" s="1"/>
  <c r="O105" i="4" s="1"/>
  <c r="M63" i="4"/>
  <c r="M97" i="4" s="1"/>
  <c r="M105" i="4" s="1"/>
  <c r="N12" i="4"/>
  <c r="I12" i="4"/>
  <c r="B70" i="4"/>
  <c r="D102" i="11"/>
  <c r="P63" i="4"/>
  <c r="P97" i="4" s="1"/>
  <c r="P105" i="4" s="1"/>
  <c r="I63" i="13"/>
  <c r="I97" i="13" s="1"/>
  <c r="I105" i="13" s="1"/>
  <c r="I107" i="13" s="1"/>
  <c r="C63" i="13"/>
  <c r="C97" i="13" s="1"/>
  <c r="C105" i="13" s="1"/>
  <c r="C71" i="11"/>
  <c r="B81" i="4"/>
  <c r="G58" i="7"/>
  <c r="L63" i="4"/>
  <c r="L97" i="4" s="1"/>
  <c r="L105" i="4" s="1"/>
  <c r="D52" i="11"/>
  <c r="D44" i="11"/>
  <c r="D18" i="11"/>
  <c r="C12" i="11"/>
  <c r="J63" i="4"/>
  <c r="J97" i="4" s="1"/>
  <c r="Q63" i="4"/>
  <c r="Q97" i="4" s="1"/>
  <c r="Q105" i="4" s="1"/>
  <c r="B11" i="4"/>
  <c r="J63" i="13"/>
  <c r="J97" i="13" s="1"/>
  <c r="J105" i="13" s="1"/>
  <c r="J107" i="13" s="1"/>
  <c r="D81" i="11"/>
  <c r="D60" i="11"/>
  <c r="M12" i="4"/>
  <c r="R26" i="4"/>
  <c r="D63" i="13"/>
  <c r="D97" i="13" s="1"/>
  <c r="D105" i="13" s="1"/>
  <c r="D23" i="11"/>
  <c r="D19" i="11"/>
  <c r="D14" i="11"/>
  <c r="D7" i="11"/>
  <c r="G63" i="13"/>
  <c r="G97" i="13" s="1"/>
  <c r="G105" i="13" s="1"/>
  <c r="G107" i="13" s="1"/>
  <c r="M53" i="7"/>
  <c r="K58" i="7"/>
  <c r="C27" i="11"/>
  <c r="B82" i="11"/>
  <c r="H63" i="4"/>
  <c r="I58" i="7"/>
  <c r="C9" i="11"/>
  <c r="T63" i="4"/>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Y1012" i="3"/>
  <c r="I1057" i="3" s="1"/>
  <c r="C806"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O71" i="20"/>
  <c r="AP388" i="20"/>
  <c r="AQ388" i="20" s="1"/>
  <c r="AK548" i="20"/>
  <c r="T835" i="20" s="1"/>
  <c r="BF761" i="3"/>
  <c r="CU761" i="3"/>
  <c r="EC656" i="3" s="1"/>
  <c r="FE726" i="3"/>
  <c r="FE761" i="3" s="1"/>
  <c r="Y7" i="15"/>
  <c r="AI7" i="15"/>
  <c r="EZ726" i="3"/>
  <c r="CP761" i="3"/>
  <c r="DX677" i="3" s="1"/>
  <c r="DU761" i="3"/>
  <c r="AC28"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ET761" i="3"/>
  <c r="T24" i="21"/>
  <c r="B27" i="11"/>
  <c r="D26" i="11"/>
  <c r="T30" i="21"/>
  <c r="T7" i="15"/>
  <c r="P36" i="21" a="1"/>
  <c r="P36" i="21" s="1"/>
  <c r="T28" i="21"/>
  <c r="P40" i="21" a="1"/>
  <c r="P40" i="21"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D210" i="20" l="1"/>
  <c r="E8" i="4"/>
  <c r="R4" i="4"/>
  <c r="R8" i="4" s="1"/>
  <c r="R10" i="4"/>
  <c r="R11" i="4" s="1"/>
  <c r="E11" i="4"/>
  <c r="AJ634" i="20"/>
  <c r="G108" i="21"/>
  <c r="N190" i="24"/>
  <c r="D43" i="11"/>
  <c r="D71" i="11"/>
  <c r="B12" i="4"/>
  <c r="D82" i="11"/>
  <c r="D12" i="11"/>
  <c r="B13" i="11"/>
  <c r="D2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E29" i="21"/>
  <c r="G24" i="21"/>
  <c r="R12" i="4" l="1"/>
  <c r="E12" i="4"/>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P20" i="21" a="1"/>
  <c r="P20" i="21" s="1"/>
  <c r="S20" i="21" s="1"/>
  <c r="DU763" i="3"/>
  <c r="O764" i="3" s="1"/>
  <c r="BG761" i="3"/>
  <c r="BU761" i="3"/>
  <c r="AH761" i="3" s="1"/>
  <c r="BE43" i="3" s="1"/>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F27" i="21"/>
  <c r="G52" i="21"/>
  <c r="G54" i="21" s="1"/>
  <c r="G56" i="21" s="1"/>
  <c r="E12" i="21" s="1"/>
  <c r="F28" i="21"/>
  <c r="G28" i="21" s="1"/>
  <c r="G61" i="21"/>
  <c r="G63" i="21" s="1"/>
  <c r="G65" i="21" s="1"/>
  <c r="E13" i="21" s="1"/>
  <c r="AK190" i="20" l="1"/>
  <c r="T827" i="20"/>
  <c r="AF827" i="20" s="1"/>
  <c r="H105" i="13"/>
  <c r="T107" i="4"/>
  <c r="H107" i="13" s="1"/>
  <c r="Q58" i="7"/>
  <c r="S53" i="7"/>
  <c r="G45" i="21"/>
  <c r="G47" i="21" s="1"/>
  <c r="E10" i="21" s="1"/>
  <c r="E11" i="21"/>
  <c r="AP718" i="20"/>
  <c r="AJ724" i="20" s="1"/>
  <c r="AK816" i="20" s="1"/>
  <c r="T841" i="20" s="1"/>
  <c r="AF841" i="20" s="1"/>
  <c r="BE82" i="3" s="1"/>
  <c r="AP719" i="20"/>
  <c r="I4" i="7"/>
  <c r="I5" i="7" s="1"/>
  <c r="K9" i="7"/>
  <c r="E11" i="7"/>
  <c r="AJ1001" i="3"/>
  <c r="AJ1003" i="3" s="1"/>
  <c r="E137" i="20"/>
  <c r="E138" i="20" s="1"/>
  <c r="AK142" i="20" s="1"/>
  <c r="AB1000" i="3"/>
  <c r="DU810" i="3"/>
  <c r="U386" i="20" s="1"/>
  <c r="P430" i="3"/>
  <c r="I6" i="7"/>
  <c r="G7" i="7"/>
  <c r="G11" i="7" s="1"/>
  <c r="M22" i="7"/>
  <c r="O15" i="7"/>
  <c r="M9" i="7"/>
  <c r="O8" i="7"/>
  <c r="G27" i="21"/>
  <c r="F26" i="21"/>
  <c r="AD11" i="15" l="1"/>
  <c r="AD23" i="15" s="1"/>
  <c r="AD26" i="15" s="1"/>
  <c r="AD28" i="15" s="1"/>
  <c r="AI11" i="15"/>
  <c r="AI23" i="15" s="1"/>
  <c r="AI26" i="15" s="1"/>
  <c r="AI28" i="15" s="1"/>
  <c r="AJ1016" i="3"/>
  <c r="AJ1038" i="3"/>
  <c r="AJ1050" i="3"/>
  <c r="AJ1045" i="3"/>
  <c r="I15" i="21" s="1"/>
  <c r="BE72" i="3"/>
  <c r="T829" i="20"/>
  <c r="AF829" i="20" s="1"/>
  <c r="T833" i="20"/>
  <c r="AF833" i="20" s="1"/>
  <c r="BE76" i="3" s="1"/>
  <c r="Y64" i="15"/>
  <c r="Y68" i="15" s="1"/>
  <c r="S58" i="7"/>
  <c r="U53" i="7"/>
  <c r="AJ1054" i="3"/>
  <c r="AJ1058" i="3"/>
  <c r="AP563" i="20"/>
  <c r="K4" i="7"/>
  <c r="M4" i="7" s="1"/>
  <c r="K6" i="7"/>
  <c r="I7" i="7"/>
  <c r="I11" i="7" s="1"/>
  <c r="G26" i="21"/>
  <c r="F29" i="21"/>
  <c r="G29" i="21"/>
  <c r="O22" i="7"/>
  <c r="Q15" i="7"/>
  <c r="O9" i="7"/>
  <c r="Q8" i="7"/>
  <c r="BE74" i="3" l="1"/>
  <c r="AP566" i="20"/>
  <c r="U58" i="7"/>
  <c r="W53" i="7"/>
  <c r="AJ1062" i="3"/>
  <c r="AP565" i="20"/>
  <c r="Y69" i="15"/>
  <c r="K5" i="7"/>
  <c r="O4" i="7"/>
  <c r="M5" i="7"/>
  <c r="M6" i="7"/>
  <c r="K7" i="7"/>
  <c r="Q22" i="7"/>
  <c r="S15" i="7"/>
  <c r="G93" i="21"/>
  <c r="G31" i="21"/>
  <c r="G33" i="21" s="1"/>
  <c r="E9" i="21" s="1"/>
  <c r="G102" i="21"/>
  <c r="G104" i="21" s="1"/>
  <c r="E16" i="21" s="1"/>
  <c r="G125" i="21"/>
  <c r="G110" i="21"/>
  <c r="Q9" i="7"/>
  <c r="S8" i="7"/>
  <c r="AP567" i="20" l="1"/>
  <c r="G94" i="21"/>
  <c r="E15" i="21" s="1"/>
  <c r="W58" i="7"/>
  <c r="Y53" i="7"/>
  <c r="T24" i="15"/>
  <c r="AP570" i="20"/>
  <c r="AP569" i="20" s="1"/>
  <c r="K11" i="7"/>
  <c r="O5" i="7"/>
  <c r="Q4" i="7"/>
  <c r="M7" i="7"/>
  <c r="M11" i="7" s="1"/>
  <c r="O6" i="7"/>
  <c r="G115" i="21"/>
  <c r="G127" i="21"/>
  <c r="G111" i="21"/>
  <c r="S22" i="7"/>
  <c r="U15" i="7"/>
  <c r="U8" i="7"/>
  <c r="S9" i="7"/>
  <c r="AP572" i="20" l="1"/>
  <c r="AF565" i="20" s="1"/>
  <c r="AA53" i="7"/>
  <c r="Y58" i="7"/>
  <c r="G129"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61" i="3" l="1"/>
  <c r="AC761" i="3" s="1"/>
  <c r="BE42" i="3" l="1"/>
  <c r="E92" i="20"/>
  <c r="E93" i="20" s="1"/>
  <c r="E94" i="20" s="1"/>
  <c r="E102" i="20"/>
  <c r="E105" i="20" s="1"/>
  <c r="AP105" i="20" s="1"/>
  <c r="AK108" i="20" s="1"/>
  <c r="T828" i="20" s="1"/>
  <c r="AF828" i="20" s="1"/>
  <c r="BE73" i="3" l="1"/>
  <c r="H3" i="21"/>
  <c r="AT565" i="3"/>
  <c r="AT566" i="3"/>
  <c r="AT567" i="3"/>
  <c r="G593" i="3"/>
  <c r="BE77" i="3"/>
  <c r="B36" i="11"/>
  <c r="B39" i="11" s="1"/>
  <c r="C36" i="11"/>
  <c r="B35" i="13"/>
  <c r="B35" i="4"/>
  <c r="E35" i="4" s="1"/>
  <c r="R35" i="4" s="1"/>
  <c r="C38" i="4"/>
  <c r="B38" i="4" s="1"/>
  <c r="D36" i="11" l="1"/>
  <c r="C39" i="11"/>
  <c r="D39" i="11" s="1"/>
  <c r="B38" i="13"/>
  <c r="D54" i="4"/>
  <c r="D63" i="4" s="1"/>
  <c r="I104" i="4"/>
  <c r="BE62" i="3"/>
  <c r="AA927" i="3"/>
  <c r="AM563" i="3"/>
  <c r="AA928" i="3" s="1"/>
  <c r="AM564" i="3"/>
  <c r="AM565" i="3"/>
  <c r="AM567" i="3"/>
  <c r="AF635" i="3"/>
  <c r="E40" i="7" s="1"/>
  <c r="AO635" i="3"/>
  <c r="AO636" i="3"/>
  <c r="G108" i="4" s="1"/>
  <c r="AO637" i="3"/>
  <c r="H108" i="4" s="1"/>
  <c r="AO638" i="3"/>
  <c r="I108" i="4" s="1"/>
  <c r="AO639" i="3"/>
  <c r="J99" i="4" s="1"/>
  <c r="J104" i="4" s="1"/>
  <c r="J105" i="4" s="1"/>
  <c r="AO648" i="3"/>
  <c r="AE707" i="3"/>
  <c r="AC899" i="3"/>
  <c r="E29" i="7" s="1"/>
  <c r="AW927" i="3"/>
  <c r="B99" i="13"/>
  <c r="C45" i="4"/>
  <c r="B46" i="11" s="1"/>
  <c r="S45" i="4"/>
  <c r="C46" i="4"/>
  <c r="B47" i="11" s="1"/>
  <c r="S46" i="4"/>
  <c r="E46" i="13" s="1"/>
  <c r="C49" i="4"/>
  <c r="B49" i="13" s="1"/>
  <c r="S49" i="4"/>
  <c r="E49" i="13" s="1"/>
  <c r="C56" i="4"/>
  <c r="B57" i="11" s="1"/>
  <c r="B63" i="11" s="1"/>
  <c r="C75" i="4"/>
  <c r="B75" i="4" s="1"/>
  <c r="E75" i="4" s="1"/>
  <c r="C83" i="4"/>
  <c r="B83" i="13" s="1"/>
  <c r="C87" i="4"/>
  <c r="B88" i="11" s="1"/>
  <c r="D87" i="4"/>
  <c r="D96" i="4" s="1"/>
  <c r="C93" i="4"/>
  <c r="D93" i="4"/>
  <c r="S93" i="4"/>
  <c r="E93" i="13" s="1"/>
  <c r="C99" i="4"/>
  <c r="S99" i="4" s="1"/>
  <c r="D99" i="4"/>
  <c r="H99" i="4" s="1"/>
  <c r="H104" i="4" s="1"/>
  <c r="E108" i="4"/>
  <c r="D97" i="4" l="1"/>
  <c r="C77" i="4"/>
  <c r="B77" i="4" s="1"/>
  <c r="AZ1054" i="3"/>
  <c r="AZ1061" i="3" s="1"/>
  <c r="B93" i="4"/>
  <c r="S54" i="4"/>
  <c r="E54" i="13" s="1"/>
  <c r="H87" i="4"/>
  <c r="B94" i="11"/>
  <c r="C94" i="11"/>
  <c r="D94" i="11" s="1"/>
  <c r="S87" i="4"/>
  <c r="S96" i="4" s="1"/>
  <c r="E96" i="13" s="1"/>
  <c r="B46" i="4"/>
  <c r="E46" i="4" s="1"/>
  <c r="R46" i="4" s="1"/>
  <c r="C88" i="11"/>
  <c r="D88" i="11" s="1"/>
  <c r="AG927" i="3"/>
  <c r="BE21" i="3"/>
  <c r="C96" i="4"/>
  <c r="B96" i="4" s="1"/>
  <c r="B87" i="13"/>
  <c r="B84" i="11"/>
  <c r="B83" i="4"/>
  <c r="E83" i="4" s="1"/>
  <c r="C84" i="11"/>
  <c r="C50" i="11"/>
  <c r="AO647" i="3"/>
  <c r="AB48" i="15" s="1"/>
  <c r="H93" i="4"/>
  <c r="E93" i="4" s="1"/>
  <c r="R93" i="4" s="1"/>
  <c r="C54" i="4"/>
  <c r="B54" i="4" s="1"/>
  <c r="B46" i="13"/>
  <c r="B50" i="11"/>
  <c r="B55" i="11" s="1"/>
  <c r="B64" i="11" s="1"/>
  <c r="B45" i="13"/>
  <c r="C47" i="11"/>
  <c r="D47" i="11" s="1"/>
  <c r="AM574" i="3"/>
  <c r="W40" i="7"/>
  <c r="W43" i="7" s="1"/>
  <c r="U40" i="7"/>
  <c r="U43" i="7" s="1"/>
  <c r="Y40" i="7"/>
  <c r="Y43" i="7" s="1"/>
  <c r="O40" i="7"/>
  <c r="O43" i="7" s="1"/>
  <c r="AA40" i="7"/>
  <c r="AA43" i="7" s="1"/>
  <c r="Q40" i="7"/>
  <c r="Q43" i="7" s="1"/>
  <c r="AC40" i="7"/>
  <c r="AC43" i="7" s="1"/>
  <c r="AE40" i="7"/>
  <c r="AE43" i="7" s="1"/>
  <c r="AG40" i="7"/>
  <c r="AG43" i="7" s="1"/>
  <c r="E43" i="7"/>
  <c r="K40" i="7"/>
  <c r="K43" i="7" s="1"/>
  <c r="I40" i="7"/>
  <c r="I43" i="7" s="1"/>
  <c r="M40" i="7"/>
  <c r="M43" i="7" s="1"/>
  <c r="S40" i="7"/>
  <c r="S43" i="7" s="1"/>
  <c r="G40" i="7"/>
  <c r="G43" i="7" s="1"/>
  <c r="E99" i="13"/>
  <c r="S104" i="4"/>
  <c r="R83" i="4"/>
  <c r="E77" i="4"/>
  <c r="R75" i="4"/>
  <c r="R77" i="4" s="1"/>
  <c r="S63" i="4"/>
  <c r="AG29" i="7"/>
  <c r="AG35" i="7" s="1"/>
  <c r="AG37" i="7" s="1"/>
  <c r="M29" i="7"/>
  <c r="M35" i="7" s="1"/>
  <c r="M37" i="7" s="1"/>
  <c r="AE29" i="7"/>
  <c r="AE35" i="7" s="1"/>
  <c r="AE37" i="7" s="1"/>
  <c r="E35" i="7"/>
  <c r="E37" i="7" s="1"/>
  <c r="U29" i="7"/>
  <c r="U35" i="7" s="1"/>
  <c r="U37" i="7" s="1"/>
  <c r="AA29" i="7"/>
  <c r="AA35" i="7" s="1"/>
  <c r="AA37" i="7" s="1"/>
  <c r="W29" i="7"/>
  <c r="W35" i="7" s="1"/>
  <c r="W37" i="7" s="1"/>
  <c r="Q29" i="7"/>
  <c r="Q35" i="7" s="1"/>
  <c r="Q37" i="7" s="1"/>
  <c r="S29" i="7"/>
  <c r="S35" i="7" s="1"/>
  <c r="S37" i="7" s="1"/>
  <c r="AC29" i="7"/>
  <c r="AC35" i="7" s="1"/>
  <c r="AC37" i="7" s="1"/>
  <c r="G29" i="7"/>
  <c r="G35" i="7" s="1"/>
  <c r="G37" i="7" s="1"/>
  <c r="Y29" i="7"/>
  <c r="Y35" i="7" s="1"/>
  <c r="Y37" i="7" s="1"/>
  <c r="I29" i="7"/>
  <c r="I35" i="7" s="1"/>
  <c r="I37" i="7" s="1"/>
  <c r="O29" i="7"/>
  <c r="O35" i="7" s="1"/>
  <c r="O37" i="7" s="1"/>
  <c r="K29" i="7"/>
  <c r="K35" i="7" s="1"/>
  <c r="K37" i="7" s="1"/>
  <c r="C57" i="11"/>
  <c r="B77" i="13"/>
  <c r="N10" i="24"/>
  <c r="AA958" i="3"/>
  <c r="J108" i="4"/>
  <c r="G30" i="4"/>
  <c r="G38" i="4" s="1"/>
  <c r="G63" i="4" s="1"/>
  <c r="G97" i="4" s="1"/>
  <c r="G105" i="4" s="1"/>
  <c r="B75" i="13"/>
  <c r="C100" i="11"/>
  <c r="E45" i="13"/>
  <c r="B99" i="4"/>
  <c r="E99" i="4" s="1"/>
  <c r="B45" i="4"/>
  <c r="E45" i="4" s="1"/>
  <c r="B76" i="11"/>
  <c r="B78" i="11" s="1"/>
  <c r="C46" i="11"/>
  <c r="B100" i="11"/>
  <c r="B105" i="11" s="1"/>
  <c r="B93" i="13"/>
  <c r="F108" i="4"/>
  <c r="C104" i="4"/>
  <c r="B87" i="4"/>
  <c r="E87" i="4" s="1"/>
  <c r="R87" i="4" s="1"/>
  <c r="B49" i="4"/>
  <c r="E49" i="4" s="1"/>
  <c r="R49" i="4" s="1"/>
  <c r="B56" i="13"/>
  <c r="B56" i="4"/>
  <c r="E56" i="4" s="1"/>
  <c r="I52" i="4"/>
  <c r="C76" i="11"/>
  <c r="C62" i="4"/>
  <c r="D104" i="4"/>
  <c r="D105" i="4" s="1"/>
  <c r="C63" i="4"/>
  <c r="F30" i="4"/>
  <c r="B54" i="13"/>
  <c r="AZ1058" i="3" l="1"/>
  <c r="B96" i="13"/>
  <c r="E87" i="13"/>
  <c r="B97" i="11"/>
  <c r="AO649" i="3"/>
  <c r="E96" i="4"/>
  <c r="H96" i="4"/>
  <c r="H97" i="4" s="1"/>
  <c r="H105" i="4" s="1"/>
  <c r="D50" i="11"/>
  <c r="C97" i="11"/>
  <c r="D97" i="11" s="1"/>
  <c r="D84" i="11"/>
  <c r="BE68" i="3"/>
  <c r="E104" i="4"/>
  <c r="R99" i="4"/>
  <c r="R104" i="4" s="1"/>
  <c r="S49" i="7"/>
  <c r="S45" i="7"/>
  <c r="Q49" i="7"/>
  <c r="Q45" i="7"/>
  <c r="B63" i="13"/>
  <c r="C97" i="4"/>
  <c r="F38" i="4"/>
  <c r="F63" i="4" s="1"/>
  <c r="F97" i="4" s="1"/>
  <c r="F105" i="4" s="1"/>
  <c r="E30" i="4"/>
  <c r="AA45" i="7"/>
  <c r="AA49" i="7"/>
  <c r="G45" i="7"/>
  <c r="G49" i="7"/>
  <c r="E45" i="7"/>
  <c r="E49" i="7"/>
  <c r="B62" i="4"/>
  <c r="B63" i="4" s="1"/>
  <c r="B62" i="13"/>
  <c r="AC45" i="7"/>
  <c r="AC49" i="7"/>
  <c r="C105" i="11"/>
  <c r="D105" i="11" s="1"/>
  <c r="D100" i="11"/>
  <c r="W45" i="7"/>
  <c r="W49" i="7"/>
  <c r="U49" i="7"/>
  <c r="U45" i="7"/>
  <c r="R56" i="4"/>
  <c r="R62" i="4" s="1"/>
  <c r="E62" i="4"/>
  <c r="AG49" i="7"/>
  <c r="AG45" i="7"/>
  <c r="C63" i="11"/>
  <c r="D63" i="11" s="1"/>
  <c r="D57" i="11"/>
  <c r="B104" i="13"/>
  <c r="B104" i="4"/>
  <c r="AE49" i="7"/>
  <c r="AE45" i="7"/>
  <c r="K45" i="7"/>
  <c r="K49" i="7"/>
  <c r="D76" i="11"/>
  <c r="C78" i="11"/>
  <c r="D78" i="11" s="1"/>
  <c r="I54" i="4"/>
  <c r="I63" i="4" s="1"/>
  <c r="I97" i="4" s="1"/>
  <c r="I105" i="4" s="1"/>
  <c r="E52" i="4"/>
  <c r="R52" i="4" s="1"/>
  <c r="M49" i="7"/>
  <c r="M45" i="7"/>
  <c r="S97" i="4"/>
  <c r="E63" i="13"/>
  <c r="B98" i="11"/>
  <c r="B106" i="11" s="1"/>
  <c r="Y49" i="7"/>
  <c r="Y45" i="7"/>
  <c r="R45" i="4"/>
  <c r="R54" i="4" s="1"/>
  <c r="BA1067" i="3"/>
  <c r="E104" i="13"/>
  <c r="O45" i="7"/>
  <c r="O49" i="7"/>
  <c r="D46" i="11"/>
  <c r="C55" i="11"/>
  <c r="I45" i="7"/>
  <c r="I49" i="7"/>
  <c r="R96" i="4"/>
  <c r="E54" i="4" l="1"/>
  <c r="I60" i="7"/>
  <c r="I47" i="7"/>
  <c r="I48" i="7"/>
  <c r="AC48" i="7"/>
  <c r="AC47" i="7"/>
  <c r="AC60" i="7"/>
  <c r="G60" i="7"/>
  <c r="G48" i="7"/>
  <c r="G47" i="7"/>
  <c r="O47" i="7"/>
  <c r="O48" i="7"/>
  <c r="O60" i="7"/>
  <c r="K47" i="7"/>
  <c r="K48" i="7"/>
  <c r="K60" i="7"/>
  <c r="R30" i="4"/>
  <c r="R38" i="4" s="1"/>
  <c r="R63" i="4" s="1"/>
  <c r="R97" i="4" s="1"/>
  <c r="R105" i="4" s="1"/>
  <c r="E38" i="4"/>
  <c r="E63" i="4" s="1"/>
  <c r="E97" i="4" s="1"/>
  <c r="E105" i="4" s="1"/>
  <c r="E60" i="7"/>
  <c r="E47" i="7"/>
  <c r="E48" i="7"/>
  <c r="Q48" i="7"/>
  <c r="Q47" i="7"/>
  <c r="Q60" i="7"/>
  <c r="AE60" i="7"/>
  <c r="AE48" i="7"/>
  <c r="AE47" i="7"/>
  <c r="AG60" i="7"/>
  <c r="AG48" i="7"/>
  <c r="AG47" i="7"/>
  <c r="U48" i="7"/>
  <c r="U47" i="7"/>
  <c r="U60" i="7"/>
  <c r="S47" i="7"/>
  <c r="S48" i="7"/>
  <c r="S60" i="7"/>
  <c r="Y48" i="7"/>
  <c r="Y47" i="7"/>
  <c r="Y60" i="7"/>
  <c r="C64" i="11"/>
  <c r="D55" i="11"/>
  <c r="AA48" i="7"/>
  <c r="AA60" i="7"/>
  <c r="AA47" i="7"/>
  <c r="B97" i="4"/>
  <c r="B97" i="13"/>
  <c r="C105" i="4"/>
  <c r="S105" i="4"/>
  <c r="AZ1055" i="3"/>
  <c r="E97" i="13"/>
  <c r="M47" i="7"/>
  <c r="M48" i="7"/>
  <c r="M60" i="7"/>
  <c r="W48" i="7"/>
  <c r="W60" i="7"/>
  <c r="W47" i="7"/>
  <c r="W66" i="7" l="1"/>
  <c r="W67" i="7"/>
  <c r="W62" i="7"/>
  <c r="I9" i="21"/>
  <c r="E105" i="13"/>
  <c r="S107" i="4"/>
  <c r="D64" i="11"/>
  <c r="C98" i="11"/>
  <c r="E62" i="7"/>
  <c r="E67" i="7"/>
  <c r="E66" i="7"/>
  <c r="K62" i="7"/>
  <c r="K66" i="7"/>
  <c r="K67" i="7"/>
  <c r="M62" i="7"/>
  <c r="M67" i="7"/>
  <c r="M66" i="7"/>
  <c r="O62" i="7"/>
  <c r="O67" i="7"/>
  <c r="O66" i="7"/>
  <c r="O70" i="7" s="1"/>
  <c r="O72" i="7" s="1"/>
  <c r="BE101" i="3"/>
  <c r="B105" i="13"/>
  <c r="AG268" i="20"/>
  <c r="AC464" i="3"/>
  <c r="B105" i="4"/>
  <c r="AC66" i="7"/>
  <c r="AC67" i="7"/>
  <c r="AC62" i="7"/>
  <c r="Y66" i="7"/>
  <c r="Y62" i="7"/>
  <c r="Y67" i="7"/>
  <c r="AZ1060" i="3"/>
  <c r="BA1065" i="3"/>
  <c r="AG67" i="7"/>
  <c r="AG62" i="7"/>
  <c r="AG66" i="7"/>
  <c r="AG70" i="7" s="1"/>
  <c r="S62" i="7"/>
  <c r="S66" i="7"/>
  <c r="S67" i="7"/>
  <c r="U66" i="7"/>
  <c r="U67" i="7"/>
  <c r="U62" i="7"/>
  <c r="G66" i="7"/>
  <c r="G62" i="7"/>
  <c r="G67" i="7"/>
  <c r="AE67" i="7"/>
  <c r="AE66" i="7"/>
  <c r="AE70" i="7" s="1"/>
  <c r="AE62" i="7"/>
  <c r="AA66" i="7"/>
  <c r="AA67" i="7"/>
  <c r="AA62" i="7"/>
  <c r="Q62" i="7"/>
  <c r="Q67" i="7"/>
  <c r="Q66" i="7"/>
  <c r="I66" i="7"/>
  <c r="I62" i="7"/>
  <c r="I67" i="7"/>
  <c r="Q70" i="7" l="1"/>
  <c r="Q72" i="7" s="1"/>
  <c r="AE72" i="7"/>
  <c r="BA1064" i="3"/>
  <c r="BA1068" i="3" s="1"/>
  <c r="AG72" i="7"/>
  <c r="I70" i="7"/>
  <c r="I72" i="7" s="1"/>
  <c r="K70" i="7"/>
  <c r="K72" i="7" s="1"/>
  <c r="Y70" i="7"/>
  <c r="Y72" i="7" s="1"/>
  <c r="G70" i="7"/>
  <c r="G72" i="7" s="1"/>
  <c r="E70" i="7"/>
  <c r="E72" i="7" s="1"/>
  <c r="AC70" i="7"/>
  <c r="AC72" i="7" s="1"/>
  <c r="BE22" i="3"/>
  <c r="AB47" i="15"/>
  <c r="AB49" i="15" s="1"/>
  <c r="AC463" i="3"/>
  <c r="BE44" i="3" s="1"/>
  <c r="N180" i="24"/>
  <c r="AB265" i="20"/>
  <c r="AG267" i="20" s="1"/>
  <c r="AG269" i="20" s="1"/>
  <c r="AK272" i="20" s="1"/>
  <c r="T834" i="20" s="1"/>
  <c r="U70" i="7"/>
  <c r="U72" i="7" s="1"/>
  <c r="C106" i="11"/>
  <c r="D106" i="11" s="1"/>
  <c r="D98" i="11"/>
  <c r="S70" i="7"/>
  <c r="S72" i="7" s="1"/>
  <c r="E107" i="13"/>
  <c r="AA1065" i="3"/>
  <c r="AC465" i="3"/>
  <c r="AF564" i="20"/>
  <c r="AF566" i="20" s="1"/>
  <c r="AK572" i="20" s="1"/>
  <c r="T840" i="20" s="1"/>
  <c r="AF840" i="20" s="1"/>
  <c r="G166" i="21"/>
  <c r="G165" i="21"/>
  <c r="AA70" i="7"/>
  <c r="AA72" i="7" s="1"/>
  <c r="M70" i="7"/>
  <c r="M72" i="7" s="1"/>
  <c r="W70" i="7"/>
  <c r="W72" i="7" s="1"/>
  <c r="AA1066" i="3" l="1"/>
  <c r="G1067" i="3" s="1"/>
  <c r="BE81" i="3"/>
  <c r="AF843" i="20"/>
  <c r="BE70" i="3" s="1"/>
  <c r="T11" i="15"/>
  <c r="T23" i="15" s="1"/>
  <c r="Y11" i="15"/>
  <c r="Y23" i="15" s="1"/>
  <c r="Y26" i="15" s="1"/>
  <c r="Y28" i="15" s="1"/>
  <c r="N181" i="24"/>
  <c r="N191" i="24"/>
  <c r="AB54" i="15"/>
  <c r="AB55" i="15" s="1"/>
  <c r="T26" i="15" l="1"/>
  <c r="T28" i="15" s="1"/>
  <c r="T29" i="15" s="1"/>
  <c r="AD38" i="15"/>
  <c r="AD40" i="15" s="1"/>
  <c r="Y38" i="15" l="1"/>
  <c r="Y40" i="15" s="1"/>
  <c r="Y41" i="15" s="1"/>
  <c r="AB56" i="15" s="1"/>
  <c r="AB57" i="15" l="1"/>
  <c r="M26" i="3"/>
  <c r="P204" i="3" l="1"/>
  <c r="BE19" i="3"/>
  <c r="AB59" i="15"/>
  <c r="AB77" i="15" s="1"/>
  <c r="AB78" i="15" s="1"/>
  <c r="I10" i="21" l="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<sst xmlns="http://schemas.openxmlformats.org/spreadsheetml/2006/main" count="5083" uniqueCount="2763">
  <si>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</si>
  <si>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</si>
  <si>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</si>
  <si>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</si>
  <si>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</si>
  <si>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</si>
  <si>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</si>
  <si>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</si>
  <si>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</si>
  <si>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</si>
  <si>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</si>
  <si>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</si>
  <si>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</si>
  <si>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</si>
  <si>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</si>
  <si>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</si>
  <si>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</si>
  <si>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</si>
  <si>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</si>
  <si>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</si>
  <si>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</si>
  <si>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</si>
  <si>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</si>
  <si>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</si>
  <si>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</si>
  <si>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</si>
  <si>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</si>
  <si>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</si>
  <si>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</si>
  <si>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</si>
  <si>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</si>
  <si>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</si>
  <si>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</si>
  <si>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</si>
  <si>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</si>
  <si>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</si>
  <si>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</si>
  <si>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</si>
  <si>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</si>
  <si>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</si>
  <si>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</si>
  <si>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</si>
  <si>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</si>
  <si>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</si>
  <si>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</si>
  <si>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</si>
  <si>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</si>
  <si>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</si>
  <si>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</si>
  <si>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</si>
  <si>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</si>
  <si>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</si>
  <si>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</si>
  <si>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</si>
  <si>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</si>
  <si>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</si>
  <si>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</si>
  <si>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</si>
  <si>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</si>
  <si>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</si>
  <si>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</si>
  <si>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</si>
  <si>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</si>
  <si>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</si>
  <si>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</si>
  <si>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</si>
  <si>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</si>
  <si>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</si>
  <si>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</si>
  <si>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</si>
  <si>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</si>
  <si>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</si>
  <si>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</si>
  <si>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</si>
  <si>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</si>
  <si>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</si>
  <si>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</si>
  <si>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</si>
  <si>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</si>
  <si>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</si>
  <si>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</si>
  <si>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</si>
  <si>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</si>
  <si>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</si>
  <si>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</si>
  <si>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</si>
  <si>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</si>
  <si>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</si>
  <si>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</si>
  <si>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</si>
  <si>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</si>
  <si>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</si>
  <si>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</si>
  <si>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</si>
  <si>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</si>
  <si>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</si>
  <si>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</si>
  <si>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</si>
  <si>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</si>
  <si>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</si>
  <si>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</si>
  <si>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</si>
  <si>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</si>
  <si>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</si>
  <si>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</si>
  <si>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</si>
  <si>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</si>
  <si>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</si>
  <si>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</si>
  <si>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</si>
  <si>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</si>
  <si>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</si>
  <si>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</si>
  <si>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</si>
  <si>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</si>
  <si>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</si>
  <si>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</si>
  <si>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</si>
  <si>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</si>
  <si>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</si>
  <si>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</si>
  <si>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</si>
  <si>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</si>
  <si>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</si>
  <si>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</si>
  <si>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</si>
  <si>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</si>
  <si>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</si>
  <si>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</si>
  <si>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</si>
  <si>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</si>
  <si>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</si>
  <si>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</si>
  <si>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</si>
  <si>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</si>
  <si>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</si>
  <si>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</si>
  <si>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</si>
  <si>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</si>
  <si>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</si>
  <si>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</si>
  <si>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</si>
  <si>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</si>
  <si>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</si>
  <si>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</si>
  <si>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</si>
  <si>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</si>
  <si>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</si>
  <si>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</si>
  <si>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</si>
  <si>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</si>
  <si>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</si>
  <si>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</si>
  <si>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</si>
  <si>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</si>
  <si>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</si>
  <si>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</si>
  <si>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</si>
  <si>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</si>
  <si>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</si>
  <si>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</si>
  <si>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</si>
  <si>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</si>
  <si>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</si>
  <si>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</si>
  <si>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</si>
  <si>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</si>
  <si>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</si>
  <si>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</si>
  <si>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</si>
  <si>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</si>
  <si>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</si>
  <si>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</si>
  <si>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</si>
  <si>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</si>
  <si>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</si>
  <si>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</si>
  <si>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</si>
  <si>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</si>
  <si>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</si>
  <si>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</si>
  <si>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</si>
  <si>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</si>
  <si>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</si>
  <si>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</si>
  <si>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</si>
  <si>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</si>
  <si>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</si>
  <si>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</si>
  <si>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</si>
  <si>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</si>
  <si>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</si>
  <si>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</si>
  <si>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</si>
  <si>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</si>
  <si>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</si>
  <si>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</si>
  <si>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</si>
  <si>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</si>
  <si>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</si>
  <si>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</si>
  <si>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</si>
  <si>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</si>
  <si>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</si>
  <si>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</si>
  <si>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</si>
  <si>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</si>
  <si>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</si>
  <si>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</si>
  <si>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</si>
  <si>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</si>
  <si>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</si>
  <si>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</si>
  <si>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</si>
  <si>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</si>
  <si>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</si>
  <si>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</si>
  <si>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</si>
  <si>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</si>
  <si>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</si>
  <si>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</si>
  <si>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</si>
  <si>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</si>
  <si>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</si>
  <si>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</si>
  <si>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</si>
  <si>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</si>
  <si>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</si>
  <si>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</si>
  <si>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</si>
  <si>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</si>
  <si>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</si>
  <si>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</si>
  <si>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</si>
  <si>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</si>
  <si>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</si>
  <si>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</si>
  <si>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</si>
  <si>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</si>
  <si>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</si>
  <si>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</si>
  <si>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</si>
  <si>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</si>
  <si>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</si>
  <si>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</si>
  <si>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</si>
  <si>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</si>
  <si>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</si>
  <si>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</si>
  <si>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</si>
  <si>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</si>
  <si>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</si>
  <si>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</si>
  <si>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</si>
  <si>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</si>
  <si>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</si>
  <si>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</si>
  <si>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</si>
  <si>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</si>
  <si>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</si>
  <si>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</si>
  <si>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</si>
  <si>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</si>
  <si>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</si>
  <si>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</si>
  <si>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</si>
  <si>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</si>
  <si>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</si>
  <si>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</si>
  <si>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</si>
  <si>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</si>
  <si>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</si>
  <si>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</si>
  <si>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</si>
  <si>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</si>
  <si>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</si>
  <si>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</si>
  <si>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</si>
  <si>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</si>
  <si>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</si>
  <si>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</si>
  <si>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</si>
  <si>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</si>
  <si>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</si>
  <si>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</si>
  <si>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</si>
  <si>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</si>
  <si>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</si>
  <si>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</si>
  <si>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</si>
  <si>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</si>
  <si>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</si>
  <si>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</si>
  <si>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</si>
  <si>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</si>
  <si>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</si>
  <si>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</si>
  <si>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</si>
  <si>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</si>
  <si>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</si>
  <si>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</si>
  <si>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</si>
  <si>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</si>
  <si>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</si>
  <si>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</si>
  <si>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</si>
  <si>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</si>
  <si>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</si>
  <si>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</si>
  <si>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</si>
  <si>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</si>
  <si>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</si>
  <si>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</si>
  <si>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</si>
  <si>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</si>
  <si>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</si>
  <si>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</si>
  <si>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</si>
  <si>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</si>
  <si>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</si>
  <si>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</si>
  <si>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</si>
  <si>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</si>
  <si>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</si>
  <si>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</si>
  <si>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</si>
  <si>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</si>
  <si>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</si>
  <si>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</si>
  <si>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</si>
  <si>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</si>
  <si>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</si>
  <si>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</si>
  <si>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</si>
  <si>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</si>
  <si>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</si>
  <si>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</si>
  <si>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</si>
  <si>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</si>
  <si>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</si>
  <si>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</si>
  <si>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</si>
  <si>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</si>
  <si>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</si>
  <si>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</si>
  <si>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</si>
  <si>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</si>
  <si>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</si>
  <si>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</si>
  <si>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</si>
  <si>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</si>
  <si>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</si>
  <si>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</si>
  <si>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</si>
  <si>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</si>
  <si>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</si>
  <si>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</si>
  <si>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</si>
  <si>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</si>
  <si>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</si>
  <si>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</si>
  <si>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</si>
  <si>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</si>
  <si>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</si>
  <si>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</si>
  <si>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</si>
  <si>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</si>
  <si>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</si>
  <si>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</si>
  <si>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</si>
  <si>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</si>
  <si>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</si>
  <si>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</si>
  <si>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</si>
  <si>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</si>
  <si>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</si>
  <si>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</si>
  <si>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</si>
  <si>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</si>
  <si>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</si>
  <si>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</si>
  <si>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</si>
  <si>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</si>
  <si>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</si>
  <si>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</si>
  <si>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</si>
  <si>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</si>
  <si>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</si>
  <si>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</si>
  <si>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</si>
  <si>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</si>
  <si>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</si>
  <si>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</si>
  <si>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</si>
  <si>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</si>
  <si>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</si>
  <si>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</si>
  <si>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</si>
  <si>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</si>
  <si>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</si>
  <si>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</si>
  <si>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</si>
  <si>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</si>
  <si>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</si>
  <si>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</si>
  <si>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</si>
  <si>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</si>
  <si>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</si>
  <si>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</si>
  <si>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</si>
  <si>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</si>
  <si>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</si>
  <si>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</si>
  <si>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</si>
  <si>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</si>
  <si>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</si>
  <si>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</si>
  <si>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</si>
  <si>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</si>
  <si>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</si>
  <si>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</si>
  <si>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</si>
  <si>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</si>
  <si>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</si>
  <si>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</si>
  <si>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</si>
  <si>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</si>
  <si>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</si>
  <si>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</si>
  <si>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</si>
  <si>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</si>
  <si>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</si>
  <si>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</si>
  <si>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</si>
  <si>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</si>
  <si>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</si>
  <si>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</si>
  <si>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</si>
  <si>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</si>
  <si>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</si>
  <si>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</si>
  <si>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</si>
  <si>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</si>
  <si>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</si>
  <si>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</si>
  <si>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</si>
  <si>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</si>
  <si>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</si>
  <si>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</si>
  <si>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</si>
  <si>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</si>
  <si>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</si>
  <si>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</si>
  <si>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</si>
  <si>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</si>
  <si>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</si>
  <si>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</si>
  <si>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</si>
  <si>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</si>
  <si>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</si>
  <si>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</si>
  <si>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</si>
  <si>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</si>
  <si>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</si>
  <si>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</si>
  <si>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</si>
  <si>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</si>
  <si>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</si>
  <si>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</si>
  <si>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</si>
  <si>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</si>
  <si>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</si>
  <si>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</si>
  <si>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</si>
  <si>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</si>
  <si>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</si>
  <si>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</si>
  <si>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</si>
  <si>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</si>
  <si>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</si>
  <si>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</si>
  <si>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</si>
  <si>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</si>
  <si>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</si>
  <si>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</si>
  <si>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</si>
  <si>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</si>
  <si>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</si>
  <si>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</si>
  <si>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</si>
  <si>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</si>
  <si>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</si>
  <si>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</si>
  <si>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</si>
  <si>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</si>
  <si>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</si>
  <si>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</si>
  <si>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</si>
  <si>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</si>
  <si>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</si>
  <si>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</si>
  <si>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</si>
  <si>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</si>
  <si>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</si>
  <si>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</si>
  <si>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</si>
  <si>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</si>
  <si>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</si>
  <si>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</si>
  <si>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</si>
  <si>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</si>
  <si>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</si>
  <si>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</si>
  <si>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</si>
  <si>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</si>
  <si>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</si>
  <si>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</si>
  <si>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</si>
  <si>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</si>
  <si>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</si>
  <si>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</si>
  <si>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</si>
  <si>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</si>
  <si>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</si>
  <si>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</si>
  <si>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</si>
  <si>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</si>
  <si>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</si>
  <si>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</si>
  <si>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</si>
  <si>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</si>
  <si>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</si>
  <si>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</si>
  <si>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</si>
  <si>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</si>
  <si>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</si>
  <si>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</si>
  <si>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</si>
  <si>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</si>
  <si>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</si>
  <si>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</si>
  <si>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</si>
  <si>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</si>
  <si>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</si>
  <si>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</si>
  <si>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</si>
  <si>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</si>
  <si>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</si>
  <si>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</si>
  <si>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</si>
  <si>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</si>
  <si>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</si>
  <si>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</si>
  <si>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</si>
  <si>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</si>
  <si>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</si>
  <si>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</si>
  <si>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</si>
  <si>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</si>
  <si>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</si>
  <si>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</si>
  <si>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</si>
  <si>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</si>
  <si>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</si>
  <si>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</si>
  <si>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</si>
  <si>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</si>
  <si>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</si>
  <si>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</si>
  <si>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</si>
  <si>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</si>
  <si>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</si>
  <si>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</si>
  <si>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</si>
  <si>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</si>
  <si>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</si>
  <si>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</si>
  <si>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</si>
  <si>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</si>
  <si>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</si>
  <si>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</si>
  <si>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</si>
  <si>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</si>
  <si>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</si>
  <si>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</si>
  <si>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</si>
  <si>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</si>
  <si>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</si>
  <si>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</si>
  <si>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</si>
  <si>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</si>
  <si>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</si>
  <si>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</si>
  <si>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</si>
  <si>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</si>
  <si>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</si>
  <si>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</si>
  <si>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</si>
  <si>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</si>
  <si>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</si>
  <si>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</si>
  <si>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</si>
  <si>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</si>
  <si>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</si>
  <si>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</si>
  <si>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</si>
  <si>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</si>
  <si>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</si>
  <si>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</si>
  <si>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</si>
  <si>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</si>
  <si>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</si>
  <si>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</si>
  <si>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</si>
  <si>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</si>
  <si>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</si>
  <si>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</si>
  <si>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</si>
  <si>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</si>
  <si>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</si>
  <si>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</si>
  <si>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</si>
  <si>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</si>
  <si>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</si>
  <si>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</si>
  <si>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</si>
  <si>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</si>
  <si>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</si>
  <si>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</si>
  <si>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</si>
  <si>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</si>
  <si>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</si>
  <si>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</si>
  <si>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</si>
  <si>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</si>
  <si>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</si>
  <si>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</si>
  <si>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</si>
  <si>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</si>
  <si>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</si>
  <si>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</si>
  <si>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</si>
  <si>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</si>
  <si>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</si>
  <si>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</si>
  <si>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</si>
  <si>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</si>
  <si>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</si>
  <si>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</si>
  <si>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</si>
  <si>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</si>
  <si>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</si>
  <si>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</si>
  <si>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</si>
  <si>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</si>
  <si>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</si>
  <si>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</si>
  <si>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</si>
  <si>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</si>
  <si>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</si>
  <si>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</si>
  <si>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</si>
  <si>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</si>
  <si>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</si>
  <si>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</si>
  <si>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</si>
  <si>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</si>
  <si>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</si>
  <si>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</si>
  <si>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</si>
  <si>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</si>
  <si>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</si>
  <si>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</si>
  <si>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</si>
  <si>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</si>
  <si>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</si>
  <si>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</si>
  <si>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</si>
  <si>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</si>
  <si>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</si>
  <si>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</si>
  <si>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</si>
  <si>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</si>
  <si>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</si>
  <si>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</si>
  <si>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</si>
  <si>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</si>
  <si>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</si>
  <si>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</si>
  <si>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</si>
  <si>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</si>
  <si>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</si>
  <si>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</si>
  <si>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</si>
  <si>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</si>
  <si>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</si>
  <si>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</si>
  <si>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</si>
  <si>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</si>
  <si>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</si>
  <si>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</si>
  <si>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</si>
  <si>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</si>
  <si>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</si>
  <si>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</si>
  <si>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</si>
  <si>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</si>
  <si>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</si>
  <si>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</si>
  <si>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</si>
  <si>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</si>
  <si>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</si>
  <si>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</si>
  <si>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</si>
  <si>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</si>
  <si>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</si>
  <si>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</si>
  <si>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</si>
  <si>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</si>
  <si>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</si>
  <si>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</si>
  <si>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</si>
  <si>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</si>
  <si>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</si>
  <si>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</si>
  <si>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</si>
  <si>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</si>
  <si>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</si>
  <si>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</si>
  <si>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</si>
  <si>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</si>
  <si>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</si>
  <si>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</si>
  <si>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</si>
  <si>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</si>
  <si>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</si>
  <si>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</si>
  <si>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</si>
  <si>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</si>
  <si>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</si>
  <si>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</si>
  <si>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</si>
  <si>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</si>
  <si>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</si>
  <si>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</si>
  <si>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</si>
  <si>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</si>
  <si>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</si>
  <si>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</si>
  <si>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</si>
  <si>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</si>
  <si>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</si>
  <si>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</si>
  <si>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</si>
  <si>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</si>
  <si>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</si>
  <si>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</si>
  <si>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</si>
  <si>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</si>
  <si>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</si>
  <si>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</si>
  <si>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</si>
  <si>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</si>
  <si>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</si>
  <si>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</si>
  <si>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</si>
  <si>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</si>
  <si>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</si>
  <si>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</si>
  <si>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</si>
  <si>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</si>
  <si>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</si>
  <si>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</si>
  <si>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</si>
  <si>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</si>
  <si>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</si>
  <si>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</si>
  <si>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</si>
  <si>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</si>
  <si>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</si>
  <si>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</si>
  <si>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</si>
  <si>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</si>
  <si>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</si>
  <si>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</si>
  <si>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</si>
  <si>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</si>
  <si>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</si>
  <si>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</si>
  <si>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</si>
  <si>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</si>
  <si>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</si>
  <si>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</si>
  <si>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</si>
  <si>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</si>
  <si>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</si>
  <si>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</si>
  <si>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</si>
  <si>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</si>
  <si>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</si>
  <si>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</si>
  <si>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</si>
  <si>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</si>
  <si>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</si>
  <si>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</si>
  <si>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</si>
  <si>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</si>
  <si>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</si>
  <si>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</si>
  <si>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</si>
  <si>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</si>
  <si>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</si>
  <si>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</si>
  <si>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</si>
  <si>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</si>
  <si>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</si>
  <si>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</si>
  <si>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</si>
  <si>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</si>
  <si>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</si>
  <si>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</si>
  <si>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</si>
  <si>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</si>
  <si>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</si>
  <si>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</si>
  <si>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</si>
  <si>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</si>
  <si>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</si>
  <si>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</si>
  <si>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</si>
  <si>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</si>
  <si>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</si>
  <si>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</si>
  <si>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</si>
  <si>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</si>
  <si>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</si>
  <si>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</si>
  <si>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</si>
  <si>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</si>
  <si>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</si>
  <si>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</si>
  <si>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</si>
  <si>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</si>
  <si>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</si>
  <si>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</si>
  <si>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</si>
  <si>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</si>
  <si>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</si>
  <si>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</si>
  <si>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</si>
  <si>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</si>
  <si>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</si>
  <si>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</si>
  <si>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</si>
  <si>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</si>
  <si>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</si>
  <si>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</si>
  <si>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</si>
  <si>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</si>
  <si>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</si>
  <si>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</si>
  <si>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</si>
  <si>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</si>
  <si>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</si>
  <si>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</si>
  <si>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</si>
  <si>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</si>
  <si>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</si>
  <si>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</si>
  <si>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</si>
  <si>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</si>
  <si>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</si>
  <si>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</si>
  <si>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</si>
  <si>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</si>
  <si>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</si>
  <si>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</si>
  <si>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</si>
  <si>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</si>
  <si>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</si>
  <si>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</si>
  <si>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</si>
  <si>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</si>
  <si>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</si>
  <si>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</si>
  <si>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</si>
  <si>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</si>
  <si>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</si>
  <si>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</si>
  <si>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</si>
  <si>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</si>
  <si>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</si>
  <si>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</si>
  <si>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</si>
  <si>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</si>
  <si>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</si>
  <si>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</si>
  <si>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</si>
  <si>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</si>
  <si>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</si>
  <si>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</si>
  <si>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</si>
  <si>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</si>
  <si>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</si>
  <si>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</si>
  <si>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</si>
  <si>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</si>
  <si>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</si>
  <si>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</si>
  <si>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</si>
  <si>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</si>
  <si>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</si>
  <si>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</si>
  <si>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</si>
  <si>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</si>
  <si>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</si>
  <si>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</si>
  <si>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</si>
  <si>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</si>
  <si>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</si>
  <si>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</si>
  <si>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</si>
  <si>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</si>
  <si>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</si>
  <si>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</si>
  <si>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</si>
  <si>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</si>
  <si>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</si>
  <si>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</si>
  <si>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</si>
  <si>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</si>
  <si>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</si>
  <si>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</si>
  <si>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</si>
  <si>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</si>
  <si>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</si>
  <si>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</si>
  <si>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</si>
  <si>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</si>
  <si>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</si>
  <si>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</si>
  <si>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</si>
  <si>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</si>
  <si>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</si>
  <si>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</si>
  <si>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</si>
  <si>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</si>
  <si>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</si>
  <si>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</si>
  <si>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</si>
  <si>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</si>
  <si>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</si>
  <si>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</si>
  <si>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</si>
  <si>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</si>
  <si>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</si>
  <si>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</si>
  <si>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</si>
  <si>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</si>
  <si>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</si>
  <si>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</si>
  <si>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</si>
  <si>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</si>
  <si>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</si>
  <si>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</si>
  <si>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</si>
  <si>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</si>
  <si>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</si>
  <si>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</si>
  <si>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</si>
  <si>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</si>
  <si>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</si>
  <si>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</si>
  <si>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</si>
  <si>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</si>
  <si>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</si>
  <si>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</si>
  <si>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</si>
  <si>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</si>
  <si>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</si>
  <si>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</si>
  <si>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</si>
  <si>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</si>
  <si>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</si>
  <si>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</si>
  <si>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</si>
  <si>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</si>
  <si>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</si>
  <si>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</si>
  <si>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</si>
  <si>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</si>
  <si>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</si>
  <si>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</si>
  <si>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</si>
  <si>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</si>
  <si>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</si>
  <si>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</si>
  <si>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</si>
  <si>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</si>
  <si>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</si>
  <si>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</si>
  <si>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</si>
  <si>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</si>
  <si>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</si>
  <si>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</si>
  <si>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</si>
  <si>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</si>
  <si>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</si>
  <si>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</si>
  <si>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</si>
  <si>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</si>
  <si>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</si>
  <si>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</si>
  <si>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</si>
  <si>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</si>
  <si>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</si>
  <si>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</si>
  <si>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</si>
  <si>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</si>
  <si>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</si>
  <si>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</si>
  <si>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</si>
  <si>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</si>
  <si>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</si>
  <si>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</si>
  <si>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</si>
  <si>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</si>
  <si>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</si>
  <si>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</si>
  <si>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</si>
  <si>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</si>
  <si>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</si>
  <si>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</si>
  <si>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</si>
  <si>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</si>
  <si>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</si>
  <si>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</si>
  <si>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</si>
  <si>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</si>
  <si>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</si>
  <si>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</si>
  <si>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</si>
  <si>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</si>
  <si>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</si>
  <si>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</si>
  <si>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</si>
  <si>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</si>
  <si>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</si>
  <si>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</si>
  <si>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</si>
  <si>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</si>
  <si>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</si>
  <si>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</si>
  <si>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</si>
  <si>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</si>
  <si>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</si>
  <si>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</si>
  <si>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</si>
  <si>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</si>
  <si>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</si>
  <si>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</si>
  <si>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</si>
  <si>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</si>
  <si>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</si>
  <si>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</si>
  <si>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</si>
  <si>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</si>
  <si>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</si>
  <si>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</si>
  <si>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</si>
  <si>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</si>
  <si>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</si>
  <si>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</si>
  <si>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</si>
  <si>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</si>
  <si>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</si>
  <si>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</si>
  <si>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</si>
  <si>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</si>
  <si>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</si>
  <si>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</si>
  <si>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</si>
  <si>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</si>
  <si>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</si>
  <si>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</si>
  <si>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</si>
  <si>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</si>
  <si>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</si>
  <si>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</si>
  <si>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</si>
  <si>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</si>
  <si>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</si>
  <si>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</si>
  <si>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</si>
  <si>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</si>
  <si>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</si>
  <si>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</si>
  <si>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</si>
  <si>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</si>
  <si>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</si>
  <si>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</si>
  <si>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</si>
  <si>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</si>
  <si>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</si>
  <si>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</si>
  <si>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</si>
  <si>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</si>
  <si>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</si>
  <si>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</si>
  <si>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</si>
  <si>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</si>
  <si>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</si>
  <si>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</si>
  <si>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</si>
  <si>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</si>
  <si>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</si>
  <si>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</si>
  <si>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</si>
  <si>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</si>
  <si>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</si>
  <si>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</si>
  <si>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</si>
  <si>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</si>
  <si>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</si>
  <si>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</si>
  <si>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</si>
  <si>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</si>
  <si>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</si>
  <si>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</si>
  <si>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</si>
  <si>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</si>
  <si>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</si>
  <si>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</si>
  <si>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</si>
  <si>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</si>
  <si>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</si>
  <si>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</si>
  <si>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</si>
  <si>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</si>
  <si>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</si>
  <si>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</si>
  <si>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</si>
  <si>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</si>
  <si>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</si>
  <si>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</si>
  <si>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</si>
  <si>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</si>
  <si>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</si>
  <si>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</si>
  <si>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</si>
  <si>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</si>
  <si>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</si>
  <si>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</si>
  <si>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</si>
  <si>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</si>
  <si>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</si>
  <si>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</si>
  <si>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</si>
  <si>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</si>
  <si>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</si>
  <si>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</si>
  <si>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</si>
  <si>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</si>
  <si>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</si>
  <si>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</si>
  <si>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</si>
  <si>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</si>
  <si>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</si>
  <si>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</si>
  <si>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</si>
  <si>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</si>
  <si>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</si>
  <si>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</si>
  <si>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</si>
  <si>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</si>
  <si>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</si>
  <si>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</si>
  <si>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</si>
  <si>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</si>
  <si>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</si>
  <si>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</si>
  <si>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</si>
  <si>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</si>
  <si>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</si>
  <si>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</si>
  <si>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</si>
  <si>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</si>
  <si>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</si>
  <si>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</si>
  <si>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</si>
  <si>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</si>
  <si>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</si>
  <si>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</si>
  <si>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</si>
  <si>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</si>
  <si>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</si>
  <si>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</si>
  <si>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</si>
  <si>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</si>
  <si>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</si>
  <si>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</si>
  <si>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</si>
  <si>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</si>
  <si>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</si>
  <si>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</si>
  <si>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</si>
  <si>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</si>
  <si>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</si>
  <si>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</si>
  <si>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</si>
  <si>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</si>
  <si>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</si>
  <si>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</si>
  <si>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</si>
  <si>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</si>
  <si>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</si>
  <si>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</si>
  <si>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</si>
  <si>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</si>
  <si>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</si>
  <si>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</si>
  <si>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</si>
  <si>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</si>
  <si>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</si>
  <si>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</si>
  <si>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</si>
  <si>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</si>
  <si>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</si>
  <si>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</si>
  <si>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</si>
  <si>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</si>
  <si>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</si>
  <si>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</si>
  <si>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</si>
  <si>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</si>
  <si>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</si>
  <si>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</si>
  <si>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</si>
  <si>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</si>
  <si>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</si>
  <si>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</si>
  <si>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</si>
  <si>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</si>
  <si>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</si>
  <si>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</si>
  <si>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</si>
  <si>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</si>
  <si>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</si>
  <si>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</si>
  <si>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</si>
  <si>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</si>
  <si>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</si>
  <si>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</si>
  <si>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</si>
  <si>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</si>
  <si>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</si>
  <si>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</si>
  <si>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</si>
  <si>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</si>
  <si>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</si>
  <si>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</si>
  <si>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</si>
  <si>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</si>
  <si>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</si>
  <si>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</si>
  <si>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</si>
  <si>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</si>
  <si>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</si>
  <si>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</si>
  <si>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</si>
  <si>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</si>
  <si>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</si>
  <si>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</si>
  <si>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</si>
  <si>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</si>
  <si>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</si>
  <si>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</si>
  <si>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</si>
  <si>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</si>
  <si>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</si>
  <si>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</si>
  <si>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</si>
  <si>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</si>
  <si>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</si>
  <si>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</si>
  <si>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</si>
  <si>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</si>
  <si>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</si>
  <si>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</si>
  <si>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</si>
  <si>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</si>
  <si>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</si>
  <si>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</si>
  <si>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</si>
  <si>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</si>
  <si>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</si>
  <si>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</si>
  <si>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</si>
  <si>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</si>
  <si>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</si>
  <si>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</si>
  <si>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</si>
  <si>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</si>
  <si>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</si>
  <si>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</si>
  <si>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</si>
  <si>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</si>
  <si>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</si>
  <si>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</si>
  <si>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</si>
  <si>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</si>
  <si>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</si>
  <si>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</si>
  <si>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</si>
  <si>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</si>
  <si>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</si>
  <si>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</si>
  <si>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</si>
  <si>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</si>
  <si>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</si>
  <si>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</si>
  <si>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</si>
  <si>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</si>
  <si>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</si>
  <si>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</si>
  <si>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</si>
  <si>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</si>
  <si>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</si>
  <si>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</si>
  <si>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</si>
  <si>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</si>
  <si>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</si>
  <si>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</si>
  <si>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</si>
  <si>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</si>
  <si>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</si>
  <si>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</si>
  <si>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</si>
  <si>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</si>
  <si>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</si>
  <si>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</si>
  <si>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</si>
  <si>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</si>
  <si>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</si>
  <si>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</si>
  <si>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</si>
  <si>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</si>
  <si>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</si>
  <si>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</si>
  <si>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</si>
  <si>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</si>
  <si>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</si>
  <si>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</si>
  <si>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</si>
  <si>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</si>
  <si>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</si>
  <si>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</si>
  <si>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</si>
  <si>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</si>
  <si>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</si>
  <si>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</si>
  <si>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</si>
  <si>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</si>
  <si>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</si>
  <si>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</si>
  <si>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</si>
  <si>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</si>
  <si>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</si>
  <si>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</si>
  <si>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</si>
  <si>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</si>
  <si>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</si>
  <si>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</si>
  <si>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</si>
  <si>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</si>
  <si>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</si>
  <si>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</si>
  <si>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</si>
  <si>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</si>
  <si>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</si>
  <si>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</si>
  <si>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</si>
  <si>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</si>
  <si>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</si>
  <si>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</si>
  <si>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</si>
  <si>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</si>
  <si>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</si>
  <si>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</si>
  <si>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</si>
  <si>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</si>
  <si>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</si>
  <si>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</si>
  <si>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</si>
  <si>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</si>
  <si>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</si>
  <si>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</si>
  <si>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</si>
  <si>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</si>
  <si>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</si>
  <si>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</si>
  <si>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</si>
  <si>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</si>
  <si>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</si>
  <si>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</si>
  <si>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</si>
  <si>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</si>
  <si>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</si>
  <si>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</si>
  <si>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</si>
  <si>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</si>
  <si>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</si>
  <si>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</si>
  <si>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</si>
  <si>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</si>
  <si>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</si>
  <si>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</si>
  <si>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</si>
  <si>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</si>
  <si>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</si>
  <si>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</si>
  <si>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</si>
  <si>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</si>
  <si>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</si>
  <si>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</si>
  <si>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</si>
  <si>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</si>
  <si>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</si>
  <si>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</si>
  <si>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</si>
  <si>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</si>
  <si>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</si>
  <si>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</si>
  <si>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</si>
  <si>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</si>
  <si>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</si>
  <si>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</si>
  <si>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</si>
  <si>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</si>
  <si>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</si>
  <si>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</si>
  <si>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</si>
  <si>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</si>
  <si>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</si>
  <si>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</si>
  <si>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</si>
  <si>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</si>
  <si>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</si>
  <si>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</si>
  <si>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</si>
  <si>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</si>
  <si>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</si>
  <si>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</si>
  <si>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</si>
  <si>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</si>
  <si>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</si>
  <si>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</si>
  <si>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</si>
  <si>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</si>
  <si>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</si>
  <si>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</si>
  <si>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</si>
  <si>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</si>
  <si>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</si>
  <si>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</si>
  <si>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</si>
  <si>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</si>
  <si>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</si>
  <si>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</si>
  <si>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</si>
  <si>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</si>
  <si>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</si>
  <si>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</si>
  <si>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</si>
  <si>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</si>
  <si>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</si>
  <si>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</si>
  <si>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</si>
  <si>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</si>
  <si>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</si>
  <si>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</si>
  <si>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</si>
  <si>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</si>
  <si>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</si>
  <si>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</si>
  <si>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</si>
  <si>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</si>
  <si>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</si>
  <si>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</si>
  <si>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</si>
  <si>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</si>
  <si>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</si>
  <si>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</si>
  <si>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</si>
  <si>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</si>
  <si>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</si>
  <si>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</si>
  <si>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</si>
  <si>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</si>
  <si>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</si>
  <si>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</si>
  <si>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</si>
  <si>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</si>
  <si>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</si>
  <si>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</si>
  <si>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</si>
  <si>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</si>
  <si>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</si>
  <si>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</si>
  <si>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</si>
  <si>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</si>
  <si>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</si>
  <si>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</si>
  <si>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</si>
  <si>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</si>
  <si>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</si>
  <si>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</si>
  <si>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</si>
  <si>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</si>
  <si>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</si>
  <si>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</si>
  <si>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</si>
  <si>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</si>
  <si>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</si>
  <si>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</si>
  <si>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</si>
  <si>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</si>
  <si>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</si>
  <si>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</si>
  <si>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</si>
  <si>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</si>
  <si>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</si>
  <si>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</si>
  <si>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</si>
  <si>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</si>
  <si>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</si>
  <si>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</si>
  <si>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</si>
  <si>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</si>
  <si>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</si>
  <si>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</si>
  <si>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</si>
  <si>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</si>
  <si>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</si>
  <si>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</si>
  <si>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</si>
  <si>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</si>
  <si>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</si>
  <si>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</si>
  <si>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</si>
  <si>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</si>
  <si>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</si>
  <si>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</si>
  <si>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</si>
  <si>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</si>
  <si>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</si>
  <si>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</si>
  <si>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</si>
  <si>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</si>
  <si>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</si>
  <si>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</si>
  <si>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</si>
  <si>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</si>
  <si>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</si>
  <si>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</si>
  <si>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</si>
  <si>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</si>
  <si>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</si>
  <si>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</si>
  <si>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</si>
  <si>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</si>
  <si>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</si>
  <si>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</si>
  <si>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</si>
  <si>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</si>
  <si>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</si>
  <si>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</si>
  <si>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</si>
  <si>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</si>
  <si>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</si>
  <si>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</si>
  <si>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</si>
  <si>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</si>
  <si>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</si>
  <si>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</si>
  <si>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</si>
  <si>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</si>
  <si>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</si>
  <si>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</si>
  <si>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</si>
  <si>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</si>
  <si>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</si>
  <si>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</si>
  <si>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</si>
  <si>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</si>
  <si>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</si>
  <si>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</si>
  <si>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</si>
  <si>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</si>
  <si>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</si>
  <si>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</si>
  <si>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</si>
  <si>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</si>
  <si>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</si>
  <si>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</si>
  <si>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</si>
  <si>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</si>
  <si>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</si>
  <si>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</si>
  <si>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</si>
  <si>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</si>
  <si>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</si>
  <si>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</si>
  <si>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</si>
  <si>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</si>
  <si>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</si>
  <si>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</si>
  <si>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</si>
  <si>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</si>
  <si>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</si>
  <si>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</si>
  <si>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</si>
  <si>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</si>
  <si>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</si>
  <si>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</si>
  <si>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</si>
  <si>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</si>
  <si>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</si>
  <si>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</si>
  <si>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</si>
  <si>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</si>
  <si>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</si>
  <si>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</si>
  <si>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</si>
  <si>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</si>
  <si>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</si>
  <si>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</si>
  <si>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</si>
  <si>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</si>
  <si>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</si>
  <si>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</si>
  <si>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</si>
  <si>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</si>
  <si>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</si>
  <si>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</si>
  <si>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</si>
  <si>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</si>
  <si>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</si>
  <si>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</si>
  <si>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</si>
  <si>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</si>
  <si>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</si>
  <si>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</si>
  <si>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</si>
  <si>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</si>
  <si>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</si>
  <si>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</si>
  <si>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</si>
  <si>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</si>
  <si>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</si>
  <si>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</si>
  <si>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</si>
  <si>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</si>
  <si>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</si>
  <si>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</si>
  <si>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</si>
  <si>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</si>
  <si>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</si>
  <si>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</si>
  <si>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</si>
  <si>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</si>
  <si>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</si>
  <si>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</si>
  <si>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</si>
  <si>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</si>
  <si>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</si>
  <si>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</si>
  <si>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</si>
  <si>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</si>
  <si>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</si>
  <si>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</si>
  <si>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</si>
  <si>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</si>
  <si>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</si>
  <si>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</si>
  <si>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</si>
  <si>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</si>
  <si>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</si>
  <si>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</si>
  <si>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</si>
  <si>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</si>
  <si>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</si>
  <si>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</si>
  <si>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</si>
  <si>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</si>
  <si>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</si>
  <si>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</si>
  <si>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</si>
  <si>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</si>
  <si>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</si>
  <si>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</si>
  <si>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</si>
  <si>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</si>
  <si>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</si>
  <si>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</si>
  <si>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</si>
  <si>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</si>
  <si>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</si>
  <si>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</si>
  <si>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</si>
  <si>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</si>
  <si>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</si>
  <si>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</si>
  <si>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</si>
  <si>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</si>
  <si>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</si>
  <si>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</si>
  <si>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</si>
  <si>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</si>
  <si>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</si>
  <si>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</si>
  <si>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</si>
  <si>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</si>
  <si>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</si>
  <si>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</si>
  <si>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</si>
  <si>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</si>
  <si>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</si>
  <si>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</si>
  <si>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</si>
  <si>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</si>
  <si>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</si>
  <si>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</si>
  <si>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</si>
  <si>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</si>
  <si>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</si>
  <si>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</si>
  <si>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</si>
  <si>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</si>
  <si>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</si>
  <si>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</si>
  <si>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</si>
  <si>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</si>
  <si>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</si>
  <si>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</si>
  <si>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</si>
  <si>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</si>
  <si>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</si>
  <si>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</si>
  <si>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</si>
  <si>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</si>
  <si>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</si>
  <si>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</si>
  <si>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</si>
  <si>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</si>
  <si>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</si>
  <si>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</si>
  <si>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</si>
  <si>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</si>
  <si>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</si>
  <si>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</si>
  <si>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</si>
  <si>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</si>
  <si>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</si>
  <si>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</si>
  <si>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</si>
  <si>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</si>
  <si>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</si>
  <si>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</si>
  <si>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</si>
  <si>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</si>
  <si>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</si>
  <si>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</si>
  <si>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</si>
  <si>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</si>
  <si>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</si>
  <si>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</si>
  <si>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</si>
  <si>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</si>
  <si>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</si>
  <si>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</si>
  <si>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</si>
  <si>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</si>
  <si>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</si>
  <si>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</si>
  <si>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</si>
  <si>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</si>
  <si>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</si>
  <si>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</si>
  <si>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</si>
  <si>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</si>
  <si>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</si>
  <si>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</si>
  <si>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</si>
  <si>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</si>
  <si>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</si>
  <si>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</si>
  <si>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</si>
  <si>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</si>
  <si>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</si>
  <si>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</si>
  <si>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</si>
  <si>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</si>
  <si>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</si>
  <si>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</si>
  <si>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</si>
  <si>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</si>
  <si>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</si>
  <si>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</si>
  <si>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</si>
  <si>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</si>
  <si>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</si>
  <si>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</si>
  <si>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</si>
  <si>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</si>
  <si>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</si>
  <si>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</si>
  <si>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</si>
  <si>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</si>
  <si>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</si>
  <si>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</si>
  <si>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</si>
  <si>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</si>
  <si>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</si>
  <si>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</si>
  <si>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</si>
  <si>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</si>
  <si>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</si>
  <si>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</si>
  <si>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</si>
  <si>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</si>
  <si>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</si>
  <si>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</si>
  <si>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</si>
  <si>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</si>
  <si>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</si>
  <si>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</si>
  <si>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</si>
  <si>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</si>
  <si>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</si>
  <si>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</si>
  <si>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</si>
  <si>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</si>
  <si>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</si>
  <si>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</si>
  <si>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</si>
  <si>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</si>
  <si>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</si>
  <si>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</si>
  <si>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</si>
  <si>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</si>
  <si>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</si>
  <si>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</si>
  <si>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</si>
  <si>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</si>
  <si>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</si>
  <si>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</si>
  <si>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</si>
  <si>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</si>
  <si>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</si>
  <si>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</si>
  <si>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</si>
  <si>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</si>
  <si>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</si>
  <si>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</si>
  <si>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</si>
  <si>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</si>
  <si>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</si>
  <si>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</si>
  <si>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</si>
  <si>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</si>
  <si>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</si>
  <si>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</si>
  <si>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</si>
  <si>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</si>
  <si>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</si>
  <si>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</si>
  <si>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</si>
  <si>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</si>
  <si>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</si>
  <si>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</si>
  <si>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</si>
  <si>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</si>
  <si>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</si>
  <si>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</si>
  <si>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</si>
  <si>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</si>
  <si>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</si>
  <si>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</si>
  <si>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</si>
  <si>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</si>
  <si>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</si>
  <si>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</si>
  <si>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</si>
  <si>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</si>
  <si>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</si>
  <si>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</si>
  <si>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</si>
  <si>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</si>
  <si>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</si>
  <si>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</si>
  <si>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</si>
  <si>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</si>
  <si>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</si>
  <si>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</si>
  <si>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</si>
  <si>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</si>
  <si>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</si>
  <si>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</si>
  <si>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</si>
  <si>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</si>
  <si>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</si>
  <si>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</si>
  <si>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</si>
  <si>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</si>
  <si>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</si>
  <si>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</si>
  <si>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</si>
  <si>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</si>
  <si>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</si>
  <si>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</si>
  <si>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</si>
  <si>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</si>
  <si>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</si>
  <si>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</si>
  <si>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</si>
  <si>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</si>
  <si>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</si>
  <si>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</si>
  <si>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</si>
  <si>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</si>
  <si>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</si>
  <si>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</si>
  <si>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</si>
  <si>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</si>
  <si>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</si>
  <si>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</si>
  <si>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</si>
  <si>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</si>
  <si>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</si>
  <si>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</si>
  <si>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</si>
  <si>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</si>
  <si>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</si>
  <si>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</si>
  <si>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</si>
  <si>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</si>
  <si>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</si>
  <si>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</si>
  <si>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</si>
  <si>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</si>
  <si>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</si>
  <si>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</si>
  <si>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</si>
  <si>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</si>
  <si>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</si>
  <si>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</si>
  <si>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</si>
  <si>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</si>
  <si>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</si>
  <si>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</si>
  <si>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</si>
  <si>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</si>
  <si>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</si>
  <si>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</si>
  <si>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</si>
  <si>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</si>
  <si>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</si>
  <si>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</si>
  <si>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</si>
  <si>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</si>
  <si>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</si>
  <si>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</si>
  <si>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</si>
  <si>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</si>
  <si>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</si>
  <si>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</si>
  <si>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</si>
  <si>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</si>
  <si>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</si>
  <si>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</si>
  <si>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</si>
  <si>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</si>
  <si>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</si>
  <si>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</si>
  <si>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</si>
  <si>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</si>
  <si>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</si>
  <si>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</si>
  <si>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</si>
  <si>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</si>
  <si>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</si>
  <si>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</si>
  <si>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</si>
  <si>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</si>
  <si>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</si>
  <si>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</si>
  <si>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</si>
  <si>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</si>
  <si>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</si>
  <si>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</si>
  <si>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</si>
  <si>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</si>
  <si>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</si>
  <si>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</si>
  <si>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</si>
  <si>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</si>
  <si>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</si>
  <si>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</si>
  <si>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</si>
  <si>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</si>
  <si>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</si>
  <si>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</si>
  <si>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</si>
  <si>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</si>
  <si>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</si>
  <si>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</si>
  <si>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</si>
  <si>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</si>
  <si>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</si>
  <si>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</si>
  <si>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</si>
  <si>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</si>
  <si>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</si>
  <si>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</si>
  <si>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</si>
  <si>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</si>
  <si>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</si>
  <si>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</si>
  <si>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</si>
  <si>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</si>
  <si>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</si>
  <si>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</si>
  <si>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</si>
  <si>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</si>
  <si>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</si>
  <si>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</si>
  <si>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</si>
  <si>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</si>
  <si>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</si>
  <si>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</si>
  <si>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</si>
  <si>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</si>
  <si>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</si>
  <si>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</si>
  <si>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</si>
  <si>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</si>
  <si>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</si>
  <si>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</si>
  <si>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</si>
  <si>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</si>
  <si>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</si>
  <si>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</si>
  <si>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</si>
  <si>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</si>
  <si>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</si>
  <si>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</si>
  <si>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</si>
  <si>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</si>
  <si>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</si>
  <si>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</si>
  <si>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</si>
  <si>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</si>
  <si>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</si>
  <si>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</si>
  <si>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</si>
  <si>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</si>
  <si>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</si>
  <si>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</si>
  <si>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</si>
  <si>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</si>
  <si>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</si>
  <si>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</si>
  <si>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</si>
  <si>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</si>
  <si>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</si>
  <si>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</si>
  <si>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</si>
  <si>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</si>
  <si>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</si>
  <si>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</si>
  <si>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</si>
  <si>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</si>
  <si>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</si>
  <si>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</si>
  <si>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</si>
  <si>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</si>
  <si>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</si>
  <si>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</si>
  <si>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</si>
  <si>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</si>
  <si>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</si>
  <si>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</si>
  <si>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</si>
  <si>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</si>
  <si>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</si>
  <si>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</si>
  <si>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</si>
  <si>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</si>
  <si>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</si>
  <si>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</si>
  <si>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</si>
  <si>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</si>
  <si>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</si>
  <si>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</si>
  <si>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</si>
  <si>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</si>
  <si>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</si>
  <si>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</si>
  <si>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</si>
  <si>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</si>
  <si>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</si>
  <si>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</si>
  <si>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</si>
  <si>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</si>
  <si>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</si>
  <si>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</si>
  <si>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</si>
  <si>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</si>
  <si>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</si>
  <si>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</si>
  <si>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</si>
  <si>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</si>
  <si>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</si>
  <si>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</si>
  <si>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</si>
  <si>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</si>
  <si>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</si>
  <si>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</si>
  <si>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</si>
  <si>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</si>
  <si>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</si>
  <si>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</si>
  <si>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</si>
  <si>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</si>
  <si>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</si>
  <si>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</si>
  <si>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</si>
  <si>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</si>
  <si>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</si>
  <si>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</si>
  <si>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</si>
  <si>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</si>
  <si>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</si>
  <si>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</si>
  <si>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</si>
  <si>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</si>
  <si>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</si>
  <si>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</si>
  <si>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</si>
  <si>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</si>
  <si>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</si>
  <si>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</si>
  <si>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</si>
  <si>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</si>
  <si>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</si>
  <si>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</si>
  <si>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</si>
  <si>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</si>
  <si>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</si>
  <si>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</si>
  <si>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</si>
  <si>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</si>
  <si>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</si>
  <si>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</si>
  <si>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</si>
  <si>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</si>
  <si>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</si>
  <si>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</si>
  <si>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</si>
  <si>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</si>
  <si>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</si>
  <si>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</si>
  <si>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</si>
  <si>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</si>
  <si>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</si>
  <si>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</si>
  <si>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</si>
  <si>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</si>
  <si>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</si>
  <si>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</si>
  <si>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</si>
  <si>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</si>
  <si>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</si>
  <si>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</si>
  <si>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</si>
  <si>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</si>
  <si>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</si>
  <si>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</si>
  <si>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</si>
  <si>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</si>
  <si>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</si>
  <si>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</si>
  <si>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</si>
  <si>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</si>
  <si>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</si>
  <si>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</si>
  <si>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</si>
  <si>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</si>
  <si>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</si>
  <si>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</si>
  <si>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</si>
  <si>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</si>
  <si>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</si>
  <si>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</si>
  <si>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</si>
  <si>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</si>
  <si>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</si>
  <si>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</si>
  <si>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</si>
  <si>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</si>
  <si>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</si>
  <si>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</si>
  <si>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</si>
  <si>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</si>
  <si>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</si>
  <si>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</si>
  <si>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</si>
  <si>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</si>
  <si>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</si>
  <si>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</si>
  <si>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</si>
  <si>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</si>
  <si>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</si>
  <si>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</si>
  <si>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</si>
  <si>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</si>
  <si>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</si>
  <si>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</si>
  <si>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</si>
  <si>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</si>
  <si>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</si>
  <si>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</si>
  <si>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</si>
  <si>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</si>
  <si>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</si>
  <si>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</si>
  <si>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</si>
  <si>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</si>
  <si>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</si>
  <si>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</si>
  <si>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</si>
  <si>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</si>
  <si>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</si>
  <si>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</si>
  <si>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</si>
  <si>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</si>
  <si>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</si>
  <si>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</si>
  <si>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</si>
  <si>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</si>
  <si>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</si>
  <si>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</si>
  <si>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</si>
  <si>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</si>
  <si>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</si>
  <si>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</si>
  <si>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</si>
  <si>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</si>
  <si>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</si>
  <si>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</si>
  <si>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</si>
  <si>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</si>
  <si>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</si>
  <si>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</si>
  <si>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</si>
  <si>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</si>
  <si>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</si>
  <si>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</si>
  <si>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</si>
  <si>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</si>
  <si>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</si>
  <si>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</si>
  <si>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</si>
  <si>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</si>
  <si>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</si>
  <si>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</si>
  <si>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</si>
  <si>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</si>
  <si>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</si>
  <si>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</si>
  <si>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</si>
  <si>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</si>
  <si>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</si>
  <si>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</si>
  <si>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</si>
  <si>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</si>
  <si>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</si>
  <si>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</si>
  <si>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</si>
  <si>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</si>
  <si>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</si>
  <si>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</si>
  <si>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</si>
  <si>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</si>
  <si>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</si>
  <si>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</si>
  <si>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</si>
  <si>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</si>
  <si>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</si>
  <si>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</si>
  <si>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</si>
  <si>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</si>
  <si>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</si>
  <si>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</si>
  <si>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</si>
  <si>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</si>
  <si>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</si>
  <si>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</si>
  <si>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</si>
  <si>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</si>
  <si>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</si>
  <si>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</si>
  <si>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</si>
  <si>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</si>
  <si>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</si>
  <si>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</si>
  <si>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</si>
  <si>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</si>
  <si>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</si>
  <si>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</si>
  <si>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</si>
  <si>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</si>
  <si>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</si>
  <si>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</si>
  <si>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</si>
  <si>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</si>
  <si>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</si>
  <si>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</si>
  <si>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</si>
  <si>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</si>
  <si>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</si>
  <si>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</si>
  <si>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</si>
  <si>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</si>
  <si>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</si>
  <si>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</si>
  <si>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</si>
  <si>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</si>
  <si>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</si>
  <si>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</si>
  <si>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</si>
  <si>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</si>
  <si>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</si>
  <si>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</si>
  <si>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</si>
  <si>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</si>
  <si>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</si>
  <si>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</si>
  <si>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</si>
  <si>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</si>
  <si>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</si>
  <si>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</si>
  <si>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</si>
  <si>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</si>
  <si>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</si>
  <si>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</si>
  <si>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</si>
  <si>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</si>
  <si>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</si>
  <si>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</si>
  <si>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</si>
  <si>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</si>
  <si>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</si>
  <si>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</si>
  <si>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</si>
  <si>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</si>
  <si>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</si>
  <si>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</si>
  <si>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</si>
  <si>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</si>
  <si>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</si>
  <si>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</si>
  <si>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</si>
  <si>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</si>
  <si>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</si>
  <si>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</si>
  <si>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</si>
  <si>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</si>
  <si>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</si>
  <si>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</si>
  <si>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</si>
  <si>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</si>
  <si>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</si>
  <si>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</si>
  <si>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</si>
  <si>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</si>
  <si>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</si>
  <si>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</si>
  <si>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</si>
  <si>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</si>
  <si>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</si>
  <si>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</si>
  <si>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</si>
  <si>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</si>
  <si>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</si>
  <si>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</si>
  <si>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</si>
  <si>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</si>
  <si>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</si>
  <si>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</si>
  <si>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</si>
  <si>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</si>
  <si>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</si>
  <si>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</si>
  <si>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</si>
  <si>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</si>
  <si>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</si>
  <si>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</si>
  <si>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</si>
  <si>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</si>
  <si>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</si>
  <si>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</si>
  <si>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</si>
  <si>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</si>
  <si>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</si>
  <si>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</si>
  <si>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</si>
  <si>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</si>
  <si>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</si>
  <si>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</si>
  <si>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</si>
  <si>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</si>
  <si>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</si>
  <si>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</si>
  <si>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</si>
  <si>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</si>
  <si>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</si>
  <si>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</si>
  <si>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</si>
  <si>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</si>
  <si>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</si>
  <si>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</si>
  <si>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</si>
  <si>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</si>
  <si>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</si>
  <si>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</si>
  <si>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</si>
  <si>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</si>
  <si>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</si>
  <si>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</si>
  <si>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</si>
  <si>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</si>
  <si>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</si>
  <si>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</si>
  <si>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</si>
  <si>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</si>
  <si>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</si>
  <si>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</si>
  <si>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</si>
  <si>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</si>
  <si>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</si>
  <si>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</si>
  <si>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</si>
  <si>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</si>
  <si>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</si>
  <si>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</si>
  <si>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</si>
  <si>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</si>
  <si>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</si>
  <si>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</si>
  <si>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</si>
  <si>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</si>
  <si>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</si>
  <si>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</si>
  <si>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</si>
  <si>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</si>
  <si>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</si>
  <si>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</si>
  <si>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</si>
  <si>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</si>
  <si>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</si>
  <si>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</si>
  <si>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</si>
  <si>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</si>
  <si>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</si>
  <si>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</si>
  <si>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</si>
  <si>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</si>
  <si>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</si>
  <si>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</si>
  <si>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</si>
  <si>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</si>
  <si>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</si>
  <si>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</si>
  <si>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</si>
  <si>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</si>
  <si>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</si>
  <si>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</si>
  <si>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</si>
  <si>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</si>
  <si>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</si>
  <si>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</si>
  <si>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</si>
  <si>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</si>
  <si>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</si>
  <si>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</si>
  <si>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</si>
  <si>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</si>
  <si>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</si>
  <si>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</si>
  <si>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</si>
  <si>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</si>
  <si>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</si>
  <si>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</si>
  <si>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</si>
  <si>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</si>
  <si>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</si>
  <si>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</si>
  <si>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</si>
  <si>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</si>
  <si>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</si>
  <si>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</si>
  <si>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</si>
  <si>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</si>
  <si>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</si>
  <si>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</si>
  <si>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</si>
  <si>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</si>
  <si>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</si>
  <si>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</si>
  <si>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</si>
  <si>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</si>
  <si>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</si>
  <si>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</si>
  <si>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</si>
  <si>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</si>
  <si>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</si>
  <si>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</si>
  <si>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</si>
  <si>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</si>
  <si>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</si>
  <si>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</si>
  <si>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</si>
  <si>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</si>
  <si>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</si>
  <si>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</si>
  <si>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</si>
  <si>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</si>
  <si>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</si>
  <si>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</si>
  <si>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</si>
  <si>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</si>
  <si>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</si>
  <si>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</si>
  <si>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</si>
  <si>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</si>
  <si>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</si>
  <si>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</si>
  <si>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</si>
  <si>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</si>
  <si>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</si>
  <si>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</si>
  <si>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</si>
  <si>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</si>
  <si>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</si>
  <si>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</si>
  <si>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</si>
  <si>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</si>
  <si>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</si>
  <si>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</si>
  <si>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</si>
  <si>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</si>
  <si>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</si>
  <si>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</si>
  <si>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</si>
  <si>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</si>
  <si>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</si>
  <si>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</si>
  <si>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</si>
  <si>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</si>
  <si>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</si>
  <si>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</si>
  <si>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</si>
  <si>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</si>
  <si>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</si>
  <si>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</si>
  <si>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</si>
  <si>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</si>
  <si>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</si>
  <si>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</si>
  <si>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</si>
  <si>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</si>
  <si>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</si>
  <si>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</si>
  <si>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</si>
  <si>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</si>
  <si>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</si>
  <si>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</si>
  <si>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</si>
  <si>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</si>
  <si>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</si>
  <si>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</si>
  <si>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</si>
  <si>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</si>
  <si>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</si>
  <si>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</si>
  <si>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</si>
  <si>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</si>
  <si>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</si>
  <si>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</si>
  <si>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</si>
  <si>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</si>
  <si>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</si>
  <si>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</si>
  <si>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</si>
  <si>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</si>
  <si>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</si>
  <si>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</si>
  <si>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</si>
  <si>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</si>
  <si>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</si>
  <si>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</si>
  <si>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</si>
  <si>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</si>
  <si>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</si>
  <si>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</si>
  <si>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</si>
  <si>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</si>
  <si>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</si>
  <si>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</si>
  <si>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</si>
  <si>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</si>
  <si>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</si>
  <si>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</si>
  <si>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</si>
  <si>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</si>
  <si>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</si>
  <si>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</si>
  <si>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</si>
  <si>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</si>
  <si>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</si>
  <si>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</si>
  <si>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</si>
  <si>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</si>
  <si>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</si>
  <si>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</si>
  <si>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</si>
  <si>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</si>
  <si>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</si>
  <si>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</si>
  <si>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</si>
  <si>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</si>
  <si>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Eden Housing, Inc.</t>
  </si>
  <si>
    <t>Block 5 Apartments</t>
  </si>
  <si>
    <t>City of Cupertino</t>
  </si>
  <si>
    <t>Cupertino</t>
  </si>
  <si>
    <t>10123 North Wolfe Road</t>
  </si>
  <si>
    <t>06085508101</t>
  </si>
  <si>
    <t>40%/60% Average Income</t>
  </si>
  <si>
    <t>Inner City Infill Site</t>
  </si>
  <si>
    <t>CG (General Commercial)</t>
  </si>
  <si>
    <t>Vallco Shopping District</t>
  </si>
  <si>
    <t>Affordability restriction due to SB 35 approval</t>
  </si>
  <si>
    <t>Other Electric</t>
  </si>
  <si>
    <t>Santa Clara County Housing Authority</t>
  </si>
  <si>
    <t>Service Contracts</t>
  </si>
  <si>
    <t>Construction Loan - Tax-Exempt</t>
  </si>
  <si>
    <t>Construction Loan - Taxable</t>
  </si>
  <si>
    <t>Variable</t>
  </si>
  <si>
    <t>GP Equity</t>
  </si>
  <si>
    <t>LIHTC Equity</t>
  </si>
  <si>
    <t>Other: Lender Expenses</t>
  </si>
  <si>
    <t>Other: Lender Expenses and Legal</t>
  </si>
  <si>
    <t>Other: Sponsor Legal</t>
  </si>
  <si>
    <t>Other: Replacement Reserve</t>
  </si>
  <si>
    <t>Other: Wage Monitoring</t>
  </si>
  <si>
    <t>Other: GC and Escalation/Design Contingency</t>
  </si>
  <si>
    <t>Managing GP</t>
  </si>
  <si>
    <t>Administrative GP</t>
  </si>
  <si>
    <t>Eden Housing Management, Inc.</t>
  </si>
  <si>
    <t>Managing GP Entity to be formed later</t>
  </si>
  <si>
    <t>Administrative GP Entity to be formed later</t>
  </si>
  <si>
    <t>Master Developer Contribution</t>
  </si>
  <si>
    <t>Platinum Valley B 2013 RSC Limited</t>
  </si>
  <si>
    <t>Tina Kapoor</t>
  </si>
  <si>
    <t>10300 Torre Avenue</t>
  </si>
  <si>
    <t>tinak@cupertino.gov</t>
  </si>
  <si>
    <t>(408) 777-3212</t>
  </si>
  <si>
    <t>22645 Grand Street</t>
  </si>
  <si>
    <t>Hayward</t>
  </si>
  <si>
    <t>CA</t>
  </si>
  <si>
    <t>Andrea Osgood</t>
  </si>
  <si>
    <t>510-247-8103</t>
  </si>
  <si>
    <t>aosgood@edenhousing.org</t>
  </si>
  <si>
    <t>510-582-0122</t>
  </si>
  <si>
    <t>Sponsor/Developer</t>
  </si>
  <si>
    <t>Hayward, CA 94541</t>
  </si>
  <si>
    <t>Kyle Arndt</t>
  </si>
  <si>
    <t>Bocarsly Emden Cowan Esmail &amp; Arndt LLP</t>
  </si>
  <si>
    <t>633 West Fifth Street, Suite 5880</t>
  </si>
  <si>
    <t>Los Angeles, CA 90071</t>
  </si>
  <si>
    <t>213-239-8000</t>
  </si>
  <si>
    <t>213-239-0410</t>
  </si>
  <si>
    <t>karndt@bocarsly.com</t>
  </si>
  <si>
    <t>Community Economics, Inc.</t>
  </si>
  <si>
    <t>538 9th Street, Suite 200</t>
  </si>
  <si>
    <t>Oakland, CA 94607</t>
  </si>
  <si>
    <t>Diana Downton</t>
  </si>
  <si>
    <t>(510) 832-8300</t>
  </si>
  <si>
    <t>diana@communityeconomics.org</t>
  </si>
  <si>
    <t>California Municipal Finance Authority</t>
  </si>
  <si>
    <t>2111 Palomar Airport Rd, Suite 320</t>
  </si>
  <si>
    <t>Carlsbad, CA 92011</t>
  </si>
  <si>
    <t>Anthony Stubbs</t>
  </si>
  <si>
    <t>760-930-1333</t>
  </si>
  <si>
    <t>760-683-3390</t>
  </si>
  <si>
    <t>astubbs@cmfa-ca.com</t>
  </si>
  <si>
    <t>Hayward, CA, 94541</t>
  </si>
  <si>
    <t>Darnell Williams</t>
  </si>
  <si>
    <t>510-247-8120</t>
  </si>
  <si>
    <t>darnell.williams@edenhousing.org</t>
  </si>
  <si>
    <t>Laurin Associates</t>
  </si>
  <si>
    <t>1501 Sports Drive, Suite A</t>
  </si>
  <si>
    <t>Sacramento, CA 95834</t>
  </si>
  <si>
    <t>Stefanie Williams</t>
  </si>
  <si>
    <t>916-372-6100</t>
  </si>
  <si>
    <t>swilliams@laurinassociates.com</t>
  </si>
  <si>
    <t>621 Capital Mall Ste 2150</t>
  </si>
  <si>
    <t>Sacramento, CA 95814</t>
  </si>
  <si>
    <t>Beth Mullen</t>
  </si>
  <si>
    <t>TBD</t>
  </si>
  <si>
    <t>Cohn Reznick</t>
  </si>
  <si>
    <t>916-930-5750</t>
  </si>
  <si>
    <t>beth.mullen@cohnreznick.com</t>
  </si>
  <si>
    <t>Alma Jauregui</t>
  </si>
  <si>
    <t>650 California St. 7th Floor</t>
  </si>
  <si>
    <t>San Francisco, CA 94108</t>
  </si>
  <si>
    <t>House &amp; Robertson Architects, Inc.</t>
  </si>
  <si>
    <t>415-851-8005</t>
  </si>
  <si>
    <t>almaj@hrarch.com</t>
  </si>
  <si>
    <t>Stok</t>
  </si>
  <si>
    <t>Michael Hummel</t>
  </si>
  <si>
    <t>510-730-5602</t>
  </si>
  <si>
    <t>michael@stok.com</t>
  </si>
  <si>
    <t>26 O'Farrell St, Fl. 2</t>
  </si>
  <si>
    <t>Vallco Property Owner, LLC</t>
  </si>
  <si>
    <t>Saeed Helal Saeed Balbadi AlDhaheri</t>
  </si>
  <si>
    <t>Bernardo Coutinho De Sampaio</t>
  </si>
  <si>
    <t>Director</t>
  </si>
  <si>
    <t>316-20-122</t>
  </si>
  <si>
    <t>Secured by Fee Interest</t>
  </si>
  <si>
    <t>The building will have 35,923 square feet of retail space on the ground floor of the building. Ownership of the retail space will be reconveyed to the master developer after construction.</t>
  </si>
  <si>
    <t>Not applicable</t>
  </si>
  <si>
    <t>Cmrcl Purchase - Platinum Valley B 2013 RSC Limited</t>
  </si>
  <si>
    <t>JPMorgan Chase Bank</t>
  </si>
  <si>
    <t>560 Mission Street, 4th Floor</t>
  </si>
  <si>
    <t>San Francisco, CA 94105</t>
  </si>
  <si>
    <t>James Vossoughi</t>
  </si>
  <si>
    <t>415-315-6708</t>
  </si>
  <si>
    <t>1 month SOFR</t>
  </si>
  <si>
    <t>One Embarcadero Center Suite 2600</t>
  </si>
  <si>
    <t>San Francisco, CA 94111</t>
  </si>
  <si>
    <t>Allison Kidd</t>
  </si>
  <si>
    <t>415-393-8290</t>
  </si>
  <si>
    <t>Master Developer Commercial Purchase</t>
  </si>
  <si>
    <t>LIHTC Equity during construction</t>
  </si>
  <si>
    <t>GP Equity (Eden Housing)</t>
  </si>
  <si>
    <t>SB 35 ministerial approval project condition from City of Cupertino</t>
  </si>
  <si>
    <t>Eden Housing, Inc. through future general partner entity to be formed</t>
  </si>
  <si>
    <t>SB 35 ministerial approval project condition of approval from City of Cupertino</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</si>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</sst>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060">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19" fillId="0" borderId="0" xfId="0" applyFont="1" applyAlignment="1">
      <alignment horizontal="left" vertical="top"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19" fillId="0" borderId="0" xfId="0" applyFont="1" applyAlignment="1">
      <alignment horizontal="left"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19" fillId="5" borderId="4" xfId="569" applyFill="1" applyBorder="1" applyAlignment="1" applyProtection="1">
      <alignment horizontal="left"/>
      <protection locked="0"/>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 fontId="0" fillId="43" borderId="4" xfId="0" applyNumberFormat="1" applyFill="1" applyBorder="1" applyAlignment="1" applyProtection="1">
      <alignment horizontal="center"/>
      <protection locked="0"/>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45" borderId="11" xfId="0" applyFont="1" applyFill="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0" fontId="19" fillId="43" borderId="11" xfId="0" applyFont="1" applyFill="1" applyBorder="1" applyAlignment="1" applyProtection="1">
      <alignment horizontal="center"/>
      <protection locked="0"/>
    </xf>
    <xf numFmtId="0" fontId="19" fillId="0" borderId="11" xfId="0" applyFont="1" applyBorder="1" applyAlignment="1">
      <alignment horizontal="center"/>
    </xf>
    <xf numFmtId="0" fontId="28"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0" fontId="19"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9" fillId="0" borderId="3" xfId="0" applyNumberFormat="1" applyFont="1" applyBorder="1" applyAlignment="1">
      <alignment horizontal="left" vertical="top"/>
    </xf>
    <xf numFmtId="0" fontId="28" fillId="5" borderId="11" xfId="0" applyFont="1" applyFill="1" applyBorder="1" applyAlignment="1" applyProtection="1">
      <alignment horizontal="center"/>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6" fillId="0" borderId="6" xfId="0" applyFont="1" applyBorder="1" applyAlignment="1">
      <alignment horizontal="center"/>
    </xf>
    <xf numFmtId="0" fontId="26" fillId="0" borderId="10" xfId="0" applyFont="1" applyBorder="1" applyAlignment="1">
      <alignment horizontal="center"/>
    </xf>
    <xf numFmtId="3" fontId="28" fillId="5" borderId="11" xfId="0" applyNumberFormat="1" applyFont="1" applyFill="1" applyBorder="1" applyAlignment="1" applyProtection="1">
      <alignment horizontal="center"/>
      <protection locked="0"/>
    </xf>
    <xf numFmtId="10" fontId="28" fillId="0" borderId="11" xfId="0" applyNumberFormat="1" applyFont="1" applyBorder="1" applyAlignment="1">
      <alignment horizontal="center"/>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8" fillId="5" borderId="4" xfId="0" applyFont="1" applyFill="1" applyBorder="1" applyAlignment="1" applyProtection="1">
      <alignment horizontal="right"/>
      <protection locked="0"/>
    </xf>
    <xf numFmtId="168" fontId="28" fillId="5" borderId="6" xfId="0" applyNumberFormat="1"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19" fillId="5" borderId="4" xfId="0" applyFont="1" applyFill="1" applyBorder="1" applyAlignment="1" applyProtection="1">
      <alignment horizontal="left"/>
      <protection locked="0"/>
    </xf>
    <xf numFmtId="0" fontId="28"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9" fillId="5" borderId="4" xfId="0" applyFont="1" applyFill="1" applyBorder="1" applyAlignment="1" applyProtection="1">
      <alignment wrapText="1"/>
      <protection locked="0"/>
    </xf>
    <xf numFmtId="166" fontId="28"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9" fillId="0" borderId="11" xfId="543" applyBorder="1" applyAlignment="1">
      <alignment horizontal="center"/>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8"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8" fillId="5" borderId="4" xfId="0" applyFont="1" applyFill="1" applyBorder="1" applyAlignment="1" applyProtection="1">
      <alignment wrapText="1"/>
      <protection locked="0"/>
    </xf>
    <xf numFmtId="3" fontId="19" fillId="5" borderId="11" xfId="0" applyNumberFormat="1" applyFont="1" applyFill="1" applyBorder="1" applyAlignment="1" applyProtection="1">
      <alignment horizontal="left" vertical="center" wrapText="1"/>
      <protection locked="0"/>
    </xf>
    <xf numFmtId="168" fontId="0" fillId="43" borderId="6" xfId="0" applyNumberFormat="1" applyFill="1" applyBorder="1" applyAlignment="1" applyProtection="1">
      <alignment horizontal="right"/>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8" fillId="5" borderId="6" xfId="0" applyFont="1" applyFill="1" applyBorder="1" applyAlignment="1" applyProtection="1">
      <alignment horizontal="left"/>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19"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8" fillId="5" borderId="6" xfId="0" applyNumberFormat="1" applyFont="1" applyFill="1" applyBorder="1" applyAlignment="1" applyProtection="1">
      <alignment horizontal="right"/>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0" fillId="43" borderId="6" xfId="0"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0" fontId="28" fillId="5" borderId="6" xfId="0" applyFont="1" applyFill="1" applyBorder="1" applyAlignment="1" applyProtection="1">
      <alignment horizontal="left" wrapText="1"/>
      <protection locked="0"/>
    </xf>
    <xf numFmtId="166" fontId="28" fillId="5" borderId="6" xfId="0" applyNumberFormat="1" applyFont="1" applyFill="1" applyBorder="1" applyAlignment="1" applyProtection="1">
      <alignment horizontal="left"/>
      <protection locked="0"/>
    </xf>
    <xf numFmtId="0" fontId="0" fillId="0" borderId="0" xfId="0" applyAlignment="1">
      <alignment wrapText="1"/>
    </xf>
    <xf numFmtId="0" fontId="28" fillId="0" borderId="0" xfId="0" applyFont="1" applyAlignment="1">
      <alignment horizontal="left" vertical="top" wrapText="1"/>
    </xf>
    <xf numFmtId="0" fontId="154" fillId="0" borderId="0" xfId="0" applyFont="1" applyAlignment="1" applyProtection="1">
      <alignment horizontal="left" vertical="top" wrapText="1"/>
      <protection locked="0"/>
    </xf>
    <xf numFmtId="166" fontId="19" fillId="5" borderId="4" xfId="0" applyNumberFormat="1" applyFont="1" applyFill="1" applyBorder="1" applyAlignment="1" applyProtection="1">
      <alignment horizontal="left"/>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9" fillId="0" borderId="0" xfId="271" applyFont="1" applyAlignment="1">
      <alignment horizontal="left" vertical="top" wrapText="1"/>
    </xf>
    <xf numFmtId="174" fontId="19" fillId="5" borderId="4" xfId="0" quotePrefix="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19" fillId="0" borderId="0" xfId="0" applyFont="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166" fontId="19"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0" fontId="19" fillId="5" borderId="6" xfId="569" applyFill="1" applyBorder="1" applyAlignment="1" applyProtection="1">
      <alignment horizontal="left"/>
      <protection locked="0"/>
    </xf>
    <xf numFmtId="0" fontId="19"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8" fillId="5" borderId="4" xfId="271" applyNumberFormat="1" applyFill="1" applyBorder="1" applyAlignment="1" applyProtection="1">
      <alignment horizontal="left"/>
      <protection locked="0"/>
    </xf>
    <xf numFmtId="0" fontId="28" fillId="0" borderId="6" xfId="0" applyFont="1" applyBorder="1" applyAlignment="1">
      <alignment horizontal="left"/>
    </xf>
    <xf numFmtId="0" fontId="19" fillId="5" borderId="3" xfId="0" applyFont="1" applyFill="1" applyBorder="1" applyAlignment="1" applyProtection="1">
      <alignment horizontal="left"/>
      <protection locked="0"/>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8" fillId="5" borderId="4" xfId="0" applyNumberFormat="1" applyFont="1" applyFill="1" applyBorder="1" applyAlignment="1" applyProtection="1">
      <alignment horizontal="right"/>
      <protection locked="0"/>
    </xf>
    <xf numFmtId="0" fontId="19"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10" xfId="0" applyFill="1" applyBorder="1" applyAlignment="1" applyProtection="1">
      <alignment horizontal="left"/>
      <protection locked="0"/>
    </xf>
    <xf numFmtId="0" fontId="26"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8" fillId="0" borderId="1" xfId="0" applyFont="1" applyBorder="1" applyAlignment="1">
      <alignment horizontal="center" vertical="top" wrapText="1"/>
    </xf>
    <xf numFmtId="0" fontId="19" fillId="5" borderId="11" xfId="0" applyFont="1" applyFill="1" applyBorder="1" applyAlignment="1" applyProtection="1">
      <alignment horizontal="left" wrapText="1"/>
      <protection locked="0"/>
    </xf>
    <xf numFmtId="0" fontId="28" fillId="0" borderId="1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8" fillId="0" borderId="11" xfId="0" applyFont="1" applyBorder="1" applyAlignment="1">
      <alignment horizontal="center"/>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157" fillId="0" borderId="0" xfId="0" applyNumberFormat="1" applyFont="1" applyAlignment="1">
      <alignment horizontal="center" vertical="center" wrapText="1"/>
    </xf>
    <xf numFmtId="168" fontId="0" fillId="0" borderId="11" xfId="0" applyNumberFormat="1" applyBorder="1" applyAlignment="1">
      <alignment horizontal="right"/>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19" fillId="0" borderId="0" xfId="543" applyNumberFormat="1" applyAlignment="1">
      <alignment horizontal="center" vertical="center"/>
    </xf>
    <xf numFmtId="0" fontId="26"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Alignment="1" applyProtection="1">
      <alignment horizontal="right"/>
      <protection locked="0"/>
    </xf>
    <xf numFmtId="0" fontId="0" fillId="0" borderId="9" xfId="0" applyBorder="1" applyAlignment="1">
      <alignment horizontal="left"/>
    </xf>
    <xf numFmtId="2" fontId="19" fillId="0" borderId="0" xfId="543" applyNumberFormat="1" applyAlignment="1">
      <alignment horizontal="center"/>
    </xf>
    <xf numFmtId="0" fontId="19" fillId="0" borderId="3" xfId="0" applyFont="1" applyBorder="1"/>
    <xf numFmtId="0" fontId="19" fillId="0" borderId="4" xfId="0" applyFont="1" applyBorder="1"/>
    <xf numFmtId="0" fontId="19" fillId="0" borderId="5" xfId="0" applyFont="1" applyBorder="1"/>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0" borderId="0" xfId="543" applyAlignment="1">
      <alignment horizontal="center"/>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71" fontId="19" fillId="0" borderId="0" xfId="543" applyNumberFormat="1" applyAlignment="1">
      <alignment horizontal="center"/>
    </xf>
    <xf numFmtId="171" fontId="19" fillId="0" borderId="0" xfId="543" applyNumberFormat="1" applyAlignment="1">
      <alignment horizontal="right"/>
    </xf>
    <xf numFmtId="10" fontId="0" fillId="5" borderId="4" xfId="0" applyNumberFormat="1"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180" fontId="0" fillId="0" borderId="6" xfId="0" applyNumberFormat="1" applyBorder="1" applyAlignment="1">
      <alignment horizontal="center"/>
    </xf>
    <xf numFmtId="14" fontId="0" fillId="5" borderId="4" xfId="0" applyNumberFormat="1" applyFill="1" applyBorder="1" applyAlignment="1" applyProtection="1">
      <alignment horizontal="center"/>
      <protection locked="0"/>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26" fillId="0" borderId="9" xfId="0" applyFont="1" applyBorder="1" applyAlignment="1">
      <alignment horizontal="right"/>
    </xf>
    <xf numFmtId="0" fontId="26" fillId="0" borderId="10" xfId="0" applyFont="1" applyBorder="1" applyAlignment="1">
      <alignment horizontal="right"/>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68" fontId="0" fillId="0" borderId="11" xfId="0" applyNumberFormat="1" applyBorder="1" applyAlignment="1">
      <alignment horizontal="center"/>
    </xf>
    <xf numFmtId="0" fontId="28" fillId="0" borderId="3" xfId="0" applyFont="1" applyBorder="1" applyAlignment="1">
      <alignment horizontal="left"/>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19" fillId="5" borderId="5" xfId="0" applyFont="1" applyFill="1" applyBorder="1" applyAlignment="1" applyProtection="1">
      <alignment horizontal="left"/>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0" fontId="26" fillId="0" borderId="2" xfId="0" applyFont="1" applyBorder="1" applyAlignment="1">
      <alignment horizontal="right"/>
    </xf>
    <xf numFmtId="0" fontId="26" fillId="0" borderId="7" xfId="0" applyFont="1" applyBorder="1" applyAlignment="1">
      <alignment horizontal="right"/>
    </xf>
    <xf numFmtId="14" fontId="0" fillId="5" borderId="3" xfId="0" applyNumberFormat="1" applyFill="1" applyBorder="1" applyAlignment="1" applyProtection="1">
      <alignment horizontal="right"/>
      <protection locked="0"/>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168" fontId="19" fillId="0" borderId="11" xfId="543" applyNumberFormat="1" applyBorder="1" applyAlignment="1">
      <alignment horizontal="center"/>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26" fillId="0" borderId="0" xfId="0" applyFont="1" applyAlignment="1">
      <alignment horizontal="center" vertical="center"/>
    </xf>
    <xf numFmtId="0" fontId="26" fillId="0" borderId="11"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horizontal="center" vertical="top"/>
    </xf>
    <xf numFmtId="168" fontId="28" fillId="0" borderId="6" xfId="0" applyNumberFormat="1" applyFont="1" applyBorder="1" applyAlignment="1">
      <alignment horizontal="center"/>
    </xf>
    <xf numFmtId="0" fontId="26" fillId="0" borderId="9" xfId="0" applyFont="1" applyBorder="1" applyAlignment="1">
      <alignment horizontal="center"/>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0" borderId="0" xfId="543" applyAlignment="1">
      <alignment wrapText="1"/>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060">
    <cellStyle name="20% - Accent1" xfId="1" builtinId="30" customBuiltin="1"/>
    <cellStyle name="20% - Accent1 10" xfId="4504" xr:uid="{00000000-0005-0000-0000-000001000000}"/>
    <cellStyle name="20% - Accent1 10 2" xfId="13830" xr:uid="{835A79B9-69F3-427E-AA5A-B395E0388713}"/>
    <cellStyle name="20% - Accent1 11" xfId="8758" xr:uid="{2F735C8D-70CB-4E84-A95A-4445894745BC}"/>
    <cellStyle name="20% - Accent1 12" xfId="9613" xr:uid="{DDF674EA-181D-4601-AE72-6802E9780EC3}"/>
    <cellStyle name="20% - Accent1 2" xfId="2" xr:uid="{00000000-0005-0000-0000-000002000000}"/>
    <cellStyle name="20% - Accent1 2 10" xfId="8797" xr:uid="{7F4BEAE6-CC35-4B07-89BD-8FC5D6B3D35B}"/>
    <cellStyle name="20% - Accent1 2 11" xfId="9614" xr:uid="{DE8F3632-F49C-43EE-933F-120B7608E3FF}"/>
    <cellStyle name="20% - Accent1 2 2" xfId="3" xr:uid="{00000000-0005-0000-0000-000003000000}"/>
    <cellStyle name="20% - Accent1 2 2 10" xfId="9615" xr:uid="{4FF4F79F-FF41-4ACD-AA20-44DFF4BBF63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3FC91643-1185-4325-BC7D-FC6D4C144E35}"/>
    <cellStyle name="20% - Accent1 2 2 2 2 2 3" xfId="12175" xr:uid="{7D616787-966A-415F-A4BA-4CDC3D0715AA}"/>
    <cellStyle name="20% - Accent1 2 2 2 2 3" xfId="4921" xr:uid="{00000000-0005-0000-0000-000008000000}"/>
    <cellStyle name="20% - Accent1 2 2 2 2 3 2" xfId="14247" xr:uid="{10FF706D-F474-45AC-9B9B-BC14C5FFF5C1}"/>
    <cellStyle name="20% - Accent1 2 2 2 2 4" xfId="9532" xr:uid="{D5FAB462-C5A9-4306-AA37-C118C84F9393}"/>
    <cellStyle name="20% - Accent1 2 2 2 2 5" xfId="10030" xr:uid="{148FB854-F525-43B4-AC80-150B2B8D3B8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571F88F7-F0E2-4AE2-9F13-7C9B52C9FD0C}"/>
    <cellStyle name="20% - Accent1 2 2 2 3 2 3" xfId="12588" xr:uid="{4010CFB6-60F0-4445-85EE-82A0EF6833CF}"/>
    <cellStyle name="20% - Accent1 2 2 2 3 3" xfId="5334" xr:uid="{00000000-0005-0000-0000-00000C000000}"/>
    <cellStyle name="20% - Accent1 2 2 2 3 3 2" xfId="14660" xr:uid="{C8AD6E58-22D6-4319-B6AE-154A30C3491F}"/>
    <cellStyle name="20% - Accent1 2 2 2 3 4" xfId="10443" xr:uid="{EBF5422E-C10E-45B0-A646-79627B92B54B}"/>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1807D3AC-60AA-4227-906F-6BFCB74EA3DA}"/>
    <cellStyle name="20% - Accent1 2 2 2 4 2 3" xfId="13001" xr:uid="{3DE70F6D-5897-44DA-97DC-323AE24BA603}"/>
    <cellStyle name="20% - Accent1 2 2 2 4 3" xfId="5747" xr:uid="{00000000-0005-0000-0000-000010000000}"/>
    <cellStyle name="20% - Accent1 2 2 2 4 3 2" xfId="15073" xr:uid="{4E05439A-D136-47F9-A0CC-28132B602811}"/>
    <cellStyle name="20% - Accent1 2 2 2 4 4" xfId="10856" xr:uid="{6D5F78CB-C468-467A-BA2D-D50D775E627B}"/>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16CB30AD-6445-4C44-A182-3A36ED82014D}"/>
    <cellStyle name="20% - Accent1 2 2 2 5 2 3" xfId="13414" xr:uid="{CE719A9C-5FB2-45F3-8706-A4028B4A4FF0}"/>
    <cellStyle name="20% - Accent1 2 2 2 5 3" xfId="6160" xr:uid="{00000000-0005-0000-0000-000014000000}"/>
    <cellStyle name="20% - Accent1 2 2 2 5 3 2" xfId="15486" xr:uid="{DE621E5C-8392-4773-8C2F-1084DD572EF9}"/>
    <cellStyle name="20% - Accent1 2 2 2 5 4" xfId="11269" xr:uid="{F804DA4E-D100-4B83-8805-1E9D52F81DC7}"/>
    <cellStyle name="20% - Accent1 2 2 2 6" xfId="2267" xr:uid="{00000000-0005-0000-0000-000015000000}"/>
    <cellStyle name="20% - Accent1 2 2 2 6 2" xfId="6573" xr:uid="{00000000-0005-0000-0000-000016000000}"/>
    <cellStyle name="20% - Accent1 2 2 2 6 2 2" xfId="15899" xr:uid="{2DD65594-ACCB-43FA-94EE-61327CD061CE}"/>
    <cellStyle name="20% - Accent1 2 2 2 6 3" xfId="11682" xr:uid="{AF0C4187-C5C2-4D4D-947B-4740BB5EA560}"/>
    <cellStyle name="20% - Accent1 2 2 2 7" xfId="4507" xr:uid="{00000000-0005-0000-0000-000017000000}"/>
    <cellStyle name="20% - Accent1 2 2 2 7 2" xfId="13833" xr:uid="{40C0EA26-041D-451C-8EE7-2CE5FE6478AB}"/>
    <cellStyle name="20% - Accent1 2 2 2 8" xfId="9107" xr:uid="{4168D01E-823F-4E8F-9A1D-70697AC1F241}"/>
    <cellStyle name="20% - Accent1 2 2 2 9" xfId="9616" xr:uid="{42D605C5-EB8D-4E78-82CE-FBF46287E3E7}"/>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52EDC68A-F22D-49C3-B84C-8E819FFC1C06}"/>
    <cellStyle name="20% - Accent1 2 2 3 2 3" xfId="12174" xr:uid="{4F66925A-2207-45C4-AD40-4D0AF13917EB}"/>
    <cellStyle name="20% - Accent1 2 2 3 3" xfId="4920" xr:uid="{00000000-0005-0000-0000-00001B000000}"/>
    <cellStyle name="20% - Accent1 2 2 3 3 2" xfId="14246" xr:uid="{6FB35351-F445-49E0-8048-6EC9A0F552CF}"/>
    <cellStyle name="20% - Accent1 2 2 3 4" xfId="9325" xr:uid="{DE19910B-698B-4F31-B25F-3533B35DDA95}"/>
    <cellStyle name="20% - Accent1 2 2 3 5" xfId="10029" xr:uid="{DD6D7AB2-6F94-4DD5-AA46-44C8DC9C1AD8}"/>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011F9339-E08A-480A-8C04-A6E17297BF50}"/>
    <cellStyle name="20% - Accent1 2 2 4 2 3" xfId="12587" xr:uid="{6A0F5A8C-2788-4C04-8A44-0CF886975C7C}"/>
    <cellStyle name="20% - Accent1 2 2 4 3" xfId="5333" xr:uid="{00000000-0005-0000-0000-00001F000000}"/>
    <cellStyle name="20% - Accent1 2 2 4 3 2" xfId="14659" xr:uid="{7CBE29F5-101F-4150-90E9-6AF436EBD5A5}"/>
    <cellStyle name="20% - Accent1 2 2 4 4" xfId="10442" xr:uid="{CED525EA-A429-43EA-BBE4-F0425625EA90}"/>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ABF3F1D9-37E7-4286-8E03-DC0E24404A55}"/>
    <cellStyle name="20% - Accent1 2 2 5 2 3" xfId="13000" xr:uid="{942CC7A0-E029-4855-AA30-63EA0A380FB2}"/>
    <cellStyle name="20% - Accent1 2 2 5 3" xfId="5746" xr:uid="{00000000-0005-0000-0000-000023000000}"/>
    <cellStyle name="20% - Accent1 2 2 5 3 2" xfId="15072" xr:uid="{11737915-8860-4BD3-96B8-306657A4C72D}"/>
    <cellStyle name="20% - Accent1 2 2 5 4" xfId="10855" xr:uid="{1DB59E08-B985-4062-8B72-16AE39C3E3FF}"/>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99424787-CA7A-419E-96CF-03504060BFF5}"/>
    <cellStyle name="20% - Accent1 2 2 6 2 3" xfId="13413" xr:uid="{869721EA-F67C-4428-96F0-01C65E22ED63}"/>
    <cellStyle name="20% - Accent1 2 2 6 3" xfId="6159" xr:uid="{00000000-0005-0000-0000-000027000000}"/>
    <cellStyle name="20% - Accent1 2 2 6 3 2" xfId="15485" xr:uid="{D343038E-A513-4A19-9582-BB2CD7BC95C5}"/>
    <cellStyle name="20% - Accent1 2 2 6 4" xfId="11268" xr:uid="{685306E4-D5CC-4E7A-9304-60BBFFDEC75A}"/>
    <cellStyle name="20% - Accent1 2 2 7" xfId="2266" xr:uid="{00000000-0005-0000-0000-000028000000}"/>
    <cellStyle name="20% - Accent1 2 2 7 2" xfId="6572" xr:uid="{00000000-0005-0000-0000-000029000000}"/>
    <cellStyle name="20% - Accent1 2 2 7 2 2" xfId="15898" xr:uid="{F2796957-9C16-414D-BCFE-4E7502F71FDC}"/>
    <cellStyle name="20% - Accent1 2 2 7 3" xfId="11681" xr:uid="{F8FAA93A-2605-4440-819D-47F60677E31B}"/>
    <cellStyle name="20% - Accent1 2 2 8" xfId="4506" xr:uid="{00000000-0005-0000-0000-00002A000000}"/>
    <cellStyle name="20% - Accent1 2 2 8 2" xfId="13832" xr:uid="{03E286BD-112F-40BB-9C58-4CF3BE3F132B}"/>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EE532F4E-0C08-4825-98C9-4E1FEB995765}"/>
    <cellStyle name="20% - Accent1 2 3 2 2 3" xfId="12176" xr:uid="{27746520-A848-4282-B5B5-2B8493A265DA}"/>
    <cellStyle name="20% - Accent1 2 3 2 3" xfId="4922" xr:uid="{00000000-0005-0000-0000-00002F000000}"/>
    <cellStyle name="20% - Accent1 2 3 2 3 2" xfId="14248" xr:uid="{6DDFA81C-EBF1-45F8-9CBB-28F089BE48DF}"/>
    <cellStyle name="20% - Accent1 2 3 2 4" xfId="9429" xr:uid="{CCD4BD61-3143-497B-A316-8024A8762A6C}"/>
    <cellStyle name="20% - Accent1 2 3 2 5" xfId="10031" xr:uid="{F3F13D38-35BC-40C7-A049-F309365C56F3}"/>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0A0D80C4-F8A7-4118-ABF1-B9097DED72A7}"/>
    <cellStyle name="20% - Accent1 2 3 3 2 3" xfId="12589" xr:uid="{F3832550-48C3-43FF-92CC-E1F63386D5B9}"/>
    <cellStyle name="20% - Accent1 2 3 3 3" xfId="5335" xr:uid="{00000000-0005-0000-0000-000033000000}"/>
    <cellStyle name="20% - Accent1 2 3 3 3 2" xfId="14661" xr:uid="{054FABF7-150B-490F-8EC5-9AB28B681A33}"/>
    <cellStyle name="20% - Accent1 2 3 3 4" xfId="10444" xr:uid="{619E6238-DFE7-4DC0-91B8-825EF66D16CD}"/>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D5662B72-9333-4F0D-864E-E3F210C931D0}"/>
    <cellStyle name="20% - Accent1 2 3 4 2 3" xfId="13002" xr:uid="{DD36A123-3E2F-4470-9C88-F51F8694B8E0}"/>
    <cellStyle name="20% - Accent1 2 3 4 3" xfId="5748" xr:uid="{00000000-0005-0000-0000-000037000000}"/>
    <cellStyle name="20% - Accent1 2 3 4 3 2" xfId="15074" xr:uid="{CFF85765-AA37-402D-800D-F1016091940D}"/>
    <cellStyle name="20% - Accent1 2 3 4 4" xfId="10857" xr:uid="{C8894FCD-C768-457F-B743-3A08395CEA28}"/>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55A87E64-FBB1-4254-9603-40CFE27D9623}"/>
    <cellStyle name="20% - Accent1 2 3 5 2 3" xfId="13415" xr:uid="{3FC88F59-DCDC-49EE-A02B-F3DB60E477C4}"/>
    <cellStyle name="20% - Accent1 2 3 5 3" xfId="6161" xr:uid="{00000000-0005-0000-0000-00003B000000}"/>
    <cellStyle name="20% - Accent1 2 3 5 3 2" xfId="15487" xr:uid="{AC90F30A-4118-448D-B19A-496CD7C5B35E}"/>
    <cellStyle name="20% - Accent1 2 3 5 4" xfId="11270" xr:uid="{A0F51AEB-C38C-4CCE-8757-ED3A36022283}"/>
    <cellStyle name="20% - Accent1 2 3 6" xfId="2268" xr:uid="{00000000-0005-0000-0000-00003C000000}"/>
    <cellStyle name="20% - Accent1 2 3 6 2" xfId="6574" xr:uid="{00000000-0005-0000-0000-00003D000000}"/>
    <cellStyle name="20% - Accent1 2 3 6 2 2" xfId="15900" xr:uid="{2AFA65E2-6C1A-487D-8CA5-0F9D20EABBFD}"/>
    <cellStyle name="20% - Accent1 2 3 6 3" xfId="11683" xr:uid="{63E6E20E-8ABB-41C3-A46D-2DE66BF11E7F}"/>
    <cellStyle name="20% - Accent1 2 3 7" xfId="4508" xr:uid="{00000000-0005-0000-0000-00003E000000}"/>
    <cellStyle name="20% - Accent1 2 3 7 2" xfId="13834" xr:uid="{EC767C11-DC39-40D1-9561-3038E8558CFC}"/>
    <cellStyle name="20% - Accent1 2 3 8" xfId="9004" xr:uid="{14A9C135-BB7B-44DD-97E1-B6B10773DEE2}"/>
    <cellStyle name="20% - Accent1 2 3 9" xfId="9617" xr:uid="{6ACBAE48-7D9E-4662-98D6-A971477737D7}"/>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F96668F7-1FDE-4D62-865E-CD308E018C48}"/>
    <cellStyle name="20% - Accent1 2 4 2 3" xfId="12173" xr:uid="{006E8527-D47F-42FC-AD51-7BD491BDA749}"/>
    <cellStyle name="20% - Accent1 2 4 3" xfId="4919" xr:uid="{00000000-0005-0000-0000-000042000000}"/>
    <cellStyle name="20% - Accent1 2 4 3 2" xfId="14245" xr:uid="{59403D44-CCC6-4FD7-B29B-E42BCE3876DE}"/>
    <cellStyle name="20% - Accent1 2 4 4" xfId="9221" xr:uid="{11532E3F-E59C-4FF7-9F45-291A17A69435}"/>
    <cellStyle name="20% - Accent1 2 4 5" xfId="10028" xr:uid="{69A021D9-F954-4A61-A1DC-02F53548D36B}"/>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92E0D250-214B-4725-B8DB-92BF60CBB0F2}"/>
    <cellStyle name="20% - Accent1 2 5 2 3" xfId="12586" xr:uid="{D9631CF6-2D7B-423B-A527-14D87B27B9CD}"/>
    <cellStyle name="20% - Accent1 2 5 3" xfId="5332" xr:uid="{00000000-0005-0000-0000-000046000000}"/>
    <cellStyle name="20% - Accent1 2 5 3 2" xfId="14658" xr:uid="{188BB535-0D29-4595-8427-2EFB38B94372}"/>
    <cellStyle name="20% - Accent1 2 5 4" xfId="10441" xr:uid="{D1A17E41-9B68-4091-9146-5B4CEE501D89}"/>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340BF5F0-B2D3-4563-A292-05DFA8582E10}"/>
    <cellStyle name="20% - Accent1 2 6 2 3" xfId="12999" xr:uid="{24C88171-B42C-41B6-8818-30EB8757BDEF}"/>
    <cellStyle name="20% - Accent1 2 6 3" xfId="5745" xr:uid="{00000000-0005-0000-0000-00004A000000}"/>
    <cellStyle name="20% - Accent1 2 6 3 2" xfId="15071" xr:uid="{76E55C59-1146-4BA2-B5F1-58E0EFB0E292}"/>
    <cellStyle name="20% - Accent1 2 6 4" xfId="10854" xr:uid="{CF6244A9-CD3B-4BDE-9888-16940AD9A74A}"/>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03814A57-2C75-46EB-A34A-51110692D41F}"/>
    <cellStyle name="20% - Accent1 2 7 2 3" xfId="13412" xr:uid="{EDD4FFBD-A803-44A0-8D0E-66FA05EEFD3A}"/>
    <cellStyle name="20% - Accent1 2 7 3" xfId="6158" xr:uid="{00000000-0005-0000-0000-00004E000000}"/>
    <cellStyle name="20% - Accent1 2 7 3 2" xfId="15484" xr:uid="{FB2C958F-2209-407E-8EE6-B08630BEE5B8}"/>
    <cellStyle name="20% - Accent1 2 7 4" xfId="11267" xr:uid="{B094A16D-6C8E-4CBA-B2D7-068ABCAB7A3A}"/>
    <cellStyle name="20% - Accent1 2 8" xfId="2265" xr:uid="{00000000-0005-0000-0000-00004F000000}"/>
    <cellStyle name="20% - Accent1 2 8 2" xfId="6571" xr:uid="{00000000-0005-0000-0000-000050000000}"/>
    <cellStyle name="20% - Accent1 2 8 2 2" xfId="15897" xr:uid="{A4465536-36A3-4C4B-B21A-3A4EB07289DB}"/>
    <cellStyle name="20% - Accent1 2 8 3" xfId="11680" xr:uid="{E4FBE2FA-5179-442D-96B7-108A3F55BEDD}"/>
    <cellStyle name="20% - Accent1 2 9" xfId="4505" xr:uid="{00000000-0005-0000-0000-000051000000}"/>
    <cellStyle name="20% - Accent1 2 9 2" xfId="13831" xr:uid="{5B139E92-0794-4215-B290-71CB9B2FD559}"/>
    <cellStyle name="20% - Accent1 3" xfId="6" xr:uid="{00000000-0005-0000-0000-000052000000}"/>
    <cellStyle name="20% - Accent1 3 10" xfId="9618" xr:uid="{F6E37EB9-1369-40FE-AE7A-90B312B28146}"/>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9D6A0E34-ED4B-4862-ABD0-3C8BCE59F825}"/>
    <cellStyle name="20% - Accent1 3 2 2 2 3" xfId="12178" xr:uid="{5F136503-7811-439D-A85B-10EC7CA422C8}"/>
    <cellStyle name="20% - Accent1 3 2 2 3" xfId="4924" xr:uid="{00000000-0005-0000-0000-000057000000}"/>
    <cellStyle name="20% - Accent1 3 2 2 3 2" xfId="14250" xr:uid="{E897402F-1FEF-4DC3-9EF2-8CDEB6670228}"/>
    <cellStyle name="20% - Accent1 3 2 2 4" xfId="9493" xr:uid="{FCEFE71D-2A04-4899-B62A-B225DBF7F0BF}"/>
    <cellStyle name="20% - Accent1 3 2 2 5" xfId="10033" xr:uid="{E00DC1CC-E50A-4E50-BAA9-B78D522A21F4}"/>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2AEE4A51-C8A8-4A52-B567-3D46D2646878}"/>
    <cellStyle name="20% - Accent1 3 2 3 2 3" xfId="12591" xr:uid="{51498DAB-929A-448D-B053-5DDBBC115D61}"/>
    <cellStyle name="20% - Accent1 3 2 3 3" xfId="5337" xr:uid="{00000000-0005-0000-0000-00005B000000}"/>
    <cellStyle name="20% - Accent1 3 2 3 3 2" xfId="14663" xr:uid="{AF274270-F856-4604-98EA-BC1274DC0098}"/>
    <cellStyle name="20% - Accent1 3 2 3 4" xfId="10446" xr:uid="{84578314-AD59-4FFB-928F-8CA3EE15ED60}"/>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C5338CA6-5926-48DD-8C52-FFCC0A5A8D5B}"/>
    <cellStyle name="20% - Accent1 3 2 4 2 3" xfId="13004" xr:uid="{A127F382-8ABE-4217-BA83-D10C785B3DE1}"/>
    <cellStyle name="20% - Accent1 3 2 4 3" xfId="5750" xr:uid="{00000000-0005-0000-0000-00005F000000}"/>
    <cellStyle name="20% - Accent1 3 2 4 3 2" xfId="15076" xr:uid="{1C9318A3-8488-414D-AEDB-455EC8EEB9AA}"/>
    <cellStyle name="20% - Accent1 3 2 4 4" xfId="10859" xr:uid="{B42E158F-B4ED-453E-A020-4412EAA6BC6C}"/>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EBB6B400-DCDD-4631-84D2-A14335DA32A6}"/>
    <cellStyle name="20% - Accent1 3 2 5 2 3" xfId="13417" xr:uid="{0F8E3076-5F1E-4DF1-9A1F-0B493161B3CE}"/>
    <cellStyle name="20% - Accent1 3 2 5 3" xfId="6163" xr:uid="{00000000-0005-0000-0000-000063000000}"/>
    <cellStyle name="20% - Accent1 3 2 5 3 2" xfId="15489" xr:uid="{0650EF1B-E876-4C05-843E-51F02384B9D9}"/>
    <cellStyle name="20% - Accent1 3 2 5 4" xfId="11272" xr:uid="{F029343F-C2DB-4EAA-88C6-818E22C8E3C5}"/>
    <cellStyle name="20% - Accent1 3 2 6" xfId="2270" xr:uid="{00000000-0005-0000-0000-000064000000}"/>
    <cellStyle name="20% - Accent1 3 2 6 2" xfId="6576" xr:uid="{00000000-0005-0000-0000-000065000000}"/>
    <cellStyle name="20% - Accent1 3 2 6 2 2" xfId="15902" xr:uid="{C956F450-F57B-4606-9794-CA47C602954B}"/>
    <cellStyle name="20% - Accent1 3 2 6 3" xfId="11685" xr:uid="{E31B8E84-1FD1-4A43-ACE9-F7A9F12A2F57}"/>
    <cellStyle name="20% - Accent1 3 2 7" xfId="4510" xr:uid="{00000000-0005-0000-0000-000066000000}"/>
    <cellStyle name="20% - Accent1 3 2 7 2" xfId="13836" xr:uid="{2741F6A7-D7AA-4E0D-944F-8872B1DBFD6C}"/>
    <cellStyle name="20% - Accent1 3 2 8" xfId="9068" xr:uid="{354460C9-AD38-4FCD-882B-4DFB81DE5890}"/>
    <cellStyle name="20% - Accent1 3 2 9" xfId="9619" xr:uid="{7800C3C0-BE55-402E-839A-4EC03C943830}"/>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86E1F0CC-B9C3-4AA2-902C-AE59C3F4003F}"/>
    <cellStyle name="20% - Accent1 3 3 2 3" xfId="12177" xr:uid="{EA47B84A-567C-41B0-B10C-BDCF54AF34D9}"/>
    <cellStyle name="20% - Accent1 3 3 3" xfId="4923" xr:uid="{00000000-0005-0000-0000-00006A000000}"/>
    <cellStyle name="20% - Accent1 3 3 3 2" xfId="14249" xr:uid="{53A0775C-44EF-4800-AAE2-218CEA1A2759}"/>
    <cellStyle name="20% - Accent1 3 3 4" xfId="9286" xr:uid="{B5220C4B-EBE7-4AD0-9A24-7F16FA378184}"/>
    <cellStyle name="20% - Accent1 3 3 5" xfId="10032" xr:uid="{5710E480-FB08-4DDC-9C9F-CB54BF48854D}"/>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0B285A24-8459-4BCA-9C2B-8D44E9E4539F}"/>
    <cellStyle name="20% - Accent1 3 4 2 3" xfId="12590" xr:uid="{ABD2E214-74D7-4A07-8D1C-08B06DA371C9}"/>
    <cellStyle name="20% - Accent1 3 4 3" xfId="5336" xr:uid="{00000000-0005-0000-0000-00006E000000}"/>
    <cellStyle name="20% - Accent1 3 4 3 2" xfId="14662" xr:uid="{D24C0C05-C007-4EB3-B90D-01DF603F3724}"/>
    <cellStyle name="20% - Accent1 3 4 4" xfId="10445" xr:uid="{25DAEFFE-30D6-4562-8A37-0CBD08401ABB}"/>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AF1A4480-0DB8-4270-B99A-9715C120FFCD}"/>
    <cellStyle name="20% - Accent1 3 5 2 3" xfId="13003" xr:uid="{6DAD7C57-8F02-4D6D-83EF-6BCEAA0ED787}"/>
    <cellStyle name="20% - Accent1 3 5 3" xfId="5749" xr:uid="{00000000-0005-0000-0000-000072000000}"/>
    <cellStyle name="20% - Accent1 3 5 3 2" xfId="15075" xr:uid="{A21A8FDC-3CCF-4493-AAAB-04DAC72D4A39}"/>
    <cellStyle name="20% - Accent1 3 5 4" xfId="10858" xr:uid="{3CD0E0F4-83C7-479A-8158-2F43635FF9E1}"/>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ABAF3969-2F9E-436F-8B78-B5F7AD374D60}"/>
    <cellStyle name="20% - Accent1 3 6 2 3" xfId="13416" xr:uid="{C93CEC9F-6BA7-4FE6-BF41-F6B432800536}"/>
    <cellStyle name="20% - Accent1 3 6 3" xfId="6162" xr:uid="{00000000-0005-0000-0000-000076000000}"/>
    <cellStyle name="20% - Accent1 3 6 3 2" xfId="15488" xr:uid="{E93985BE-6E61-429E-A5E2-C14F8562DD09}"/>
    <cellStyle name="20% - Accent1 3 6 4" xfId="11271" xr:uid="{6580BD21-240E-4770-B2B5-3193539C396B}"/>
    <cellStyle name="20% - Accent1 3 7" xfId="2269" xr:uid="{00000000-0005-0000-0000-000077000000}"/>
    <cellStyle name="20% - Accent1 3 7 2" xfId="6575" xr:uid="{00000000-0005-0000-0000-000078000000}"/>
    <cellStyle name="20% - Accent1 3 7 2 2" xfId="15901" xr:uid="{CDD6A0F6-DAB6-41C9-B9BD-B0BCAB274B73}"/>
    <cellStyle name="20% - Accent1 3 7 3" xfId="11684" xr:uid="{95DFBF5F-4E55-4781-A620-CFC5FF2B2265}"/>
    <cellStyle name="20% - Accent1 3 8" xfId="4509" xr:uid="{00000000-0005-0000-0000-000079000000}"/>
    <cellStyle name="20% - Accent1 3 8 2" xfId="13835" xr:uid="{5F84CAC8-01A6-4350-B57C-C368579FB724}"/>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9457D920-1FF6-499A-A3D2-CEDA6F6E3B42}"/>
    <cellStyle name="20% - Accent1 4 2 2 3" xfId="12179" xr:uid="{D0E623C5-1667-4EE9-A75C-17C2A5C6C82C}"/>
    <cellStyle name="20% - Accent1 4 2 3" xfId="4925" xr:uid="{00000000-0005-0000-0000-00007E000000}"/>
    <cellStyle name="20% - Accent1 4 2 3 2" xfId="14251" xr:uid="{86FC1BDA-0C25-42B3-A407-DFDD718A5B2B}"/>
    <cellStyle name="20% - Accent1 4 2 4" xfId="9372" xr:uid="{E6B08341-6F7D-4580-9BCF-4BFC252FAE31}"/>
    <cellStyle name="20% - Accent1 4 2 5" xfId="10034" xr:uid="{FC71C34A-EC60-4A58-9579-409FC7885BA0}"/>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872CA150-5DEC-428F-A01C-C15F8DE9CEAC}"/>
    <cellStyle name="20% - Accent1 4 3 2 3" xfId="12592" xr:uid="{B6C58AF6-5BF7-448E-8F6C-7990258C5CC9}"/>
    <cellStyle name="20% - Accent1 4 3 3" xfId="5338" xr:uid="{00000000-0005-0000-0000-000082000000}"/>
    <cellStyle name="20% - Accent1 4 3 3 2" xfId="14664" xr:uid="{76271E8C-54D8-4672-BDA5-D34130D2C84A}"/>
    <cellStyle name="20% - Accent1 4 3 4" xfId="10447" xr:uid="{4566B01F-9858-447B-B29D-84638DB5FFC6}"/>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AB167EB1-6EE0-4532-A2FF-62420504D1B3}"/>
    <cellStyle name="20% - Accent1 4 4 2 3" xfId="13005" xr:uid="{583749D9-636A-46B2-ADD5-244E2599EA20}"/>
    <cellStyle name="20% - Accent1 4 4 3" xfId="5751" xr:uid="{00000000-0005-0000-0000-000086000000}"/>
    <cellStyle name="20% - Accent1 4 4 3 2" xfId="15077" xr:uid="{3A56BABD-D2F4-4493-BA77-C5F4697854FD}"/>
    <cellStyle name="20% - Accent1 4 4 4" xfId="10860" xr:uid="{CFB642F2-A2FB-472C-9A6A-78C12188C938}"/>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829E95F8-5CC4-475E-B23C-E78B9DA77CDE}"/>
    <cellStyle name="20% - Accent1 4 5 2 3" xfId="13418" xr:uid="{7D4A8E3E-C023-4524-8347-D91B11AC9004}"/>
    <cellStyle name="20% - Accent1 4 5 3" xfId="6164" xr:uid="{00000000-0005-0000-0000-00008A000000}"/>
    <cellStyle name="20% - Accent1 4 5 3 2" xfId="15490" xr:uid="{52738910-B220-4049-BDDE-C50DC58226F0}"/>
    <cellStyle name="20% - Accent1 4 5 4" xfId="11273" xr:uid="{CACD8B4D-11A1-45DF-9855-AFE6488C3DFB}"/>
    <cellStyle name="20% - Accent1 4 6" xfId="2271" xr:uid="{00000000-0005-0000-0000-00008B000000}"/>
    <cellStyle name="20% - Accent1 4 6 2" xfId="6577" xr:uid="{00000000-0005-0000-0000-00008C000000}"/>
    <cellStyle name="20% - Accent1 4 6 2 2" xfId="15903" xr:uid="{2F41459F-8F8C-4BCF-957C-B24E9AFBFE43}"/>
    <cellStyle name="20% - Accent1 4 6 3" xfId="11686" xr:uid="{B7708D0B-8BEE-4FFD-9502-155ABF161697}"/>
    <cellStyle name="20% - Accent1 4 7" xfId="4511" xr:uid="{00000000-0005-0000-0000-00008D000000}"/>
    <cellStyle name="20% - Accent1 4 7 2" xfId="13837" xr:uid="{B5089DB1-69A1-486E-8475-9FB2E23E835B}"/>
    <cellStyle name="20% - Accent1 4 8" xfId="8947" xr:uid="{1FCDBFE2-CC86-42DD-AD9B-D3EAF476002E}"/>
    <cellStyle name="20% - Accent1 4 9" xfId="9620" xr:uid="{B3E02C58-9BC4-489E-9B77-592956DF2D00}"/>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DB0041C9-25C0-44DB-BCD9-A07D99604BAF}"/>
    <cellStyle name="20% - Accent1 5 2 3" xfId="12172" xr:uid="{D5D93E66-135E-47BB-ABEB-AFE89DBF6074}"/>
    <cellStyle name="20% - Accent1 5 3" xfId="4918" xr:uid="{00000000-0005-0000-0000-000091000000}"/>
    <cellStyle name="20% - Accent1 5 3 2" xfId="14244" xr:uid="{B38588CD-10AA-4988-922A-0BAB3537ED50}"/>
    <cellStyle name="20% - Accent1 5 4" xfId="9180" xr:uid="{D0AEF57E-25E3-47C5-B910-DC1A0019F498}"/>
    <cellStyle name="20% - Accent1 5 5" xfId="10027" xr:uid="{36C294B1-4007-43E3-904E-BC336877D726}"/>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98900D9F-6240-46F7-A738-FEE5B00B2F46}"/>
    <cellStyle name="20% - Accent1 6 2 3" xfId="12585" xr:uid="{454C0EE2-57E6-4B9E-9D01-B5D687852832}"/>
    <cellStyle name="20% - Accent1 6 3" xfId="5331" xr:uid="{00000000-0005-0000-0000-000095000000}"/>
    <cellStyle name="20% - Accent1 6 3 2" xfId="14657" xr:uid="{44AD4BAC-8BBB-4F2B-9D07-6DD602B9721C}"/>
    <cellStyle name="20% - Accent1 6 4" xfId="10440" xr:uid="{BC3AFF99-D173-4D84-8850-438B37FCEFA8}"/>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E1884232-3B8A-41F6-B2F4-42F89CE9E955}"/>
    <cellStyle name="20% - Accent1 7 2 3" xfId="12998" xr:uid="{28F49E4E-9B5C-4685-BC78-7E53E68194A9}"/>
    <cellStyle name="20% - Accent1 7 3" xfId="5744" xr:uid="{00000000-0005-0000-0000-000099000000}"/>
    <cellStyle name="20% - Accent1 7 3 2" xfId="15070" xr:uid="{AE25EA0E-3EA8-404F-8F8F-751AA1698F22}"/>
    <cellStyle name="20% - Accent1 7 4" xfId="10853" xr:uid="{0B409E8D-3BB2-44F2-A170-1A8FF9C59F9E}"/>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EB6497E0-C1A4-46BE-ACB4-C1E722493D41}"/>
    <cellStyle name="20% - Accent1 8 2 3" xfId="13411" xr:uid="{86C728D6-C86B-435D-9AC9-1DC6AB80DC99}"/>
    <cellStyle name="20% - Accent1 8 3" xfId="6157" xr:uid="{00000000-0005-0000-0000-00009D000000}"/>
    <cellStyle name="20% - Accent1 8 3 2" xfId="15483" xr:uid="{4C11EA02-C94F-4205-9F1A-EE6D70A32D23}"/>
    <cellStyle name="20% - Accent1 8 4" xfId="11266" xr:uid="{7BED3055-5A02-4E46-8682-C715C237DA6D}"/>
    <cellStyle name="20% - Accent1 9" xfId="2264" xr:uid="{00000000-0005-0000-0000-00009E000000}"/>
    <cellStyle name="20% - Accent1 9 2" xfId="6570" xr:uid="{00000000-0005-0000-0000-00009F000000}"/>
    <cellStyle name="20% - Accent1 9 2 2" xfId="15896" xr:uid="{E1186AE8-73FC-4018-AB81-BB068D2DD4C4}"/>
    <cellStyle name="20% - Accent1 9 3" xfId="11679" xr:uid="{3113F412-B7A1-40A1-ACB2-BA1D0DA4760A}"/>
    <cellStyle name="20% - Accent2" xfId="9" builtinId="34" customBuiltin="1"/>
    <cellStyle name="20% - Accent2 10" xfId="4512" xr:uid="{00000000-0005-0000-0000-0000A1000000}"/>
    <cellStyle name="20% - Accent2 10 2" xfId="13838" xr:uid="{A042C490-441C-4181-9BCC-292B993F455A}"/>
    <cellStyle name="20% - Accent2 11" xfId="8760" xr:uid="{2F9D8AF1-C115-467C-ADFB-3BF13039D076}"/>
    <cellStyle name="20% - Accent2 12" xfId="9621" xr:uid="{EBF55D2C-4A29-40D3-B515-76EBDF27AD1C}"/>
    <cellStyle name="20% - Accent2 2" xfId="10" xr:uid="{00000000-0005-0000-0000-0000A2000000}"/>
    <cellStyle name="20% - Accent2 2 10" xfId="8793" xr:uid="{AA7C3473-3A75-4F75-9E25-D7658C57F3A0}"/>
    <cellStyle name="20% - Accent2 2 11" xfId="9622" xr:uid="{ECA31400-4DA2-4ED2-A403-0095C95483CF}"/>
    <cellStyle name="20% - Accent2 2 2" xfId="11" xr:uid="{00000000-0005-0000-0000-0000A3000000}"/>
    <cellStyle name="20% - Accent2 2 2 10" xfId="9623" xr:uid="{2130D014-4C70-4FCB-8166-3CD8A5FD3857}"/>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0C030FE9-93B8-49C6-94B2-43F297C86A5E}"/>
    <cellStyle name="20% - Accent2 2 2 2 2 2 3" xfId="12183" xr:uid="{84054DC7-BD5D-4525-AAF5-D8C3DBB0C692}"/>
    <cellStyle name="20% - Accent2 2 2 2 2 3" xfId="4929" xr:uid="{00000000-0005-0000-0000-0000A8000000}"/>
    <cellStyle name="20% - Accent2 2 2 2 2 3 2" xfId="14255" xr:uid="{18F14B3D-A80F-41DC-B9D4-817B906E87DF}"/>
    <cellStyle name="20% - Accent2 2 2 2 2 4" xfId="9528" xr:uid="{C8BEA541-FD8B-4449-95AA-43E1904F35BB}"/>
    <cellStyle name="20% - Accent2 2 2 2 2 5" xfId="10038" xr:uid="{93D842F9-8FDF-4596-8A7B-14A8B578C32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CC0795D8-B817-43F2-AF10-C1D6735F5C2C}"/>
    <cellStyle name="20% - Accent2 2 2 2 3 2 3" xfId="12596" xr:uid="{31C98B9A-9579-4B61-A9D3-E83F63710B87}"/>
    <cellStyle name="20% - Accent2 2 2 2 3 3" xfId="5342" xr:uid="{00000000-0005-0000-0000-0000AC000000}"/>
    <cellStyle name="20% - Accent2 2 2 2 3 3 2" xfId="14668" xr:uid="{85E4E555-B9B7-475D-A2CB-4CD177DD8D50}"/>
    <cellStyle name="20% - Accent2 2 2 2 3 4" xfId="10451" xr:uid="{6C5FBD27-E8F2-4CB4-B259-B8FA906A601A}"/>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847BB824-DF41-492A-B5D6-2C16B8BF254F}"/>
    <cellStyle name="20% - Accent2 2 2 2 4 2 3" xfId="13009" xr:uid="{BDE7DEC0-A720-4FDB-B7C2-3E7CBC296CB7}"/>
    <cellStyle name="20% - Accent2 2 2 2 4 3" xfId="5755" xr:uid="{00000000-0005-0000-0000-0000B0000000}"/>
    <cellStyle name="20% - Accent2 2 2 2 4 3 2" xfId="15081" xr:uid="{6F352DEB-70E3-4BC1-BA1B-0C242CBEA551}"/>
    <cellStyle name="20% - Accent2 2 2 2 4 4" xfId="10864" xr:uid="{0163E574-7B82-4AA6-A42A-4AE1027DDE2F}"/>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F71AF776-884A-4D20-AF8E-6B6BE2AA0CAF}"/>
    <cellStyle name="20% - Accent2 2 2 2 5 2 3" xfId="13422" xr:uid="{500BF4C4-BEA7-4595-BD20-3E2FAF7C7E7B}"/>
    <cellStyle name="20% - Accent2 2 2 2 5 3" xfId="6168" xr:uid="{00000000-0005-0000-0000-0000B4000000}"/>
    <cellStyle name="20% - Accent2 2 2 2 5 3 2" xfId="15494" xr:uid="{BA9BA603-6EC0-4782-B6C9-DF3B3200C22A}"/>
    <cellStyle name="20% - Accent2 2 2 2 5 4" xfId="11277" xr:uid="{A072968D-0D9D-4CAC-A051-7FC4A38F8241}"/>
    <cellStyle name="20% - Accent2 2 2 2 6" xfId="2275" xr:uid="{00000000-0005-0000-0000-0000B5000000}"/>
    <cellStyle name="20% - Accent2 2 2 2 6 2" xfId="6581" xr:uid="{00000000-0005-0000-0000-0000B6000000}"/>
    <cellStyle name="20% - Accent2 2 2 2 6 2 2" xfId="15907" xr:uid="{5171E813-E396-4C5C-AA4C-E11FDDD75321}"/>
    <cellStyle name="20% - Accent2 2 2 2 6 3" xfId="11690" xr:uid="{F95B73E3-FDEF-4ECD-BA88-8E2F04D68B8B}"/>
    <cellStyle name="20% - Accent2 2 2 2 7" xfId="4515" xr:uid="{00000000-0005-0000-0000-0000B7000000}"/>
    <cellStyle name="20% - Accent2 2 2 2 7 2" xfId="13841" xr:uid="{FE4CF4FB-2A1C-4AE8-BA46-AE22115E063A}"/>
    <cellStyle name="20% - Accent2 2 2 2 8" xfId="9103" xr:uid="{91DB80A1-3464-4086-B948-71B6A26537C4}"/>
    <cellStyle name="20% - Accent2 2 2 2 9" xfId="9624" xr:uid="{748672DC-B157-43B2-A677-E7631FE82471}"/>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EBCB8805-3296-43FF-A0C1-53573B409025}"/>
    <cellStyle name="20% - Accent2 2 2 3 2 3" xfId="12182" xr:uid="{D199A9AB-E557-4AC9-A933-0917975F5BFD}"/>
    <cellStyle name="20% - Accent2 2 2 3 3" xfId="4928" xr:uid="{00000000-0005-0000-0000-0000BB000000}"/>
    <cellStyle name="20% - Accent2 2 2 3 3 2" xfId="14254" xr:uid="{743F6B4F-14F5-4390-A093-ADBA59B3F8C4}"/>
    <cellStyle name="20% - Accent2 2 2 3 4" xfId="9321" xr:uid="{32B21C3A-E360-4F19-B469-1116F045A0F3}"/>
    <cellStyle name="20% - Accent2 2 2 3 5" xfId="10037" xr:uid="{B801D40B-9173-43E0-A44D-0EDA9D91BBB1}"/>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92959D9D-9192-494A-B3E7-7D5E3146350C}"/>
    <cellStyle name="20% - Accent2 2 2 4 2 3" xfId="12595" xr:uid="{4A66D1CB-7828-4E45-B838-A76BFBEF17C9}"/>
    <cellStyle name="20% - Accent2 2 2 4 3" xfId="5341" xr:uid="{00000000-0005-0000-0000-0000BF000000}"/>
    <cellStyle name="20% - Accent2 2 2 4 3 2" xfId="14667" xr:uid="{E34E08DE-6560-47F0-8915-FD8B9F218464}"/>
    <cellStyle name="20% - Accent2 2 2 4 4" xfId="10450" xr:uid="{71EB8220-FA6C-4D6D-8E39-DF17D7468301}"/>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03BA5874-45B7-4BFF-9C6F-6D5DA58A40AE}"/>
    <cellStyle name="20% - Accent2 2 2 5 2 3" xfId="13008" xr:uid="{9DFB967C-4DB5-4E24-B5DB-C87F66160CCD}"/>
    <cellStyle name="20% - Accent2 2 2 5 3" xfId="5754" xr:uid="{00000000-0005-0000-0000-0000C3000000}"/>
    <cellStyle name="20% - Accent2 2 2 5 3 2" xfId="15080" xr:uid="{87A50E55-E51F-4FB2-876E-3AEDD9AF28AC}"/>
    <cellStyle name="20% - Accent2 2 2 5 4" xfId="10863" xr:uid="{4E56CDBE-CC84-4ADA-852C-E58F2A9E8DA2}"/>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EA8FCDA0-8C10-467B-B72F-D80EE1B82F19}"/>
    <cellStyle name="20% - Accent2 2 2 6 2 3" xfId="13421" xr:uid="{1068413F-BA19-4ED5-893E-4FB04824302A}"/>
    <cellStyle name="20% - Accent2 2 2 6 3" xfId="6167" xr:uid="{00000000-0005-0000-0000-0000C7000000}"/>
    <cellStyle name="20% - Accent2 2 2 6 3 2" xfId="15493" xr:uid="{B16793C3-802C-4A3C-8DCE-AE0969D5A823}"/>
    <cellStyle name="20% - Accent2 2 2 6 4" xfId="11276" xr:uid="{F36BAFA6-820B-4DE4-A43F-88AB43715359}"/>
    <cellStyle name="20% - Accent2 2 2 7" xfId="2274" xr:uid="{00000000-0005-0000-0000-0000C8000000}"/>
    <cellStyle name="20% - Accent2 2 2 7 2" xfId="6580" xr:uid="{00000000-0005-0000-0000-0000C9000000}"/>
    <cellStyle name="20% - Accent2 2 2 7 2 2" xfId="15906" xr:uid="{335E5977-BB4B-4C0E-9675-21B513BCED1B}"/>
    <cellStyle name="20% - Accent2 2 2 7 3" xfId="11689" xr:uid="{131D71AA-2451-475A-B43A-360C07053FF7}"/>
    <cellStyle name="20% - Accent2 2 2 8" xfId="4514" xr:uid="{00000000-0005-0000-0000-0000CA000000}"/>
    <cellStyle name="20% - Accent2 2 2 8 2" xfId="13840" xr:uid="{BE09FC8D-1FD2-4B9B-9FD9-013C324A6A45}"/>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DD6BE9F7-6B76-493C-9E17-9A5CD9BAD836}"/>
    <cellStyle name="20% - Accent2 2 3 2 2 3" xfId="12184" xr:uid="{96728038-F2D7-46EC-B488-1EC0CA87DB73}"/>
    <cellStyle name="20% - Accent2 2 3 2 3" xfId="4930" xr:uid="{00000000-0005-0000-0000-0000CF000000}"/>
    <cellStyle name="20% - Accent2 2 3 2 3 2" xfId="14256" xr:uid="{4CCEA65E-8903-4BD3-9DE8-54D5B3E58DA9}"/>
    <cellStyle name="20% - Accent2 2 3 2 4" xfId="9425" xr:uid="{35BECFF4-0F5A-4F6E-AE6E-354891135B4F}"/>
    <cellStyle name="20% - Accent2 2 3 2 5" xfId="10039" xr:uid="{36DAAF52-F94C-4555-8E77-AEF1DCE8EC4A}"/>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45CAB950-9379-40F6-A8A2-EFA49094D149}"/>
    <cellStyle name="20% - Accent2 2 3 3 2 3" xfId="12597" xr:uid="{5423D38C-8A84-473A-86E7-6E7D85CBCA79}"/>
    <cellStyle name="20% - Accent2 2 3 3 3" xfId="5343" xr:uid="{00000000-0005-0000-0000-0000D3000000}"/>
    <cellStyle name="20% - Accent2 2 3 3 3 2" xfId="14669" xr:uid="{CBA8CD44-74DC-494D-AFEC-8437F73FED7F}"/>
    <cellStyle name="20% - Accent2 2 3 3 4" xfId="10452" xr:uid="{59CF76C2-397D-4CCB-BE31-FBF03D3846EC}"/>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6E98C8D3-CC8A-439A-B25D-AE2B6EE141CF}"/>
    <cellStyle name="20% - Accent2 2 3 4 2 3" xfId="13010" xr:uid="{50D0574B-E7B0-4504-B63B-06EE0DED5877}"/>
    <cellStyle name="20% - Accent2 2 3 4 3" xfId="5756" xr:uid="{00000000-0005-0000-0000-0000D7000000}"/>
    <cellStyle name="20% - Accent2 2 3 4 3 2" xfId="15082" xr:uid="{A636E793-26E9-4B06-8039-3D92839DEFED}"/>
    <cellStyle name="20% - Accent2 2 3 4 4" xfId="10865" xr:uid="{AA0C4E6F-E214-47B4-9FC8-C980ED9B7ACB}"/>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C52033D8-175B-40EC-B1EE-1E9C569E6D61}"/>
    <cellStyle name="20% - Accent2 2 3 5 2 3" xfId="13423" xr:uid="{242E90FC-88D4-4A7D-BA24-CDB5BA874118}"/>
    <cellStyle name="20% - Accent2 2 3 5 3" xfId="6169" xr:uid="{00000000-0005-0000-0000-0000DB000000}"/>
    <cellStyle name="20% - Accent2 2 3 5 3 2" xfId="15495" xr:uid="{79C9BA26-16BB-46AF-A99A-61A625D85236}"/>
    <cellStyle name="20% - Accent2 2 3 5 4" xfId="11278" xr:uid="{B1D3AABB-DD90-4DA2-B1D2-69F6BC93E043}"/>
    <cellStyle name="20% - Accent2 2 3 6" xfId="2276" xr:uid="{00000000-0005-0000-0000-0000DC000000}"/>
    <cellStyle name="20% - Accent2 2 3 6 2" xfId="6582" xr:uid="{00000000-0005-0000-0000-0000DD000000}"/>
    <cellStyle name="20% - Accent2 2 3 6 2 2" xfId="15908" xr:uid="{3D47A0FA-3652-4744-90F3-FA6BEE78CDBB}"/>
    <cellStyle name="20% - Accent2 2 3 6 3" xfId="11691" xr:uid="{2C42BC44-2394-434B-BF58-17ACB1D5A9A1}"/>
    <cellStyle name="20% - Accent2 2 3 7" xfId="4516" xr:uid="{00000000-0005-0000-0000-0000DE000000}"/>
    <cellStyle name="20% - Accent2 2 3 7 2" xfId="13842" xr:uid="{5ACE3B02-59C9-41E9-A119-80360294E82D}"/>
    <cellStyle name="20% - Accent2 2 3 8" xfId="9000" xr:uid="{133DFC5C-F2FF-49E9-82EE-ABAA9C815393}"/>
    <cellStyle name="20% - Accent2 2 3 9" xfId="9625" xr:uid="{4DFD7A5C-D206-46DE-86B9-32F24E3D96A4}"/>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A2F40B36-AFB9-41C5-A38A-790DAEB5B195}"/>
    <cellStyle name="20% - Accent2 2 4 2 3" xfId="12181" xr:uid="{F11E8643-E445-4B6B-BF6A-FCB5D59EF80D}"/>
    <cellStyle name="20% - Accent2 2 4 3" xfId="4927" xr:uid="{00000000-0005-0000-0000-0000E2000000}"/>
    <cellStyle name="20% - Accent2 2 4 3 2" xfId="14253" xr:uid="{A6E6E14D-96AE-4710-AA68-A1D9F352F55C}"/>
    <cellStyle name="20% - Accent2 2 4 4" xfId="9217" xr:uid="{28DDC3F5-BA57-40F8-8D06-6CFF141CF9A1}"/>
    <cellStyle name="20% - Accent2 2 4 5" xfId="10036" xr:uid="{7449B1AB-82F4-4E44-956B-24A38E8A8C9F}"/>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149C94EB-215F-4A5F-8A09-8EC4B4F791AC}"/>
    <cellStyle name="20% - Accent2 2 5 2 3" xfId="12594" xr:uid="{C7B667CC-23C0-45FD-8423-D1136AE86A3E}"/>
    <cellStyle name="20% - Accent2 2 5 3" xfId="5340" xr:uid="{00000000-0005-0000-0000-0000E6000000}"/>
    <cellStyle name="20% - Accent2 2 5 3 2" xfId="14666" xr:uid="{CD5C6F0B-41DD-4054-82E0-CB6E29342BA4}"/>
    <cellStyle name="20% - Accent2 2 5 4" xfId="10449" xr:uid="{B5E26747-79AB-407E-8D65-EF7E8BC5859F}"/>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DF4CADB7-36BC-4D18-A953-3D13FDF7124F}"/>
    <cellStyle name="20% - Accent2 2 6 2 3" xfId="13007" xr:uid="{282D3EF7-7FBB-458A-BC66-3148176D1F8B}"/>
    <cellStyle name="20% - Accent2 2 6 3" xfId="5753" xr:uid="{00000000-0005-0000-0000-0000EA000000}"/>
    <cellStyle name="20% - Accent2 2 6 3 2" xfId="15079" xr:uid="{F1728327-3B08-407D-9D83-816C59A70D27}"/>
    <cellStyle name="20% - Accent2 2 6 4" xfId="10862" xr:uid="{E8ECC5EC-ACA6-4C6F-8529-28B6BD4C3F40}"/>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181E85FF-7772-4FEC-A661-FC00EFD200DC}"/>
    <cellStyle name="20% - Accent2 2 7 2 3" xfId="13420" xr:uid="{BD5E6F2A-85CC-4E6E-8937-F1183564F367}"/>
    <cellStyle name="20% - Accent2 2 7 3" xfId="6166" xr:uid="{00000000-0005-0000-0000-0000EE000000}"/>
    <cellStyle name="20% - Accent2 2 7 3 2" xfId="15492" xr:uid="{AA2C7849-6B3A-47CC-8728-F65229DC2C04}"/>
    <cellStyle name="20% - Accent2 2 7 4" xfId="11275" xr:uid="{EA370F4E-54D8-486B-AD17-20FE7B2749AA}"/>
    <cellStyle name="20% - Accent2 2 8" xfId="2273" xr:uid="{00000000-0005-0000-0000-0000EF000000}"/>
    <cellStyle name="20% - Accent2 2 8 2" xfId="6579" xr:uid="{00000000-0005-0000-0000-0000F0000000}"/>
    <cellStyle name="20% - Accent2 2 8 2 2" xfId="15905" xr:uid="{5A559751-EFE4-4552-A9F9-2C2F55CA63C8}"/>
    <cellStyle name="20% - Accent2 2 8 3" xfId="11688" xr:uid="{87EF08F0-6CFA-45B4-9A9B-8BE3EEA153B7}"/>
    <cellStyle name="20% - Accent2 2 9" xfId="4513" xr:uid="{00000000-0005-0000-0000-0000F1000000}"/>
    <cellStyle name="20% - Accent2 2 9 2" xfId="13839" xr:uid="{7A497266-E056-4805-8FAD-FF36BFFA5EAF}"/>
    <cellStyle name="20% - Accent2 3" xfId="14" xr:uid="{00000000-0005-0000-0000-0000F2000000}"/>
    <cellStyle name="20% - Accent2 3 10" xfId="9626" xr:uid="{52D105A0-182F-4033-BB9C-3F2F8EDB420B}"/>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454F708C-189F-4448-A27D-78D6902EACC8}"/>
    <cellStyle name="20% - Accent2 3 2 2 2 3" xfId="12186" xr:uid="{58249A5D-C0A2-49D7-BCD3-71EA9861DE02}"/>
    <cellStyle name="20% - Accent2 3 2 2 3" xfId="4932" xr:uid="{00000000-0005-0000-0000-0000F7000000}"/>
    <cellStyle name="20% - Accent2 3 2 2 3 2" xfId="14258" xr:uid="{D1791CFF-BFF0-48D7-BF2F-2B540ABCD8DF}"/>
    <cellStyle name="20% - Accent2 3 2 2 4" xfId="9495" xr:uid="{9F5A6FE7-BBC9-4787-8EC4-2112F4D5A0EA}"/>
    <cellStyle name="20% - Accent2 3 2 2 5" xfId="10041" xr:uid="{97E48031-0455-4B4F-B60F-8577FD011C65}"/>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BC74A47C-51C3-45C2-87D0-461329868EC9}"/>
    <cellStyle name="20% - Accent2 3 2 3 2 3" xfId="12599" xr:uid="{BE43CC26-E5CA-4DBE-BD18-4F57A6DEF480}"/>
    <cellStyle name="20% - Accent2 3 2 3 3" xfId="5345" xr:uid="{00000000-0005-0000-0000-0000FB000000}"/>
    <cellStyle name="20% - Accent2 3 2 3 3 2" xfId="14671" xr:uid="{B89F43C8-B4DD-4F13-A2A1-CAD402DAB302}"/>
    <cellStyle name="20% - Accent2 3 2 3 4" xfId="10454" xr:uid="{F3B77FC0-55D9-44AA-AEB6-4FB879DBCE6C}"/>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B38DFE35-447C-42BD-8FAD-0716BCF7459E}"/>
    <cellStyle name="20% - Accent2 3 2 4 2 3" xfId="13012" xr:uid="{45B768A7-77B5-4CB4-A82F-5EE305C90CC8}"/>
    <cellStyle name="20% - Accent2 3 2 4 3" xfId="5758" xr:uid="{00000000-0005-0000-0000-0000FF000000}"/>
    <cellStyle name="20% - Accent2 3 2 4 3 2" xfId="15084" xr:uid="{7B7D45A5-EF94-4092-85AD-E607C4B6182B}"/>
    <cellStyle name="20% - Accent2 3 2 4 4" xfId="10867" xr:uid="{03CF0AE6-8F6A-4453-A319-CC3744F82441}"/>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CE483942-2B7C-4F6C-A428-9F74E1B63F02}"/>
    <cellStyle name="20% - Accent2 3 2 5 2 3" xfId="13425" xr:uid="{04D7D3F4-2056-4D64-8351-90202814B8D2}"/>
    <cellStyle name="20% - Accent2 3 2 5 3" xfId="6171" xr:uid="{00000000-0005-0000-0000-000003010000}"/>
    <cellStyle name="20% - Accent2 3 2 5 3 2" xfId="15497" xr:uid="{11676E51-DB9C-4444-B131-4FDC07173F96}"/>
    <cellStyle name="20% - Accent2 3 2 5 4" xfId="11280" xr:uid="{D48D53E3-35C7-4B33-A833-129BA5AFCDE9}"/>
    <cellStyle name="20% - Accent2 3 2 6" xfId="2278" xr:uid="{00000000-0005-0000-0000-000004010000}"/>
    <cellStyle name="20% - Accent2 3 2 6 2" xfId="6584" xr:uid="{00000000-0005-0000-0000-000005010000}"/>
    <cellStyle name="20% - Accent2 3 2 6 2 2" xfId="15910" xr:uid="{6E168D77-6F20-4549-82A7-BE9D0459EC6E}"/>
    <cellStyle name="20% - Accent2 3 2 6 3" xfId="11693" xr:uid="{B0B48BFC-20D1-4E70-848C-902C340043B5}"/>
    <cellStyle name="20% - Accent2 3 2 7" xfId="4518" xr:uid="{00000000-0005-0000-0000-000006010000}"/>
    <cellStyle name="20% - Accent2 3 2 7 2" xfId="13844" xr:uid="{F4C55826-9837-49AA-8E0D-B5E7F571889A}"/>
    <cellStyle name="20% - Accent2 3 2 8" xfId="9070" xr:uid="{8A9168BA-490F-4E57-83EA-22187D24153F}"/>
    <cellStyle name="20% - Accent2 3 2 9" xfId="9627" xr:uid="{B1FAEBFA-78F5-453C-BF8E-B1168D37E45C}"/>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AE5018AA-C4D6-4767-B996-ABB8335965E1}"/>
    <cellStyle name="20% - Accent2 3 3 2 3" xfId="12185" xr:uid="{1A4BB646-5D7B-4052-8C64-304F3D48151B}"/>
    <cellStyle name="20% - Accent2 3 3 3" xfId="4931" xr:uid="{00000000-0005-0000-0000-00000A010000}"/>
    <cellStyle name="20% - Accent2 3 3 3 2" xfId="14257" xr:uid="{25FBCB1C-0624-4FC2-B065-78C2DAD8B886}"/>
    <cellStyle name="20% - Accent2 3 3 4" xfId="9288" xr:uid="{FCD70616-ECAD-4A0B-889F-4698E1AD889E}"/>
    <cellStyle name="20% - Accent2 3 3 5" xfId="10040" xr:uid="{63984D49-3A28-4192-B88E-AB258DDCDCC1}"/>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254BC2DE-F29B-412F-8237-92BFA5A98639}"/>
    <cellStyle name="20% - Accent2 3 4 2 3" xfId="12598" xr:uid="{20F04A91-3DF6-4F3B-9046-F6FB7EE4D4D5}"/>
    <cellStyle name="20% - Accent2 3 4 3" xfId="5344" xr:uid="{00000000-0005-0000-0000-00000E010000}"/>
    <cellStyle name="20% - Accent2 3 4 3 2" xfId="14670" xr:uid="{C8DAFA64-ED74-435B-A92D-54F6D45327CA}"/>
    <cellStyle name="20% - Accent2 3 4 4" xfId="10453" xr:uid="{1367AEF2-D60F-4ACD-B230-0AABAF8A8DC8}"/>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8581CC76-8B0D-4A3A-8822-98E7ACB7B5F0}"/>
    <cellStyle name="20% - Accent2 3 5 2 3" xfId="13011" xr:uid="{EDD80192-70F6-42F6-8133-B18925E93AAD}"/>
    <cellStyle name="20% - Accent2 3 5 3" xfId="5757" xr:uid="{00000000-0005-0000-0000-000012010000}"/>
    <cellStyle name="20% - Accent2 3 5 3 2" xfId="15083" xr:uid="{CDC76134-B63A-494B-AEC9-03BF8D0C8BA9}"/>
    <cellStyle name="20% - Accent2 3 5 4" xfId="10866" xr:uid="{0CF3DC36-FC6B-41F5-A24C-3BA239AEB043}"/>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C3AB05B8-B50F-4AEC-B3A8-FA71A26ADEBC}"/>
    <cellStyle name="20% - Accent2 3 6 2 3" xfId="13424" xr:uid="{F07BB8C3-C852-49A3-ADC8-481AD248C097}"/>
    <cellStyle name="20% - Accent2 3 6 3" xfId="6170" xr:uid="{00000000-0005-0000-0000-000016010000}"/>
    <cellStyle name="20% - Accent2 3 6 3 2" xfId="15496" xr:uid="{B2879246-4E9D-4DA5-806A-4E5B6A378BAC}"/>
    <cellStyle name="20% - Accent2 3 6 4" xfId="11279" xr:uid="{54001A92-D7AD-46D6-B472-D9BC08DF86A8}"/>
    <cellStyle name="20% - Accent2 3 7" xfId="2277" xr:uid="{00000000-0005-0000-0000-000017010000}"/>
    <cellStyle name="20% - Accent2 3 7 2" xfId="6583" xr:uid="{00000000-0005-0000-0000-000018010000}"/>
    <cellStyle name="20% - Accent2 3 7 2 2" xfId="15909" xr:uid="{DDD80912-C786-4444-99FE-1DAD73042CAC}"/>
    <cellStyle name="20% - Accent2 3 7 3" xfId="11692" xr:uid="{BF3DE735-5EC9-46F7-9F0C-E17F1F34B6B7}"/>
    <cellStyle name="20% - Accent2 3 8" xfId="4517" xr:uid="{00000000-0005-0000-0000-000019010000}"/>
    <cellStyle name="20% - Accent2 3 8 2" xfId="13843" xr:uid="{F57329FB-2DDA-4A9C-A196-CD657336E3F3}"/>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B137BD05-0293-403D-9F8D-186D25955BEB}"/>
    <cellStyle name="20% - Accent2 4 2 2 3" xfId="12187" xr:uid="{B3983C1A-0FE9-4A34-9149-0A5B6E9DB8E7}"/>
    <cellStyle name="20% - Accent2 4 2 3" xfId="4933" xr:uid="{00000000-0005-0000-0000-00001E010000}"/>
    <cellStyle name="20% - Accent2 4 2 3 2" xfId="14259" xr:uid="{4BD55A75-427A-4497-A8CF-8F734B95AC27}"/>
    <cellStyle name="20% - Accent2 4 2 4" xfId="9374" xr:uid="{26FD7A0E-8D04-4AF7-B092-2B22A78F0A97}"/>
    <cellStyle name="20% - Accent2 4 2 5" xfId="10042" xr:uid="{713F6C1A-9CF5-4FED-BEE8-77B58A61B086}"/>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E3DD989E-12F9-4AD7-A79E-5089B7448278}"/>
    <cellStyle name="20% - Accent2 4 3 2 3" xfId="12600" xr:uid="{3AD897BD-C1A6-4A45-BE13-534E26A8CDE3}"/>
    <cellStyle name="20% - Accent2 4 3 3" xfId="5346" xr:uid="{00000000-0005-0000-0000-000022010000}"/>
    <cellStyle name="20% - Accent2 4 3 3 2" xfId="14672" xr:uid="{4D04A39E-6461-423D-B4BD-65E698285417}"/>
    <cellStyle name="20% - Accent2 4 3 4" xfId="10455" xr:uid="{33B4D3BF-B4A6-4322-B30F-3C40C33E3262}"/>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7FCE5B15-CAA0-434A-BB08-A6C7907BD322}"/>
    <cellStyle name="20% - Accent2 4 4 2 3" xfId="13013" xr:uid="{4BFDBF6C-9CE1-4F2B-A286-D259830BD9DA}"/>
    <cellStyle name="20% - Accent2 4 4 3" xfId="5759" xr:uid="{00000000-0005-0000-0000-000026010000}"/>
    <cellStyle name="20% - Accent2 4 4 3 2" xfId="15085" xr:uid="{19CF713A-4FFF-4350-8319-3B0D5ACAD4A9}"/>
    <cellStyle name="20% - Accent2 4 4 4" xfId="10868" xr:uid="{5E66E4DA-7869-41D0-81E6-FC8B4D47746E}"/>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1D7E93CB-E023-4F81-97F0-8535D49923AD}"/>
    <cellStyle name="20% - Accent2 4 5 2 3" xfId="13426" xr:uid="{4F287E30-249B-4D4B-8355-A71849AEA760}"/>
    <cellStyle name="20% - Accent2 4 5 3" xfId="6172" xr:uid="{00000000-0005-0000-0000-00002A010000}"/>
    <cellStyle name="20% - Accent2 4 5 3 2" xfId="15498" xr:uid="{7FFF5236-EE91-4EBF-AA0A-252622477E41}"/>
    <cellStyle name="20% - Accent2 4 5 4" xfId="11281" xr:uid="{647EDD6D-2D8C-454E-AA72-D04E0FF21E64}"/>
    <cellStyle name="20% - Accent2 4 6" xfId="2279" xr:uid="{00000000-0005-0000-0000-00002B010000}"/>
    <cellStyle name="20% - Accent2 4 6 2" xfId="6585" xr:uid="{00000000-0005-0000-0000-00002C010000}"/>
    <cellStyle name="20% - Accent2 4 6 2 2" xfId="15911" xr:uid="{9ED3E938-A12B-4CE2-8226-766681F3172B}"/>
    <cellStyle name="20% - Accent2 4 6 3" xfId="11694" xr:uid="{75134A19-69F1-46E4-8F28-A31A88BD9498}"/>
    <cellStyle name="20% - Accent2 4 7" xfId="4519" xr:uid="{00000000-0005-0000-0000-00002D010000}"/>
    <cellStyle name="20% - Accent2 4 7 2" xfId="13845" xr:uid="{4F304246-3910-4746-BDBF-BC4A483CA5E2}"/>
    <cellStyle name="20% - Accent2 4 8" xfId="8949" xr:uid="{084C22A9-B904-4AFE-A752-AC1DC2CA76B8}"/>
    <cellStyle name="20% - Accent2 4 9" xfId="9628" xr:uid="{4D5AEBDE-BB88-4890-ACA3-8BAC5B34F4F8}"/>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E611683C-D112-495D-BBF1-6FC5C6232C34}"/>
    <cellStyle name="20% - Accent2 5 2 3" xfId="12180" xr:uid="{7D053952-C135-4F9C-8515-BA57BE39F871}"/>
    <cellStyle name="20% - Accent2 5 3" xfId="4926" xr:uid="{00000000-0005-0000-0000-000031010000}"/>
    <cellStyle name="20% - Accent2 5 3 2" xfId="14252" xr:uid="{A752DF7D-26F5-4266-B38D-7F22DE728194}"/>
    <cellStyle name="20% - Accent2 5 4" xfId="9182" xr:uid="{F822E263-B2A4-41B5-BBF9-FCE1A7A30601}"/>
    <cellStyle name="20% - Accent2 5 5" xfId="10035" xr:uid="{ED39E5D1-D6D7-479B-8ECB-7EEF4C54F8C8}"/>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04D1100F-3174-4F47-9D47-A97B7AA71079}"/>
    <cellStyle name="20% - Accent2 6 2 3" xfId="12593" xr:uid="{32A05014-919A-4EC7-A169-4B0BD802A21F}"/>
    <cellStyle name="20% - Accent2 6 3" xfId="5339" xr:uid="{00000000-0005-0000-0000-000035010000}"/>
    <cellStyle name="20% - Accent2 6 3 2" xfId="14665" xr:uid="{F55C73B6-9685-49DA-9019-0C93CB2267FD}"/>
    <cellStyle name="20% - Accent2 6 4" xfId="10448" xr:uid="{5D368914-020F-4232-96B6-C7624100F14D}"/>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ABA2FF27-AA26-4E4E-90FF-434C17F81B7B}"/>
    <cellStyle name="20% - Accent2 7 2 3" xfId="13006" xr:uid="{47A9DE34-1ACE-4784-B296-D57F83D6BD12}"/>
    <cellStyle name="20% - Accent2 7 3" xfId="5752" xr:uid="{00000000-0005-0000-0000-000039010000}"/>
    <cellStyle name="20% - Accent2 7 3 2" xfId="15078" xr:uid="{84260E0B-64D0-4ABF-9ACF-15EF1F6C8D90}"/>
    <cellStyle name="20% - Accent2 7 4" xfId="10861" xr:uid="{BB261207-5832-4BCB-934B-0DEED0C2ADB4}"/>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F49C3898-1B99-4637-B253-F21CF9B2B8A9}"/>
    <cellStyle name="20% - Accent2 8 2 3" xfId="13419" xr:uid="{F29401FE-F1E8-4FC0-A703-43FC2528ADAC}"/>
    <cellStyle name="20% - Accent2 8 3" xfId="6165" xr:uid="{00000000-0005-0000-0000-00003D010000}"/>
    <cellStyle name="20% - Accent2 8 3 2" xfId="15491" xr:uid="{B316FE1D-F6C0-4021-99E7-6139DD632D28}"/>
    <cellStyle name="20% - Accent2 8 4" xfId="11274" xr:uid="{D94781D7-B724-4922-BC46-1033D19BD4DD}"/>
    <cellStyle name="20% - Accent2 9" xfId="2272" xr:uid="{00000000-0005-0000-0000-00003E010000}"/>
    <cellStyle name="20% - Accent2 9 2" xfId="6578" xr:uid="{00000000-0005-0000-0000-00003F010000}"/>
    <cellStyle name="20% - Accent2 9 2 2" xfId="15904" xr:uid="{0689CF2F-EFFB-4A8A-842E-A9388D0C3C08}"/>
    <cellStyle name="20% - Accent2 9 3" xfId="11687" xr:uid="{FC211926-F5AD-4178-887F-AB7399734383}"/>
    <cellStyle name="20% - Accent3" xfId="17" builtinId="38" customBuiltin="1"/>
    <cellStyle name="20% - Accent3 10" xfId="4520" xr:uid="{00000000-0005-0000-0000-000041010000}"/>
    <cellStyle name="20% - Accent3 10 2" xfId="13846" xr:uid="{A69B656B-1658-461C-887B-8C166758BA95}"/>
    <cellStyle name="20% - Accent3 11" xfId="8762" xr:uid="{49ACF776-43E7-4BB5-82F5-A8A4FEBC45F8}"/>
    <cellStyle name="20% - Accent3 12" xfId="9629" xr:uid="{994B5BD5-9846-46B9-BDD5-67199EFF2E86}"/>
    <cellStyle name="20% - Accent3 2" xfId="18" xr:uid="{00000000-0005-0000-0000-000042010000}"/>
    <cellStyle name="20% - Accent3 2 10" xfId="8792" xr:uid="{65E5762F-047C-4860-B47E-71363924E2A5}"/>
    <cellStyle name="20% - Accent3 2 11" xfId="9630" xr:uid="{8B73017A-8609-48BD-B846-A2E1FCFBDE27}"/>
    <cellStyle name="20% - Accent3 2 2" xfId="19" xr:uid="{00000000-0005-0000-0000-000043010000}"/>
    <cellStyle name="20% - Accent3 2 2 10" xfId="9631" xr:uid="{33649D0B-523C-4998-9ADF-79FE70EA353D}"/>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0B68483D-6285-471D-8B84-6F545705E1DA}"/>
    <cellStyle name="20% - Accent3 2 2 2 2 2 3" xfId="12191" xr:uid="{15895C7C-E3CE-40E0-9EC1-F46A5AE429D9}"/>
    <cellStyle name="20% - Accent3 2 2 2 2 3" xfId="4937" xr:uid="{00000000-0005-0000-0000-000048010000}"/>
    <cellStyle name="20% - Accent3 2 2 2 2 3 2" xfId="14263" xr:uid="{2B2EB8E4-FD89-41FB-AB1C-A686F3FDA655}"/>
    <cellStyle name="20% - Accent3 2 2 2 2 4" xfId="9527" xr:uid="{B82F9F3C-4714-4F10-BEB2-F90FC0563F53}"/>
    <cellStyle name="20% - Accent3 2 2 2 2 5" xfId="10046" xr:uid="{A29CF128-0282-41CB-84FF-FFBE97F92E38}"/>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B3152E59-DA89-4518-B51A-7BE0BC7EEC13}"/>
    <cellStyle name="20% - Accent3 2 2 2 3 2 3" xfId="12604" xr:uid="{7543944F-AA67-47FE-8DB0-51ED97719189}"/>
    <cellStyle name="20% - Accent3 2 2 2 3 3" xfId="5350" xr:uid="{00000000-0005-0000-0000-00004C010000}"/>
    <cellStyle name="20% - Accent3 2 2 2 3 3 2" xfId="14676" xr:uid="{9222252A-75B6-4C40-96AD-48CF7F58828C}"/>
    <cellStyle name="20% - Accent3 2 2 2 3 4" xfId="10459" xr:uid="{F039CD14-BE89-4C57-9977-CFB8F893AE4E}"/>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19990048-0807-49E7-8FCD-D8A56FAC6D05}"/>
    <cellStyle name="20% - Accent3 2 2 2 4 2 3" xfId="13017" xr:uid="{0A5849A6-988D-4D1C-8BDE-964418FF8ABF}"/>
    <cellStyle name="20% - Accent3 2 2 2 4 3" xfId="5763" xr:uid="{00000000-0005-0000-0000-000050010000}"/>
    <cellStyle name="20% - Accent3 2 2 2 4 3 2" xfId="15089" xr:uid="{EE198FD3-20A7-43A9-8113-AC5DFC805BE2}"/>
    <cellStyle name="20% - Accent3 2 2 2 4 4" xfId="10872" xr:uid="{ED921F99-399B-491E-83C0-D80D8CA03D27}"/>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07949AD1-F554-4E6E-A632-1FFD4873B32F}"/>
    <cellStyle name="20% - Accent3 2 2 2 5 2 3" xfId="13430" xr:uid="{AFD80C6F-2477-492F-BD0B-AE2438592EB8}"/>
    <cellStyle name="20% - Accent3 2 2 2 5 3" xfId="6176" xr:uid="{00000000-0005-0000-0000-000054010000}"/>
    <cellStyle name="20% - Accent3 2 2 2 5 3 2" xfId="15502" xr:uid="{7A0F1A9E-1FE2-4D6F-828F-D881E69F2CD4}"/>
    <cellStyle name="20% - Accent3 2 2 2 5 4" xfId="11285" xr:uid="{D3D8C3E2-9A13-463E-B26F-FACD0BCAC901}"/>
    <cellStyle name="20% - Accent3 2 2 2 6" xfId="2283" xr:uid="{00000000-0005-0000-0000-000055010000}"/>
    <cellStyle name="20% - Accent3 2 2 2 6 2" xfId="6589" xr:uid="{00000000-0005-0000-0000-000056010000}"/>
    <cellStyle name="20% - Accent3 2 2 2 6 2 2" xfId="15915" xr:uid="{1888B88A-8D6F-4AF9-935F-C4F8674A10E7}"/>
    <cellStyle name="20% - Accent3 2 2 2 6 3" xfId="11698" xr:uid="{8D8E55E2-B6E7-4142-A6D0-07ED1154FD40}"/>
    <cellStyle name="20% - Accent3 2 2 2 7" xfId="4523" xr:uid="{00000000-0005-0000-0000-000057010000}"/>
    <cellStyle name="20% - Accent3 2 2 2 7 2" xfId="13849" xr:uid="{6C41F4C8-E32A-4986-899B-B2E40FC698BE}"/>
    <cellStyle name="20% - Accent3 2 2 2 8" xfId="9102" xr:uid="{77698EAD-FDE4-4105-BE80-980B5219F464}"/>
    <cellStyle name="20% - Accent3 2 2 2 9" xfId="9632" xr:uid="{75973598-42C3-479F-8B09-40F5CB81C910}"/>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0DC5E50A-34ED-4032-8708-2C7578DE8F03}"/>
    <cellStyle name="20% - Accent3 2 2 3 2 3" xfId="12190" xr:uid="{F1817CC3-1CAE-499A-8480-3E31951ACAD9}"/>
    <cellStyle name="20% - Accent3 2 2 3 3" xfId="4936" xr:uid="{00000000-0005-0000-0000-00005B010000}"/>
    <cellStyle name="20% - Accent3 2 2 3 3 2" xfId="14262" xr:uid="{CD243CD2-B2C9-40CC-B470-A4DB0B052139}"/>
    <cellStyle name="20% - Accent3 2 2 3 4" xfId="9320" xr:uid="{BF070B19-D289-4211-B080-DBB621CAE7BA}"/>
    <cellStyle name="20% - Accent3 2 2 3 5" xfId="10045" xr:uid="{1A08458C-56C7-4192-95B6-12858F165FAE}"/>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AC14F9BF-8F08-467F-82F1-53CBBB1E8441}"/>
    <cellStyle name="20% - Accent3 2 2 4 2 3" xfId="12603" xr:uid="{9191BC0D-0534-4B3E-9002-BC3CF67F147A}"/>
    <cellStyle name="20% - Accent3 2 2 4 3" xfId="5349" xr:uid="{00000000-0005-0000-0000-00005F010000}"/>
    <cellStyle name="20% - Accent3 2 2 4 3 2" xfId="14675" xr:uid="{ABDF3BBF-5414-4E41-8EFC-4FBF0FA53D3C}"/>
    <cellStyle name="20% - Accent3 2 2 4 4" xfId="10458" xr:uid="{68819655-712A-4B42-BE37-42573D292795}"/>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E65536F0-BE2E-4FD7-B7EA-F5FA341FE346}"/>
    <cellStyle name="20% - Accent3 2 2 5 2 3" xfId="13016" xr:uid="{FC283E4C-AED5-43DD-8BA3-4C752F3F03B5}"/>
    <cellStyle name="20% - Accent3 2 2 5 3" xfId="5762" xr:uid="{00000000-0005-0000-0000-000063010000}"/>
    <cellStyle name="20% - Accent3 2 2 5 3 2" xfId="15088" xr:uid="{C61E35C8-8240-4737-8D40-0FD02245AD50}"/>
    <cellStyle name="20% - Accent3 2 2 5 4" xfId="10871" xr:uid="{FD3FBBD1-AD5E-4902-81DF-D56B0A35F711}"/>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B21D940A-BD20-4096-BA20-4A02BB57B5D9}"/>
    <cellStyle name="20% - Accent3 2 2 6 2 3" xfId="13429" xr:uid="{CF1B7B26-AD6A-40E2-B4E3-B3D18EDD3FFB}"/>
    <cellStyle name="20% - Accent3 2 2 6 3" xfId="6175" xr:uid="{00000000-0005-0000-0000-000067010000}"/>
    <cellStyle name="20% - Accent3 2 2 6 3 2" xfId="15501" xr:uid="{F277C22A-FC8D-49EB-8B19-EB5DAB44CF63}"/>
    <cellStyle name="20% - Accent3 2 2 6 4" xfId="11284" xr:uid="{42ACD1D2-FCCD-4B48-8281-2F864A1CE7F5}"/>
    <cellStyle name="20% - Accent3 2 2 7" xfId="2282" xr:uid="{00000000-0005-0000-0000-000068010000}"/>
    <cellStyle name="20% - Accent3 2 2 7 2" xfId="6588" xr:uid="{00000000-0005-0000-0000-000069010000}"/>
    <cellStyle name="20% - Accent3 2 2 7 2 2" xfId="15914" xr:uid="{AAA1BA63-9405-49FA-97AA-AF994E75C189}"/>
    <cellStyle name="20% - Accent3 2 2 7 3" xfId="11697" xr:uid="{5BB273B7-C558-402C-ADE7-BF46BD261CAF}"/>
    <cellStyle name="20% - Accent3 2 2 8" xfId="4522" xr:uid="{00000000-0005-0000-0000-00006A010000}"/>
    <cellStyle name="20% - Accent3 2 2 8 2" xfId="13848" xr:uid="{B37CD3AE-4B97-4EF9-9B59-A8BC51FC3B19}"/>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4C58C5C3-6F2C-4425-8C51-5A79B05A143B}"/>
    <cellStyle name="20% - Accent3 2 3 2 2 3" xfId="12192" xr:uid="{B138E15F-02DB-480A-B4E1-C9FD9FE71163}"/>
    <cellStyle name="20% - Accent3 2 3 2 3" xfId="4938" xr:uid="{00000000-0005-0000-0000-00006F010000}"/>
    <cellStyle name="20% - Accent3 2 3 2 3 2" xfId="14264" xr:uid="{C79F19E1-C1DD-414E-B2EE-FD43E6B8CF9E}"/>
    <cellStyle name="20% - Accent3 2 3 2 4" xfId="9424" xr:uid="{C3588D98-6F24-4F2C-9F96-F34501405613}"/>
    <cellStyle name="20% - Accent3 2 3 2 5" xfId="10047" xr:uid="{A5BD81D1-BD2F-4F22-870D-4DEDE58C480A}"/>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CB0F64C7-C53F-4FA9-8B08-95B700474DC1}"/>
    <cellStyle name="20% - Accent3 2 3 3 2 3" xfId="12605" xr:uid="{4D4A8D20-AAF9-4AA0-AC42-A43C3B795B56}"/>
    <cellStyle name="20% - Accent3 2 3 3 3" xfId="5351" xr:uid="{00000000-0005-0000-0000-000073010000}"/>
    <cellStyle name="20% - Accent3 2 3 3 3 2" xfId="14677" xr:uid="{3BD0EDCB-FCA1-4136-BD0A-D8A85BA1A688}"/>
    <cellStyle name="20% - Accent3 2 3 3 4" xfId="10460" xr:uid="{16A3229C-3AD6-4847-95C4-CE2AA7993744}"/>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6047D407-1FE2-4CBC-98E8-DF9845AD7CD7}"/>
    <cellStyle name="20% - Accent3 2 3 4 2 3" xfId="13018" xr:uid="{791EE064-4DB3-4544-A85D-2FE3A911E268}"/>
    <cellStyle name="20% - Accent3 2 3 4 3" xfId="5764" xr:uid="{00000000-0005-0000-0000-000077010000}"/>
    <cellStyle name="20% - Accent3 2 3 4 3 2" xfId="15090" xr:uid="{1F8C7271-9921-49FF-8B6B-0938E0B6E5B7}"/>
    <cellStyle name="20% - Accent3 2 3 4 4" xfId="10873" xr:uid="{5B4331AC-CCEF-4EEA-B56E-56E4B658F897}"/>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EB097D55-5E63-4191-9365-FE4FF3DF2D85}"/>
    <cellStyle name="20% - Accent3 2 3 5 2 3" xfId="13431" xr:uid="{FA27B888-E7A5-4DD4-9E87-4868C04281B6}"/>
    <cellStyle name="20% - Accent3 2 3 5 3" xfId="6177" xr:uid="{00000000-0005-0000-0000-00007B010000}"/>
    <cellStyle name="20% - Accent3 2 3 5 3 2" xfId="15503" xr:uid="{D230CA14-50A3-4A70-A4CF-750FDF1D49F5}"/>
    <cellStyle name="20% - Accent3 2 3 5 4" xfId="11286" xr:uid="{4BCCE9D1-0459-43AF-8D20-F9A37BB0DE37}"/>
    <cellStyle name="20% - Accent3 2 3 6" xfId="2284" xr:uid="{00000000-0005-0000-0000-00007C010000}"/>
    <cellStyle name="20% - Accent3 2 3 6 2" xfId="6590" xr:uid="{00000000-0005-0000-0000-00007D010000}"/>
    <cellStyle name="20% - Accent3 2 3 6 2 2" xfId="15916" xr:uid="{335BEF05-8144-4BAC-BAAB-8D5B138311A9}"/>
    <cellStyle name="20% - Accent3 2 3 6 3" xfId="11699" xr:uid="{8C67F8AF-0C9C-44F8-AD60-A5B55EF5FDF4}"/>
    <cellStyle name="20% - Accent3 2 3 7" xfId="4524" xr:uid="{00000000-0005-0000-0000-00007E010000}"/>
    <cellStyle name="20% - Accent3 2 3 7 2" xfId="13850" xr:uid="{91E89CB6-596D-45CC-8368-0A52BDAAF221}"/>
    <cellStyle name="20% - Accent3 2 3 8" xfId="8999" xr:uid="{2B5D0148-B6EA-4DEA-92B1-644886C27051}"/>
    <cellStyle name="20% - Accent3 2 3 9" xfId="9633" xr:uid="{FACFC102-D67B-4976-9E35-3E6C1B0AE096}"/>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4E80A0DB-BBE0-4BAB-913B-F4175588EF4E}"/>
    <cellStyle name="20% - Accent3 2 4 2 3" xfId="12189" xr:uid="{03762DC8-B2C0-4F68-9842-0DF3F2737AB4}"/>
    <cellStyle name="20% - Accent3 2 4 3" xfId="4935" xr:uid="{00000000-0005-0000-0000-000082010000}"/>
    <cellStyle name="20% - Accent3 2 4 3 2" xfId="14261" xr:uid="{C92CB047-88A6-4344-B924-8FF5658B292A}"/>
    <cellStyle name="20% - Accent3 2 4 4" xfId="9216" xr:uid="{A12C3877-5492-4CD3-AD22-81B3F0AB1EDD}"/>
    <cellStyle name="20% - Accent3 2 4 5" xfId="10044" xr:uid="{C581050C-E6CC-47D7-A66C-4327EF93C197}"/>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85FF29FC-4D89-421D-B807-E9AC612D34E2}"/>
    <cellStyle name="20% - Accent3 2 5 2 3" xfId="12602" xr:uid="{D68AFEA0-F29E-4CE8-8527-C9502827EE27}"/>
    <cellStyle name="20% - Accent3 2 5 3" xfId="5348" xr:uid="{00000000-0005-0000-0000-000086010000}"/>
    <cellStyle name="20% - Accent3 2 5 3 2" xfId="14674" xr:uid="{30B8A088-BCAB-4FAD-B332-C3D727F97576}"/>
    <cellStyle name="20% - Accent3 2 5 4" xfId="10457" xr:uid="{C85A10C3-2FC7-40CA-82E3-F100A2C200D4}"/>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2D4CF6E3-8821-4C2D-8398-FD2C6F0EEAEB}"/>
    <cellStyle name="20% - Accent3 2 6 2 3" xfId="13015" xr:uid="{97948D98-0C81-40DF-ABCB-3D0BC99D6B3C}"/>
    <cellStyle name="20% - Accent3 2 6 3" xfId="5761" xr:uid="{00000000-0005-0000-0000-00008A010000}"/>
    <cellStyle name="20% - Accent3 2 6 3 2" xfId="15087" xr:uid="{D9C36AB2-A7FD-4D59-9CEA-8478E35DF8E1}"/>
    <cellStyle name="20% - Accent3 2 6 4" xfId="10870" xr:uid="{B75E0F6B-44BC-41D3-B0F1-D767F9F47849}"/>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0A66E1B8-4457-4213-A0A5-F84D5F3DFA4B}"/>
    <cellStyle name="20% - Accent3 2 7 2 3" xfId="13428" xr:uid="{633FB84A-263D-45C8-8186-C18A362C4199}"/>
    <cellStyle name="20% - Accent3 2 7 3" xfId="6174" xr:uid="{00000000-0005-0000-0000-00008E010000}"/>
    <cellStyle name="20% - Accent3 2 7 3 2" xfId="15500" xr:uid="{0D6B9811-04DC-40A0-9963-42E53A5023D5}"/>
    <cellStyle name="20% - Accent3 2 7 4" xfId="11283" xr:uid="{16A7D579-44E1-4A87-A0FC-8EE9D6C4E024}"/>
    <cellStyle name="20% - Accent3 2 8" xfId="2281" xr:uid="{00000000-0005-0000-0000-00008F010000}"/>
    <cellStyle name="20% - Accent3 2 8 2" xfId="6587" xr:uid="{00000000-0005-0000-0000-000090010000}"/>
    <cellStyle name="20% - Accent3 2 8 2 2" xfId="15913" xr:uid="{CBB5F909-4153-4B3F-BC2F-770DAA001FD6}"/>
    <cellStyle name="20% - Accent3 2 8 3" xfId="11696" xr:uid="{1720E3C1-25F5-414B-8C6D-F5E36123D223}"/>
    <cellStyle name="20% - Accent3 2 9" xfId="4521" xr:uid="{00000000-0005-0000-0000-000091010000}"/>
    <cellStyle name="20% - Accent3 2 9 2" xfId="13847" xr:uid="{7176678D-C3D8-43DF-9332-B455DDA1517C}"/>
    <cellStyle name="20% - Accent3 3" xfId="22" xr:uid="{00000000-0005-0000-0000-000092010000}"/>
    <cellStyle name="20% - Accent3 3 10" xfId="9634" xr:uid="{79D19271-170F-4FBD-80A9-5986550DFD86}"/>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E77A773B-509A-4C37-941A-9A023AB57CF9}"/>
    <cellStyle name="20% - Accent3 3 2 2 2 3" xfId="12194" xr:uid="{40DD1863-7D24-4C0A-90B0-186D08C4F68C}"/>
    <cellStyle name="20% - Accent3 3 2 2 3" xfId="4940" xr:uid="{00000000-0005-0000-0000-000097010000}"/>
    <cellStyle name="20% - Accent3 3 2 2 3 2" xfId="14266" xr:uid="{39E83BF4-10E9-4E87-96CC-BD6A587BE01B}"/>
    <cellStyle name="20% - Accent3 3 2 2 4" xfId="9497" xr:uid="{43A0E151-F418-49A1-AF18-121DEB02B6D4}"/>
    <cellStyle name="20% - Accent3 3 2 2 5" xfId="10049" xr:uid="{2BD21B77-CD31-4E30-9078-470A7D1BB7B6}"/>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50780713-9899-40BA-8A94-D056BDCB4EC7}"/>
    <cellStyle name="20% - Accent3 3 2 3 2 3" xfId="12607" xr:uid="{23FCB6CE-06DE-45F1-BD82-6EF772529C83}"/>
    <cellStyle name="20% - Accent3 3 2 3 3" xfId="5353" xr:uid="{00000000-0005-0000-0000-00009B010000}"/>
    <cellStyle name="20% - Accent3 3 2 3 3 2" xfId="14679" xr:uid="{4F4680CA-9224-45F8-B3FE-94F602B666F2}"/>
    <cellStyle name="20% - Accent3 3 2 3 4" xfId="10462" xr:uid="{7C6F080B-1651-46F4-9239-5BB33DEF8346}"/>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5AAC4743-E7AD-4ED3-99EE-A1910B4DAD3B}"/>
    <cellStyle name="20% - Accent3 3 2 4 2 3" xfId="13020" xr:uid="{2362710E-15DA-4D3C-8014-59DED5CCBE82}"/>
    <cellStyle name="20% - Accent3 3 2 4 3" xfId="5766" xr:uid="{00000000-0005-0000-0000-00009F010000}"/>
    <cellStyle name="20% - Accent3 3 2 4 3 2" xfId="15092" xr:uid="{5D0C93E2-68A6-42F5-8DDB-7195C75D5147}"/>
    <cellStyle name="20% - Accent3 3 2 4 4" xfId="10875" xr:uid="{D86D2255-EFBD-4213-BF17-DAA3DAE1C438}"/>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C17CD6D7-772D-4513-893D-BF5266BC9C98}"/>
    <cellStyle name="20% - Accent3 3 2 5 2 3" xfId="13433" xr:uid="{DB8E7959-47BD-49C2-B82C-C96E0E7C1DB3}"/>
    <cellStyle name="20% - Accent3 3 2 5 3" xfId="6179" xr:uid="{00000000-0005-0000-0000-0000A3010000}"/>
    <cellStyle name="20% - Accent3 3 2 5 3 2" xfId="15505" xr:uid="{BE40CC77-2E1F-46F4-BD8A-080F14541790}"/>
    <cellStyle name="20% - Accent3 3 2 5 4" xfId="11288" xr:uid="{DAB97D30-2598-4092-A2E0-A8D3FB6C4613}"/>
    <cellStyle name="20% - Accent3 3 2 6" xfId="2286" xr:uid="{00000000-0005-0000-0000-0000A4010000}"/>
    <cellStyle name="20% - Accent3 3 2 6 2" xfId="6592" xr:uid="{00000000-0005-0000-0000-0000A5010000}"/>
    <cellStyle name="20% - Accent3 3 2 6 2 2" xfId="15918" xr:uid="{9CF730DC-E73D-4D16-A2F4-67F248E47445}"/>
    <cellStyle name="20% - Accent3 3 2 6 3" xfId="11701" xr:uid="{6E3D7F1D-BDA6-411B-AFF8-FF0CF80F704C}"/>
    <cellStyle name="20% - Accent3 3 2 7" xfId="4526" xr:uid="{00000000-0005-0000-0000-0000A6010000}"/>
    <cellStyle name="20% - Accent3 3 2 7 2" xfId="13852" xr:uid="{E66DCDDB-D7EE-4BD1-A028-790E3EC3A91C}"/>
    <cellStyle name="20% - Accent3 3 2 8" xfId="9072" xr:uid="{422EC144-F6F8-460E-8B93-316BBF9707FB}"/>
    <cellStyle name="20% - Accent3 3 2 9" xfId="9635" xr:uid="{6C846CE3-7F04-4D1C-827A-1A83ACBA8FD0}"/>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E71D3A0A-E566-4048-A16C-F982D381F82E}"/>
    <cellStyle name="20% - Accent3 3 3 2 3" xfId="12193" xr:uid="{EF9C2489-A15A-4EA9-8435-8403770E3E45}"/>
    <cellStyle name="20% - Accent3 3 3 3" xfId="4939" xr:uid="{00000000-0005-0000-0000-0000AA010000}"/>
    <cellStyle name="20% - Accent3 3 3 3 2" xfId="14265" xr:uid="{ED5B77B9-1910-48B0-8987-CA57A8D0D117}"/>
    <cellStyle name="20% - Accent3 3 3 4" xfId="9290" xr:uid="{8511D0A3-BAF4-4D49-BFEA-2ED828678819}"/>
    <cellStyle name="20% - Accent3 3 3 5" xfId="10048" xr:uid="{B898AE02-E73E-4DF0-BA72-E39BFBE1FC58}"/>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064315AC-688D-4779-83B6-0C93A0CDFD9E}"/>
    <cellStyle name="20% - Accent3 3 4 2 3" xfId="12606" xr:uid="{3689E5A4-F731-4D7D-B146-65211EB4AB55}"/>
    <cellStyle name="20% - Accent3 3 4 3" xfId="5352" xr:uid="{00000000-0005-0000-0000-0000AE010000}"/>
    <cellStyle name="20% - Accent3 3 4 3 2" xfId="14678" xr:uid="{CF760BAC-ADE1-4289-AD76-D05632BD99D6}"/>
    <cellStyle name="20% - Accent3 3 4 4" xfId="10461" xr:uid="{DD81FABD-8AFB-409C-B3DC-F80989FF4AC4}"/>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99F88521-5883-4200-A8EB-7D693AB4DC01}"/>
    <cellStyle name="20% - Accent3 3 5 2 3" xfId="13019" xr:uid="{E3968649-BC17-4C75-8AF4-437B6EF0DA58}"/>
    <cellStyle name="20% - Accent3 3 5 3" xfId="5765" xr:uid="{00000000-0005-0000-0000-0000B2010000}"/>
    <cellStyle name="20% - Accent3 3 5 3 2" xfId="15091" xr:uid="{99BEA603-1408-4DF8-9E06-6A40B8128D0E}"/>
    <cellStyle name="20% - Accent3 3 5 4" xfId="10874" xr:uid="{F1EF3FBA-4E0C-4C2C-A499-F4A87C47D31B}"/>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42574208-02AF-44C7-ABA2-FA3217360FC7}"/>
    <cellStyle name="20% - Accent3 3 6 2 3" xfId="13432" xr:uid="{7C685CA5-51FA-4AE7-AAB1-38ACBE518E15}"/>
    <cellStyle name="20% - Accent3 3 6 3" xfId="6178" xr:uid="{00000000-0005-0000-0000-0000B6010000}"/>
    <cellStyle name="20% - Accent3 3 6 3 2" xfId="15504" xr:uid="{5AD73D31-E62F-48D7-808E-45AA78122CFF}"/>
    <cellStyle name="20% - Accent3 3 6 4" xfId="11287" xr:uid="{BAD75C0D-6134-4ECA-A14A-B0A7FBC3B815}"/>
    <cellStyle name="20% - Accent3 3 7" xfId="2285" xr:uid="{00000000-0005-0000-0000-0000B7010000}"/>
    <cellStyle name="20% - Accent3 3 7 2" xfId="6591" xr:uid="{00000000-0005-0000-0000-0000B8010000}"/>
    <cellStyle name="20% - Accent3 3 7 2 2" xfId="15917" xr:uid="{BA82B35A-8A1A-4094-82E3-99A9E61D531E}"/>
    <cellStyle name="20% - Accent3 3 7 3" xfId="11700" xr:uid="{AD4D4325-34BE-4CC7-AD71-D5A649803369}"/>
    <cellStyle name="20% - Accent3 3 8" xfId="4525" xr:uid="{00000000-0005-0000-0000-0000B9010000}"/>
    <cellStyle name="20% - Accent3 3 8 2" xfId="13851" xr:uid="{FBCA3E81-C713-40D4-B0B8-3E1E080C866B}"/>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3F3B7495-71FE-4826-99D0-81220CC5E0F2}"/>
    <cellStyle name="20% - Accent3 4 2 2 3" xfId="12195" xr:uid="{8D42F033-2CCF-4253-A126-0211C512D3A0}"/>
    <cellStyle name="20% - Accent3 4 2 3" xfId="4941" xr:uid="{00000000-0005-0000-0000-0000BE010000}"/>
    <cellStyle name="20% - Accent3 4 2 3 2" xfId="14267" xr:uid="{7E5A5340-08DA-41AD-B48E-2FC48A839CD3}"/>
    <cellStyle name="20% - Accent3 4 2 4" xfId="9376" xr:uid="{92AC27CA-0B0B-4AFE-8457-D3F19BE2837F}"/>
    <cellStyle name="20% - Accent3 4 2 5" xfId="10050" xr:uid="{20D3CE9E-5C6A-4648-B65A-F439233E3AF6}"/>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B3FEEA1F-4FB5-4D42-B81E-A8EB195DDE1D}"/>
    <cellStyle name="20% - Accent3 4 3 2 3" xfId="12608" xr:uid="{BF19A032-4A7A-4D4C-AA01-C803631B85F4}"/>
    <cellStyle name="20% - Accent3 4 3 3" xfId="5354" xr:uid="{00000000-0005-0000-0000-0000C2010000}"/>
    <cellStyle name="20% - Accent3 4 3 3 2" xfId="14680" xr:uid="{C503787B-46CD-4F55-8B16-A7CA5E5840CF}"/>
    <cellStyle name="20% - Accent3 4 3 4" xfId="10463" xr:uid="{605CB3E1-A1E9-4C24-AB3E-4E00BA330019}"/>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FF141AB1-9624-46D4-87ED-E64E0EAC26C7}"/>
    <cellStyle name="20% - Accent3 4 4 2 3" xfId="13021" xr:uid="{0372B98B-00BC-4F1E-8BEB-7BC2C64A74B8}"/>
    <cellStyle name="20% - Accent3 4 4 3" xfId="5767" xr:uid="{00000000-0005-0000-0000-0000C6010000}"/>
    <cellStyle name="20% - Accent3 4 4 3 2" xfId="15093" xr:uid="{AF5DC6F1-1ED2-4C88-80D8-697528A1418B}"/>
    <cellStyle name="20% - Accent3 4 4 4" xfId="10876" xr:uid="{F67C4DCA-5727-484B-BFE1-D967542F86E1}"/>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7DF73E6F-D205-4A2C-8EE0-5AD7DE6F04AF}"/>
    <cellStyle name="20% - Accent3 4 5 2 3" xfId="13434" xr:uid="{153B2C26-5BA1-4931-B3F0-0616294BCCAD}"/>
    <cellStyle name="20% - Accent3 4 5 3" xfId="6180" xr:uid="{00000000-0005-0000-0000-0000CA010000}"/>
    <cellStyle name="20% - Accent3 4 5 3 2" xfId="15506" xr:uid="{0673359C-2B8D-416F-A70A-628DB7AC32A0}"/>
    <cellStyle name="20% - Accent3 4 5 4" xfId="11289" xr:uid="{1EDAD471-C1FC-44D9-8656-D2EAA7E7C00A}"/>
    <cellStyle name="20% - Accent3 4 6" xfId="2287" xr:uid="{00000000-0005-0000-0000-0000CB010000}"/>
    <cellStyle name="20% - Accent3 4 6 2" xfId="6593" xr:uid="{00000000-0005-0000-0000-0000CC010000}"/>
    <cellStyle name="20% - Accent3 4 6 2 2" xfId="15919" xr:uid="{4D33B17C-0605-4330-B656-A1C073C0F956}"/>
    <cellStyle name="20% - Accent3 4 6 3" xfId="11702" xr:uid="{9C04DD9C-C7D4-49DA-A6D2-7155B125B481}"/>
    <cellStyle name="20% - Accent3 4 7" xfId="4527" xr:uid="{00000000-0005-0000-0000-0000CD010000}"/>
    <cellStyle name="20% - Accent3 4 7 2" xfId="13853" xr:uid="{8C6D5272-E377-454F-A3A8-DA12FC62FAE5}"/>
    <cellStyle name="20% - Accent3 4 8" xfId="8951" xr:uid="{3CB7770B-4F12-4C44-B65D-06C641FEE851}"/>
    <cellStyle name="20% - Accent3 4 9" xfId="9636" xr:uid="{607C6055-CC8F-473A-B592-721331811708}"/>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E73EA108-79B6-4563-8AF5-93C32AFBB9DA}"/>
    <cellStyle name="20% - Accent3 5 2 3" xfId="12188" xr:uid="{65C3F21A-E3A3-4F6F-9AD3-C462DFCCE545}"/>
    <cellStyle name="20% - Accent3 5 3" xfId="4934" xr:uid="{00000000-0005-0000-0000-0000D1010000}"/>
    <cellStyle name="20% - Accent3 5 3 2" xfId="14260" xr:uid="{5818D914-9956-4E19-AFBC-26BD751E5AED}"/>
    <cellStyle name="20% - Accent3 5 4" xfId="9184" xr:uid="{F51B2D95-9593-4370-A6D2-AFEF087D7920}"/>
    <cellStyle name="20% - Accent3 5 5" xfId="10043" xr:uid="{301E717A-49C6-4CD9-A0A1-B756844D2B31}"/>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EF846329-DCAE-40EB-8932-D3356223F015}"/>
    <cellStyle name="20% - Accent3 6 2 3" xfId="12601" xr:uid="{AB3E9F67-F2A9-4A57-9D90-B781A4CB6034}"/>
    <cellStyle name="20% - Accent3 6 3" xfId="5347" xr:uid="{00000000-0005-0000-0000-0000D5010000}"/>
    <cellStyle name="20% - Accent3 6 3 2" xfId="14673" xr:uid="{9B5BE8C3-88C0-4394-A672-D46CF6EC6EAA}"/>
    <cellStyle name="20% - Accent3 6 4" xfId="10456" xr:uid="{711EFF0B-4B2E-4B94-8598-AD4F47880CC5}"/>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96124079-0E17-4013-A5D3-1F2E446E7FCC}"/>
    <cellStyle name="20% - Accent3 7 2 3" xfId="13014" xr:uid="{67388A17-B7EF-4FD4-B306-434017D8C13A}"/>
    <cellStyle name="20% - Accent3 7 3" xfId="5760" xr:uid="{00000000-0005-0000-0000-0000D9010000}"/>
    <cellStyle name="20% - Accent3 7 3 2" xfId="15086" xr:uid="{A8B45D4E-3E27-46D1-BC94-53D90713DCDD}"/>
    <cellStyle name="20% - Accent3 7 4" xfId="10869" xr:uid="{BE888898-5E12-4F72-9AD5-EED4F3216550}"/>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45CB4B9D-A0FB-4618-9E8C-499BCA2DC6AB}"/>
    <cellStyle name="20% - Accent3 8 2 3" xfId="13427" xr:uid="{4B4919EC-4525-4A95-9E4F-F21860708765}"/>
    <cellStyle name="20% - Accent3 8 3" xfId="6173" xr:uid="{00000000-0005-0000-0000-0000DD010000}"/>
    <cellStyle name="20% - Accent3 8 3 2" xfId="15499" xr:uid="{1872AF1D-869B-4C43-BDD2-5C8C5730F873}"/>
    <cellStyle name="20% - Accent3 8 4" xfId="11282" xr:uid="{7EC58941-7C69-49C7-81B3-16E871346838}"/>
    <cellStyle name="20% - Accent3 9" xfId="2280" xr:uid="{00000000-0005-0000-0000-0000DE010000}"/>
    <cellStyle name="20% - Accent3 9 2" xfId="6586" xr:uid="{00000000-0005-0000-0000-0000DF010000}"/>
    <cellStyle name="20% - Accent3 9 2 2" xfId="15912" xr:uid="{B9394CD3-E8DF-4665-9205-D496259AEB05}"/>
    <cellStyle name="20% - Accent3 9 3" xfId="11695" xr:uid="{F28AB9F8-0BC6-4C2E-8BC4-B68529AB0FCC}"/>
    <cellStyle name="20% - Accent4" xfId="25" builtinId="42" customBuiltin="1"/>
    <cellStyle name="20% - Accent4 10" xfId="4528" xr:uid="{00000000-0005-0000-0000-0000E1010000}"/>
    <cellStyle name="20% - Accent4 10 2" xfId="13854" xr:uid="{B7EB1621-6B33-42F8-9D75-8866185FE368}"/>
    <cellStyle name="20% - Accent4 11" xfId="8764" xr:uid="{4A9BF508-806C-496D-AEC5-5842E4A62892}"/>
    <cellStyle name="20% - Accent4 12" xfId="9637" xr:uid="{C3B70A4F-7D6A-48CA-BB23-4B2EDB703CB4}"/>
    <cellStyle name="20% - Accent4 2" xfId="26" xr:uid="{00000000-0005-0000-0000-0000E2010000}"/>
    <cellStyle name="20% - Accent4 2 10" xfId="8794" xr:uid="{31A2F477-5237-45C2-B43F-25AC049A95FF}"/>
    <cellStyle name="20% - Accent4 2 11" xfId="9638" xr:uid="{BC029612-2593-429A-B9CA-FB85D08D94A6}"/>
    <cellStyle name="20% - Accent4 2 2" xfId="27" xr:uid="{00000000-0005-0000-0000-0000E3010000}"/>
    <cellStyle name="20% - Accent4 2 2 10" xfId="9639" xr:uid="{7525613E-EC0A-4AC3-8534-B68691286F78}"/>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98294128-2CA5-4098-8A4B-C2E211305C10}"/>
    <cellStyle name="20% - Accent4 2 2 2 2 2 3" xfId="12199" xr:uid="{93D31560-983E-494F-BC58-34C8018B4082}"/>
    <cellStyle name="20% - Accent4 2 2 2 2 3" xfId="4945" xr:uid="{00000000-0005-0000-0000-0000E8010000}"/>
    <cellStyle name="20% - Accent4 2 2 2 2 3 2" xfId="14271" xr:uid="{13B86185-B5F7-4CF7-B69C-3A5E9C1B1473}"/>
    <cellStyle name="20% - Accent4 2 2 2 2 4" xfId="9529" xr:uid="{0C40CE19-1873-4316-818D-CC943AAFBB7B}"/>
    <cellStyle name="20% - Accent4 2 2 2 2 5" xfId="10054" xr:uid="{8E20173E-E23B-4106-8ECA-2A2F1DC54908}"/>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6675B4FF-BBB6-4562-961E-673604320498}"/>
    <cellStyle name="20% - Accent4 2 2 2 3 2 3" xfId="12612" xr:uid="{46646773-5A69-44A6-B246-0E31852AD674}"/>
    <cellStyle name="20% - Accent4 2 2 2 3 3" xfId="5358" xr:uid="{00000000-0005-0000-0000-0000EC010000}"/>
    <cellStyle name="20% - Accent4 2 2 2 3 3 2" xfId="14684" xr:uid="{AB987F73-1406-4054-96AD-43374085CC54}"/>
    <cellStyle name="20% - Accent4 2 2 2 3 4" xfId="10467" xr:uid="{49AFDE18-B45B-42DA-9821-DC05F4E9F5EA}"/>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49F549C2-9E7B-4087-AC28-E9DF84731EDE}"/>
    <cellStyle name="20% - Accent4 2 2 2 4 2 3" xfId="13025" xr:uid="{B0CFE815-F6AA-4626-93CF-98D4698F123F}"/>
    <cellStyle name="20% - Accent4 2 2 2 4 3" xfId="5771" xr:uid="{00000000-0005-0000-0000-0000F0010000}"/>
    <cellStyle name="20% - Accent4 2 2 2 4 3 2" xfId="15097" xr:uid="{9940F3D3-D6B3-4D08-BBED-C6F64903C039}"/>
    <cellStyle name="20% - Accent4 2 2 2 4 4" xfId="10880" xr:uid="{60CF31B1-250B-4A75-90C2-64871383FF1E}"/>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6196BC2D-0BDB-44D5-9937-0F08BAF67A26}"/>
    <cellStyle name="20% - Accent4 2 2 2 5 2 3" xfId="13438" xr:uid="{03AD7C19-6A6E-49AD-95E5-E134BB1AFA2A}"/>
    <cellStyle name="20% - Accent4 2 2 2 5 3" xfId="6184" xr:uid="{00000000-0005-0000-0000-0000F4010000}"/>
    <cellStyle name="20% - Accent4 2 2 2 5 3 2" xfId="15510" xr:uid="{24FD32A2-9565-4C0C-B9B6-5661EDE9CAC4}"/>
    <cellStyle name="20% - Accent4 2 2 2 5 4" xfId="11293" xr:uid="{EF70C045-75BE-4EDB-BDA5-DC3AB6231225}"/>
    <cellStyle name="20% - Accent4 2 2 2 6" xfId="2291" xr:uid="{00000000-0005-0000-0000-0000F5010000}"/>
    <cellStyle name="20% - Accent4 2 2 2 6 2" xfId="6597" xr:uid="{00000000-0005-0000-0000-0000F6010000}"/>
    <cellStyle name="20% - Accent4 2 2 2 6 2 2" xfId="15923" xr:uid="{37236F3D-C42F-4763-9FED-3BE488CBA940}"/>
    <cellStyle name="20% - Accent4 2 2 2 6 3" xfId="11706" xr:uid="{2D4D812D-567E-4985-AC80-781644B46797}"/>
    <cellStyle name="20% - Accent4 2 2 2 7" xfId="4531" xr:uid="{00000000-0005-0000-0000-0000F7010000}"/>
    <cellStyle name="20% - Accent4 2 2 2 7 2" xfId="13857" xr:uid="{C6D6CA9E-725F-42E4-9619-9E43D1E0DB70}"/>
    <cellStyle name="20% - Accent4 2 2 2 8" xfId="9104" xr:uid="{526BE306-22BA-4A85-81B2-34AEB56F0D90}"/>
    <cellStyle name="20% - Accent4 2 2 2 9" xfId="9640" xr:uid="{7D648B43-56D1-40C9-83DB-5E095227C938}"/>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7A77AFD1-2A56-4705-BD39-C8C80C18414E}"/>
    <cellStyle name="20% - Accent4 2 2 3 2 3" xfId="12198" xr:uid="{07EAD3FE-3851-4943-9E0F-336F98D78B82}"/>
    <cellStyle name="20% - Accent4 2 2 3 3" xfId="4944" xr:uid="{00000000-0005-0000-0000-0000FB010000}"/>
    <cellStyle name="20% - Accent4 2 2 3 3 2" xfId="14270" xr:uid="{7257B076-1467-46A2-8EB8-7C5CC662DB1B}"/>
    <cellStyle name="20% - Accent4 2 2 3 4" xfId="9322" xr:uid="{003BBE99-27AA-4036-A373-4475953A88F4}"/>
    <cellStyle name="20% - Accent4 2 2 3 5" xfId="10053" xr:uid="{2950FE1A-FBF3-4C60-940D-A291108F6CDF}"/>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034C6D78-B883-4D5C-B1C0-0A63C2AEF347}"/>
    <cellStyle name="20% - Accent4 2 2 4 2 3" xfId="12611" xr:uid="{79F8B3C2-FF42-443A-9633-8D8CC45EDB6E}"/>
    <cellStyle name="20% - Accent4 2 2 4 3" xfId="5357" xr:uid="{00000000-0005-0000-0000-0000FF010000}"/>
    <cellStyle name="20% - Accent4 2 2 4 3 2" xfId="14683" xr:uid="{7FA9562B-9A6F-4451-B56C-43EC154131A2}"/>
    <cellStyle name="20% - Accent4 2 2 4 4" xfId="10466" xr:uid="{32B03ABA-3435-40F6-AF42-54E3FE79E436}"/>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8CA7ADC9-A963-47B0-A3B9-6B27A45A6A91}"/>
    <cellStyle name="20% - Accent4 2 2 5 2 3" xfId="13024" xr:uid="{329A038E-F563-4185-A494-9CBA1A9DC263}"/>
    <cellStyle name="20% - Accent4 2 2 5 3" xfId="5770" xr:uid="{00000000-0005-0000-0000-000003020000}"/>
    <cellStyle name="20% - Accent4 2 2 5 3 2" xfId="15096" xr:uid="{B47DDF1F-FF71-4C00-8FC3-E6723702C1E8}"/>
    <cellStyle name="20% - Accent4 2 2 5 4" xfId="10879" xr:uid="{C52D1183-5F8C-4EF3-87DD-64D705E6C4F9}"/>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D9891D42-1AC9-48D8-9D6F-F28F69403531}"/>
    <cellStyle name="20% - Accent4 2 2 6 2 3" xfId="13437" xr:uid="{54E6E513-0BEC-44F5-BB38-3F693B1F82F2}"/>
    <cellStyle name="20% - Accent4 2 2 6 3" xfId="6183" xr:uid="{00000000-0005-0000-0000-000007020000}"/>
    <cellStyle name="20% - Accent4 2 2 6 3 2" xfId="15509" xr:uid="{9B4E1E42-7C71-4A08-9E11-50EA3283839A}"/>
    <cellStyle name="20% - Accent4 2 2 6 4" xfId="11292" xr:uid="{68F1F070-7C4C-4B1F-A16B-50C117C3894E}"/>
    <cellStyle name="20% - Accent4 2 2 7" xfId="2290" xr:uid="{00000000-0005-0000-0000-000008020000}"/>
    <cellStyle name="20% - Accent4 2 2 7 2" xfId="6596" xr:uid="{00000000-0005-0000-0000-000009020000}"/>
    <cellStyle name="20% - Accent4 2 2 7 2 2" xfId="15922" xr:uid="{93F405E7-7B17-403B-869F-CF398C1017ED}"/>
    <cellStyle name="20% - Accent4 2 2 7 3" xfId="11705" xr:uid="{6D41B32F-E479-42E5-A039-E4E0B2E7474C}"/>
    <cellStyle name="20% - Accent4 2 2 8" xfId="4530" xr:uid="{00000000-0005-0000-0000-00000A020000}"/>
    <cellStyle name="20% - Accent4 2 2 8 2" xfId="13856" xr:uid="{EE242051-AD92-47E4-9738-7C195B1525EC}"/>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C4A0596F-476D-46F8-9FA6-A69D3CEC608F}"/>
    <cellStyle name="20% - Accent4 2 3 2 2 3" xfId="12200" xr:uid="{8609861A-9692-4D4B-BD1D-874AD5746814}"/>
    <cellStyle name="20% - Accent4 2 3 2 3" xfId="4946" xr:uid="{00000000-0005-0000-0000-00000F020000}"/>
    <cellStyle name="20% - Accent4 2 3 2 3 2" xfId="14272" xr:uid="{081E6886-C70D-463C-A069-3853EE422C97}"/>
    <cellStyle name="20% - Accent4 2 3 2 4" xfId="9426" xr:uid="{5B247D51-FBFD-4799-8395-E3F1C04297B8}"/>
    <cellStyle name="20% - Accent4 2 3 2 5" xfId="10055" xr:uid="{FDD477BF-D917-45E7-BFFE-333DF98F7311}"/>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33EB2A43-9C72-4E59-9B00-19C796AB8199}"/>
    <cellStyle name="20% - Accent4 2 3 3 2 3" xfId="12613" xr:uid="{F45D0ADC-4E08-4D43-B201-1F55AA8C31C8}"/>
    <cellStyle name="20% - Accent4 2 3 3 3" xfId="5359" xr:uid="{00000000-0005-0000-0000-000013020000}"/>
    <cellStyle name="20% - Accent4 2 3 3 3 2" xfId="14685" xr:uid="{323F447F-BA20-464C-B875-885BCFDE3463}"/>
    <cellStyle name="20% - Accent4 2 3 3 4" xfId="10468" xr:uid="{BD6453B0-537E-4CF0-A875-2EF07AF572CD}"/>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530C8CD6-CEE7-4D29-AF0C-E8C7D97524AF}"/>
    <cellStyle name="20% - Accent4 2 3 4 2 3" xfId="13026" xr:uid="{9CD6883C-A6A2-4471-8D02-F78E2FCE1930}"/>
    <cellStyle name="20% - Accent4 2 3 4 3" xfId="5772" xr:uid="{00000000-0005-0000-0000-000017020000}"/>
    <cellStyle name="20% - Accent4 2 3 4 3 2" xfId="15098" xr:uid="{F26F175A-417B-4DF1-858D-52D289644F87}"/>
    <cellStyle name="20% - Accent4 2 3 4 4" xfId="10881" xr:uid="{E4BA3F92-4723-4707-9092-76DCEBA02DF4}"/>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07BA2E22-29A7-4F80-9019-85F381714816}"/>
    <cellStyle name="20% - Accent4 2 3 5 2 3" xfId="13439" xr:uid="{D0F70D27-7EF3-40A4-815E-2E91C0358409}"/>
    <cellStyle name="20% - Accent4 2 3 5 3" xfId="6185" xr:uid="{00000000-0005-0000-0000-00001B020000}"/>
    <cellStyle name="20% - Accent4 2 3 5 3 2" xfId="15511" xr:uid="{C6E8C8B8-68F1-47AA-B071-E69B537429ED}"/>
    <cellStyle name="20% - Accent4 2 3 5 4" xfId="11294" xr:uid="{89D772AB-9F2A-4516-B13B-0EBD2F4D63D6}"/>
    <cellStyle name="20% - Accent4 2 3 6" xfId="2292" xr:uid="{00000000-0005-0000-0000-00001C020000}"/>
    <cellStyle name="20% - Accent4 2 3 6 2" xfId="6598" xr:uid="{00000000-0005-0000-0000-00001D020000}"/>
    <cellStyle name="20% - Accent4 2 3 6 2 2" xfId="15924" xr:uid="{B7937FF7-7756-46FE-BEB9-9CCDE579EA5A}"/>
    <cellStyle name="20% - Accent4 2 3 6 3" xfId="11707" xr:uid="{A5814D35-C6DD-4213-B050-D307AFE8C0DC}"/>
    <cellStyle name="20% - Accent4 2 3 7" xfId="4532" xr:uid="{00000000-0005-0000-0000-00001E020000}"/>
    <cellStyle name="20% - Accent4 2 3 7 2" xfId="13858" xr:uid="{939A747F-2007-4E1E-BEC2-9E5DCCCEEC60}"/>
    <cellStyle name="20% - Accent4 2 3 8" xfId="9001" xr:uid="{B9DE6BBA-06E2-4FC8-B645-F20E60244072}"/>
    <cellStyle name="20% - Accent4 2 3 9" xfId="9641" xr:uid="{EB2F56A4-60E5-4F47-A60D-1DB119ED86F7}"/>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8BF84E61-A430-4C1D-A9B7-C1A93640215F}"/>
    <cellStyle name="20% - Accent4 2 4 2 3" xfId="12197" xr:uid="{86F20320-CFF8-47B2-84EB-EFCBDBE26CED}"/>
    <cellStyle name="20% - Accent4 2 4 3" xfId="4943" xr:uid="{00000000-0005-0000-0000-000022020000}"/>
    <cellStyle name="20% - Accent4 2 4 3 2" xfId="14269" xr:uid="{01290014-4C6A-4FC5-8C2B-7A297D45E5B4}"/>
    <cellStyle name="20% - Accent4 2 4 4" xfId="9218" xr:uid="{EEA9CEE5-7B27-41EB-B571-13D0ADC44445}"/>
    <cellStyle name="20% - Accent4 2 4 5" xfId="10052" xr:uid="{713E7F89-ED25-47B3-9B8C-7ED6200B6BC5}"/>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43D78042-5AEF-4484-8467-63750744055F}"/>
    <cellStyle name="20% - Accent4 2 5 2 3" xfId="12610" xr:uid="{AA711A51-EAED-4E71-921A-D5F6A016D5D5}"/>
    <cellStyle name="20% - Accent4 2 5 3" xfId="5356" xr:uid="{00000000-0005-0000-0000-000026020000}"/>
    <cellStyle name="20% - Accent4 2 5 3 2" xfId="14682" xr:uid="{06BB545C-C7F2-47DA-8A29-F58E757AAB1A}"/>
    <cellStyle name="20% - Accent4 2 5 4" xfId="10465" xr:uid="{F8DF4985-9862-4B31-B0A2-0278E1B22286}"/>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972D2CEF-E81D-47EA-813D-EC5FF05654BB}"/>
    <cellStyle name="20% - Accent4 2 6 2 3" xfId="13023" xr:uid="{16F5381A-922E-4536-931E-B03E97C6795E}"/>
    <cellStyle name="20% - Accent4 2 6 3" xfId="5769" xr:uid="{00000000-0005-0000-0000-00002A020000}"/>
    <cellStyle name="20% - Accent4 2 6 3 2" xfId="15095" xr:uid="{EC35BE01-E055-4560-BF42-8BE93807E48C}"/>
    <cellStyle name="20% - Accent4 2 6 4" xfId="10878" xr:uid="{DECCBF15-C730-4640-BA67-0BBD2E0FEE67}"/>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1F05C108-E250-4950-8541-DB979BDBEBC9}"/>
    <cellStyle name="20% - Accent4 2 7 2 3" xfId="13436" xr:uid="{7481D71E-DC58-4B20-ACC0-7B3B172BF9A8}"/>
    <cellStyle name="20% - Accent4 2 7 3" xfId="6182" xr:uid="{00000000-0005-0000-0000-00002E020000}"/>
    <cellStyle name="20% - Accent4 2 7 3 2" xfId="15508" xr:uid="{6CB0111B-D28A-4BEC-92CD-024584A52E5C}"/>
    <cellStyle name="20% - Accent4 2 7 4" xfId="11291" xr:uid="{5D43BFD6-4127-44C0-A6B9-30B597C3B24A}"/>
    <cellStyle name="20% - Accent4 2 8" xfId="2289" xr:uid="{00000000-0005-0000-0000-00002F020000}"/>
    <cellStyle name="20% - Accent4 2 8 2" xfId="6595" xr:uid="{00000000-0005-0000-0000-000030020000}"/>
    <cellStyle name="20% - Accent4 2 8 2 2" xfId="15921" xr:uid="{50FC5660-EB01-4635-A217-83FB6D5FC9CF}"/>
    <cellStyle name="20% - Accent4 2 8 3" xfId="11704" xr:uid="{2C9E4594-9320-4BF4-832A-35E360636835}"/>
    <cellStyle name="20% - Accent4 2 9" xfId="4529" xr:uid="{00000000-0005-0000-0000-000031020000}"/>
    <cellStyle name="20% - Accent4 2 9 2" xfId="13855" xr:uid="{530A4397-C62F-497D-A608-961B0603CC84}"/>
    <cellStyle name="20% - Accent4 3" xfId="30" xr:uid="{00000000-0005-0000-0000-000032020000}"/>
    <cellStyle name="20% - Accent4 3 10" xfId="9642" xr:uid="{58394184-B946-4C3B-8B87-8D5FDB0A9068}"/>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07137F99-0FEB-446C-AB90-667D46631140}"/>
    <cellStyle name="20% - Accent4 3 2 2 2 3" xfId="12202" xr:uid="{3018850B-F9E8-48FA-95AC-3DD1B187F56D}"/>
    <cellStyle name="20% - Accent4 3 2 2 3" xfId="4948" xr:uid="{00000000-0005-0000-0000-000037020000}"/>
    <cellStyle name="20% - Accent4 3 2 2 3 2" xfId="14274" xr:uid="{390AC6D9-194A-42BA-B2F8-0FA860B8177E}"/>
    <cellStyle name="20% - Accent4 3 2 2 4" xfId="9499" xr:uid="{019308F4-938B-408B-A627-483AF94276A0}"/>
    <cellStyle name="20% - Accent4 3 2 2 5" xfId="10057" xr:uid="{80FF9ED7-EE05-4CAD-9C66-8CF2B8FF6B91}"/>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C3E541A7-05C2-4FB0-90CC-332F2D60BA63}"/>
    <cellStyle name="20% - Accent4 3 2 3 2 3" xfId="12615" xr:uid="{78D9ABA8-C267-4CF9-9585-BA074CEFFCD1}"/>
    <cellStyle name="20% - Accent4 3 2 3 3" xfId="5361" xr:uid="{00000000-0005-0000-0000-00003B020000}"/>
    <cellStyle name="20% - Accent4 3 2 3 3 2" xfId="14687" xr:uid="{DA77D545-6A1B-45D9-B509-E2D2B4B2E471}"/>
    <cellStyle name="20% - Accent4 3 2 3 4" xfId="10470" xr:uid="{68FADEAF-96CF-43EF-9C3E-7462396CCACE}"/>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EB9ADF11-629E-4BE8-890A-E8207619DD21}"/>
    <cellStyle name="20% - Accent4 3 2 4 2 3" xfId="13028" xr:uid="{EC24948A-7ADD-4A0E-9720-A81619A48AA4}"/>
    <cellStyle name="20% - Accent4 3 2 4 3" xfId="5774" xr:uid="{00000000-0005-0000-0000-00003F020000}"/>
    <cellStyle name="20% - Accent4 3 2 4 3 2" xfId="15100" xr:uid="{F256E40C-3365-4AF3-9D40-496DCE02D9F7}"/>
    <cellStyle name="20% - Accent4 3 2 4 4" xfId="10883" xr:uid="{F8316EF2-7CB4-4032-BC0A-D8163D830E86}"/>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C78DE037-4A69-42B0-AB23-B00B4719B0FE}"/>
    <cellStyle name="20% - Accent4 3 2 5 2 3" xfId="13441" xr:uid="{8BEBCCFC-E669-4C29-9DDF-9EADAA79AC96}"/>
    <cellStyle name="20% - Accent4 3 2 5 3" xfId="6187" xr:uid="{00000000-0005-0000-0000-000043020000}"/>
    <cellStyle name="20% - Accent4 3 2 5 3 2" xfId="15513" xr:uid="{E7D3332B-49CF-412E-ABD8-D7A008BD356B}"/>
    <cellStyle name="20% - Accent4 3 2 5 4" xfId="11296" xr:uid="{9C950712-5339-436D-8FF8-7496FACE095C}"/>
    <cellStyle name="20% - Accent4 3 2 6" xfId="2294" xr:uid="{00000000-0005-0000-0000-000044020000}"/>
    <cellStyle name="20% - Accent4 3 2 6 2" xfId="6600" xr:uid="{00000000-0005-0000-0000-000045020000}"/>
    <cellStyle name="20% - Accent4 3 2 6 2 2" xfId="15926" xr:uid="{F50CAEEB-6E22-4FDD-8256-614555ABD977}"/>
    <cellStyle name="20% - Accent4 3 2 6 3" xfId="11709" xr:uid="{8A820F45-FAFE-4DB9-94B1-7F58C5947CF3}"/>
    <cellStyle name="20% - Accent4 3 2 7" xfId="4534" xr:uid="{00000000-0005-0000-0000-000046020000}"/>
    <cellStyle name="20% - Accent4 3 2 7 2" xfId="13860" xr:uid="{42D1F577-9D9A-4B1F-A1FA-4B4E4C75FF83}"/>
    <cellStyle name="20% - Accent4 3 2 8" xfId="9074" xr:uid="{BA25EAA8-2B5F-4309-91A3-FC61FCEF209C}"/>
    <cellStyle name="20% - Accent4 3 2 9" xfId="9643" xr:uid="{E760FDC7-1AC1-401D-A91D-7DDB922FCC93}"/>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91C4426D-CB3E-4C5A-BCB6-DF5312D36F52}"/>
    <cellStyle name="20% - Accent4 3 3 2 3" xfId="12201" xr:uid="{6AE8EAFB-30B8-46A3-AA06-32F015BDD95D}"/>
    <cellStyle name="20% - Accent4 3 3 3" xfId="4947" xr:uid="{00000000-0005-0000-0000-00004A020000}"/>
    <cellStyle name="20% - Accent4 3 3 3 2" xfId="14273" xr:uid="{25AD38BA-86BD-4C5B-A2D5-B5F94AF8F3DF}"/>
    <cellStyle name="20% - Accent4 3 3 4" xfId="9292" xr:uid="{E33AB5E9-A8F9-45CB-AD95-0E461E901C30}"/>
    <cellStyle name="20% - Accent4 3 3 5" xfId="10056" xr:uid="{F92BA0E6-552C-4DEA-A8E9-9BB21C054EF8}"/>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7DDD9703-E57B-4888-A4DB-4A30D39CCAB5}"/>
    <cellStyle name="20% - Accent4 3 4 2 3" xfId="12614" xr:uid="{2FD9A9E0-051D-4E49-98B4-6AD5C8A737F2}"/>
    <cellStyle name="20% - Accent4 3 4 3" xfId="5360" xr:uid="{00000000-0005-0000-0000-00004E020000}"/>
    <cellStyle name="20% - Accent4 3 4 3 2" xfId="14686" xr:uid="{050DB3E8-A49A-40D9-9D8A-7C62842439E5}"/>
    <cellStyle name="20% - Accent4 3 4 4" xfId="10469" xr:uid="{E07C3241-64BD-4FA0-A334-FDC5F8057CE5}"/>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2941D7DA-D9B0-43FC-9A67-3947640847E1}"/>
    <cellStyle name="20% - Accent4 3 5 2 3" xfId="13027" xr:uid="{7324D2E6-7C1F-4AE4-B0D7-6C001BB7AF0E}"/>
    <cellStyle name="20% - Accent4 3 5 3" xfId="5773" xr:uid="{00000000-0005-0000-0000-000052020000}"/>
    <cellStyle name="20% - Accent4 3 5 3 2" xfId="15099" xr:uid="{BC18A9B2-EE96-4A5D-90AA-2FAECB3D8C92}"/>
    <cellStyle name="20% - Accent4 3 5 4" xfId="10882" xr:uid="{10E7BCD3-EBAA-4C5C-BF53-9C90F4E8AC1F}"/>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BAAC79ED-2F15-4755-B10F-A8221AE2D573}"/>
    <cellStyle name="20% - Accent4 3 6 2 3" xfId="13440" xr:uid="{11FF986D-365D-4356-81CA-2B6CF4341A9F}"/>
    <cellStyle name="20% - Accent4 3 6 3" xfId="6186" xr:uid="{00000000-0005-0000-0000-000056020000}"/>
    <cellStyle name="20% - Accent4 3 6 3 2" xfId="15512" xr:uid="{EF776CDF-8CA5-4B00-BFC8-247B48C4EF15}"/>
    <cellStyle name="20% - Accent4 3 6 4" xfId="11295" xr:uid="{6EB985D3-23A6-4559-81AA-EDDEF1B70EA3}"/>
    <cellStyle name="20% - Accent4 3 7" xfId="2293" xr:uid="{00000000-0005-0000-0000-000057020000}"/>
    <cellStyle name="20% - Accent4 3 7 2" xfId="6599" xr:uid="{00000000-0005-0000-0000-000058020000}"/>
    <cellStyle name="20% - Accent4 3 7 2 2" xfId="15925" xr:uid="{C87F8938-7017-437E-9564-8CA86FB2D747}"/>
    <cellStyle name="20% - Accent4 3 7 3" xfId="11708" xr:uid="{EA6EC549-3011-4201-A769-475C13060367}"/>
    <cellStyle name="20% - Accent4 3 8" xfId="4533" xr:uid="{00000000-0005-0000-0000-000059020000}"/>
    <cellStyle name="20% - Accent4 3 8 2" xfId="13859" xr:uid="{BE4BF42C-5779-48D2-9EF3-5346CD89ADBF}"/>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C8BD063D-9B96-4C6B-ADD6-6B29C66E98A9}"/>
    <cellStyle name="20% - Accent4 4 2 2 3" xfId="12203" xr:uid="{BDD48E2C-7209-4C73-AC1A-DF6720082126}"/>
    <cellStyle name="20% - Accent4 4 2 3" xfId="4949" xr:uid="{00000000-0005-0000-0000-00005E020000}"/>
    <cellStyle name="20% - Accent4 4 2 3 2" xfId="14275" xr:uid="{4127E918-256E-41F8-AE7E-54DD6F9E2AD0}"/>
    <cellStyle name="20% - Accent4 4 2 4" xfId="9378" xr:uid="{761B3D4A-2751-4646-8A50-05A0DD408525}"/>
    <cellStyle name="20% - Accent4 4 2 5" xfId="10058" xr:uid="{76D47BB5-5E5F-4CE8-91A2-9EB6D270ADF1}"/>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4AEBD102-54FC-4F96-9A5E-82696AB7B97B}"/>
    <cellStyle name="20% - Accent4 4 3 2 3" xfId="12616" xr:uid="{987F927E-6B09-4094-BD5E-7A20C5A889EB}"/>
    <cellStyle name="20% - Accent4 4 3 3" xfId="5362" xr:uid="{00000000-0005-0000-0000-000062020000}"/>
    <cellStyle name="20% - Accent4 4 3 3 2" xfId="14688" xr:uid="{1021D402-A79B-4F11-944C-6254E12B82EC}"/>
    <cellStyle name="20% - Accent4 4 3 4" xfId="10471" xr:uid="{B6CA2C05-075E-4D37-8454-0910740236AF}"/>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54AE3BB2-A04E-4D99-9A70-FDEA7F6F6083}"/>
    <cellStyle name="20% - Accent4 4 4 2 3" xfId="13029" xr:uid="{C28F6948-898D-476C-8741-AC25A9A7072F}"/>
    <cellStyle name="20% - Accent4 4 4 3" xfId="5775" xr:uid="{00000000-0005-0000-0000-000066020000}"/>
    <cellStyle name="20% - Accent4 4 4 3 2" xfId="15101" xr:uid="{92E8DF80-C0BE-454E-9315-D7EF3A24FAD0}"/>
    <cellStyle name="20% - Accent4 4 4 4" xfId="10884" xr:uid="{23638966-8B1A-4FDF-8454-B42601FA0C76}"/>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142FE87D-4908-46DA-9542-0DC446ED6250}"/>
    <cellStyle name="20% - Accent4 4 5 2 3" xfId="13442" xr:uid="{0B1E620D-DA31-4043-A8EB-F7D597FC17BA}"/>
    <cellStyle name="20% - Accent4 4 5 3" xfId="6188" xr:uid="{00000000-0005-0000-0000-00006A020000}"/>
    <cellStyle name="20% - Accent4 4 5 3 2" xfId="15514" xr:uid="{AA375B47-8148-497F-95F4-C5D33670BCF2}"/>
    <cellStyle name="20% - Accent4 4 5 4" xfId="11297" xr:uid="{73670A34-1906-4998-9EFF-06895950850E}"/>
    <cellStyle name="20% - Accent4 4 6" xfId="2295" xr:uid="{00000000-0005-0000-0000-00006B020000}"/>
    <cellStyle name="20% - Accent4 4 6 2" xfId="6601" xr:uid="{00000000-0005-0000-0000-00006C020000}"/>
    <cellStyle name="20% - Accent4 4 6 2 2" xfId="15927" xr:uid="{D235118B-6C7A-4A33-BD37-B95815453810}"/>
    <cellStyle name="20% - Accent4 4 6 3" xfId="11710" xr:uid="{E51994EF-89C1-44C5-88A5-4489A1EA33BA}"/>
    <cellStyle name="20% - Accent4 4 7" xfId="4535" xr:uid="{00000000-0005-0000-0000-00006D020000}"/>
    <cellStyle name="20% - Accent4 4 7 2" xfId="13861" xr:uid="{01F6B684-EC9F-4385-9098-E6F237F9EE6D}"/>
    <cellStyle name="20% - Accent4 4 8" xfId="8953" xr:uid="{66D1590A-BB3A-4B79-BA94-169F97E79370}"/>
    <cellStyle name="20% - Accent4 4 9" xfId="9644" xr:uid="{DCAFD246-F28E-4F90-A5DB-15A1CB76F8BE}"/>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D20BF06D-8AEC-4B51-A872-E394027EDD1C}"/>
    <cellStyle name="20% - Accent4 5 2 3" xfId="12196" xr:uid="{A2A50412-D998-40A9-BA2E-D9558DF4BBF5}"/>
    <cellStyle name="20% - Accent4 5 3" xfId="4942" xr:uid="{00000000-0005-0000-0000-000071020000}"/>
    <cellStyle name="20% - Accent4 5 3 2" xfId="14268" xr:uid="{49C40BB0-D037-4B51-B039-AECB342078BF}"/>
    <cellStyle name="20% - Accent4 5 4" xfId="9186" xr:uid="{E62ED282-F767-404B-ADA1-4F8E5B4D01EB}"/>
    <cellStyle name="20% - Accent4 5 5" xfId="10051" xr:uid="{50A8DC51-8CCE-482A-906D-6CB0003CEBD4}"/>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21C3F7B5-5F86-42DD-A026-E7F221447715}"/>
    <cellStyle name="20% - Accent4 6 2 3" xfId="12609" xr:uid="{61A4B829-417C-4085-826D-7D7AF5A318EA}"/>
    <cellStyle name="20% - Accent4 6 3" xfId="5355" xr:uid="{00000000-0005-0000-0000-000075020000}"/>
    <cellStyle name="20% - Accent4 6 3 2" xfId="14681" xr:uid="{39128983-A83F-4C2B-B6E7-895B663E9FC2}"/>
    <cellStyle name="20% - Accent4 6 4" xfId="10464" xr:uid="{F4B99B34-AB0F-49E5-A9E9-5C05EDE59FA9}"/>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0B56F706-AC87-49D0-8425-C7538BA1433A}"/>
    <cellStyle name="20% - Accent4 7 2 3" xfId="13022" xr:uid="{B3AB2510-8FF6-4A9C-A149-F2EB21D5AA74}"/>
    <cellStyle name="20% - Accent4 7 3" xfId="5768" xr:uid="{00000000-0005-0000-0000-000079020000}"/>
    <cellStyle name="20% - Accent4 7 3 2" xfId="15094" xr:uid="{8E5A645C-20B5-416A-862B-2A66CF2C2922}"/>
    <cellStyle name="20% - Accent4 7 4" xfId="10877" xr:uid="{271AC756-BA7E-46E1-871C-48ED9F939D89}"/>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DD9F2FCB-0972-47C6-917D-26D8B555D883}"/>
    <cellStyle name="20% - Accent4 8 2 3" xfId="13435" xr:uid="{6B5BFD8A-98B7-4673-A6CF-99E9E8B33918}"/>
    <cellStyle name="20% - Accent4 8 3" xfId="6181" xr:uid="{00000000-0005-0000-0000-00007D020000}"/>
    <cellStyle name="20% - Accent4 8 3 2" xfId="15507" xr:uid="{BE33EF3A-8A30-4EB4-8A72-7E03F3FD384D}"/>
    <cellStyle name="20% - Accent4 8 4" xfId="11290" xr:uid="{F28BABFA-ECDE-44CC-BC10-78EB79DA6D44}"/>
    <cellStyle name="20% - Accent4 9" xfId="2288" xr:uid="{00000000-0005-0000-0000-00007E020000}"/>
    <cellStyle name="20% - Accent4 9 2" xfId="6594" xr:uid="{00000000-0005-0000-0000-00007F020000}"/>
    <cellStyle name="20% - Accent4 9 2 2" xfId="15920" xr:uid="{7F023C9B-4841-4554-9477-D5956CD7D97F}"/>
    <cellStyle name="20% - Accent4 9 3" xfId="11703" xr:uid="{66EBCA62-A999-4154-A257-0EBBDE5050E5}"/>
    <cellStyle name="20% - Accent5" xfId="33" builtinId="46" customBuiltin="1"/>
    <cellStyle name="20% - Accent5 10" xfId="4536" xr:uid="{00000000-0005-0000-0000-000081020000}"/>
    <cellStyle name="20% - Accent5 10 2" xfId="13862" xr:uid="{F08A5CB2-97B6-427B-BCCC-CBDBE58E5B16}"/>
    <cellStyle name="20% - Accent5 11" xfId="8766" xr:uid="{A87C980D-48BC-4AA3-98F7-53B2F02F228C}"/>
    <cellStyle name="20% - Accent5 12" xfId="9645" xr:uid="{BFDEFFE1-5ABF-4DE6-A684-4DBF767D94A1}"/>
    <cellStyle name="20% - Accent5 2" xfId="34" xr:uid="{00000000-0005-0000-0000-000082020000}"/>
    <cellStyle name="20% - Accent5 2 10" xfId="8796" xr:uid="{5BBF4372-A7B1-47A0-AC3D-4A60EDC1A5F8}"/>
    <cellStyle name="20% - Accent5 2 11" xfId="9646" xr:uid="{CF81E50E-9D05-41F2-B315-27E6AE18EDC4}"/>
    <cellStyle name="20% - Accent5 2 2" xfId="35" xr:uid="{00000000-0005-0000-0000-000083020000}"/>
    <cellStyle name="20% - Accent5 2 2 10" xfId="9647" xr:uid="{72EAF147-7939-4AA3-914E-B1D78786B6BC}"/>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4CCF5734-DC96-4C3D-844B-F221665A7DAB}"/>
    <cellStyle name="20% - Accent5 2 2 2 2 2 3" xfId="12207" xr:uid="{D5638D34-3EB7-4DF4-8477-1DF953B01602}"/>
    <cellStyle name="20% - Accent5 2 2 2 2 3" xfId="4953" xr:uid="{00000000-0005-0000-0000-000088020000}"/>
    <cellStyle name="20% - Accent5 2 2 2 2 3 2" xfId="14279" xr:uid="{F3788FE3-1D52-4E92-A51D-77CD87E4EC1B}"/>
    <cellStyle name="20% - Accent5 2 2 2 2 4" xfId="9531" xr:uid="{5DC5F027-F767-49FB-B9DE-2ACABCF8AC5A}"/>
    <cellStyle name="20% - Accent5 2 2 2 2 5" xfId="10062" xr:uid="{EE53947E-BE4E-4542-8021-8A766462B1AC}"/>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80FB0B59-4AB2-409A-9ABB-8DF24FC121C1}"/>
    <cellStyle name="20% - Accent5 2 2 2 3 2 3" xfId="12620" xr:uid="{CC6AF3A8-6C41-4585-AE98-8D7937080B3A}"/>
    <cellStyle name="20% - Accent5 2 2 2 3 3" xfId="5366" xr:uid="{00000000-0005-0000-0000-00008C020000}"/>
    <cellStyle name="20% - Accent5 2 2 2 3 3 2" xfId="14692" xr:uid="{3D80B6B1-6464-4094-B5B5-61E07BDBF8C1}"/>
    <cellStyle name="20% - Accent5 2 2 2 3 4" xfId="10475" xr:uid="{4E40D74F-F506-42AC-9F70-B28B294A90D8}"/>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D6CB558B-7168-4E79-A80C-4BCE6E334278}"/>
    <cellStyle name="20% - Accent5 2 2 2 4 2 3" xfId="13033" xr:uid="{5A211230-D80E-42FE-8627-99D825400CE5}"/>
    <cellStyle name="20% - Accent5 2 2 2 4 3" xfId="5779" xr:uid="{00000000-0005-0000-0000-000090020000}"/>
    <cellStyle name="20% - Accent5 2 2 2 4 3 2" xfId="15105" xr:uid="{D460688D-36E4-4225-AD03-A5A3B214AF93}"/>
    <cellStyle name="20% - Accent5 2 2 2 4 4" xfId="10888" xr:uid="{4142F58A-82E9-469E-BF5C-DB06BB03E642}"/>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F98DEDDE-9A55-40B4-8821-36BC85AD67AF}"/>
    <cellStyle name="20% - Accent5 2 2 2 5 2 3" xfId="13446" xr:uid="{04AAC31B-2016-4378-B1C6-AEA5F5651886}"/>
    <cellStyle name="20% - Accent5 2 2 2 5 3" xfId="6192" xr:uid="{00000000-0005-0000-0000-000094020000}"/>
    <cellStyle name="20% - Accent5 2 2 2 5 3 2" xfId="15518" xr:uid="{0127B12F-BA66-4D83-B26C-B527FC3E4E90}"/>
    <cellStyle name="20% - Accent5 2 2 2 5 4" xfId="11301" xr:uid="{4F63C346-F3B5-4B16-94BE-2B4BF7AFF7BF}"/>
    <cellStyle name="20% - Accent5 2 2 2 6" xfId="2299" xr:uid="{00000000-0005-0000-0000-000095020000}"/>
    <cellStyle name="20% - Accent5 2 2 2 6 2" xfId="6605" xr:uid="{00000000-0005-0000-0000-000096020000}"/>
    <cellStyle name="20% - Accent5 2 2 2 6 2 2" xfId="15931" xr:uid="{FB989D5D-9060-4B36-B61D-41ED16424E7A}"/>
    <cellStyle name="20% - Accent5 2 2 2 6 3" xfId="11714" xr:uid="{793EA72C-B49A-4BE4-A09C-ADFB3F2AED13}"/>
    <cellStyle name="20% - Accent5 2 2 2 7" xfId="4539" xr:uid="{00000000-0005-0000-0000-000097020000}"/>
    <cellStyle name="20% - Accent5 2 2 2 7 2" xfId="13865" xr:uid="{2E2C6C71-F511-4EF4-86BE-BC15DBA64903}"/>
    <cellStyle name="20% - Accent5 2 2 2 8" xfId="9106" xr:uid="{E7B219CB-83A9-494A-83ED-783719A0F1D9}"/>
    <cellStyle name="20% - Accent5 2 2 2 9" xfId="9648" xr:uid="{C2B27811-65C9-4C32-BC14-EED9161548C6}"/>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F3BBE462-57D5-4CFF-9930-AE3CF98AC408}"/>
    <cellStyle name="20% - Accent5 2 2 3 2 3" xfId="12206" xr:uid="{02910481-0994-47C9-A993-F86E5CDDD65C}"/>
    <cellStyle name="20% - Accent5 2 2 3 3" xfId="4952" xr:uid="{00000000-0005-0000-0000-00009B020000}"/>
    <cellStyle name="20% - Accent5 2 2 3 3 2" xfId="14278" xr:uid="{00DA3CB5-1AD5-494B-9F58-B58712D75ADA}"/>
    <cellStyle name="20% - Accent5 2 2 3 4" xfId="9324" xr:uid="{6094FEE1-8E2A-466F-9CDF-43EB9EE581FF}"/>
    <cellStyle name="20% - Accent5 2 2 3 5" xfId="10061" xr:uid="{314D1F5D-FC36-48F3-8245-CFF8BF97A4AC}"/>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8883FF29-C8A9-4669-96BE-427651F200D4}"/>
    <cellStyle name="20% - Accent5 2 2 4 2 3" xfId="12619" xr:uid="{76C829BB-03C5-4505-824E-828C909B6201}"/>
    <cellStyle name="20% - Accent5 2 2 4 3" xfId="5365" xr:uid="{00000000-0005-0000-0000-00009F020000}"/>
    <cellStyle name="20% - Accent5 2 2 4 3 2" xfId="14691" xr:uid="{F5FC5F5D-9274-4FC6-91ED-7D4E26EC004F}"/>
    <cellStyle name="20% - Accent5 2 2 4 4" xfId="10474" xr:uid="{5EB9743C-9B4C-4494-B7DB-4A68DDB23A1B}"/>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C411981E-9209-47DE-BC6A-9CAFF0283307}"/>
    <cellStyle name="20% - Accent5 2 2 5 2 3" xfId="13032" xr:uid="{21BE763C-1277-4DF7-8416-B2459FA7951B}"/>
    <cellStyle name="20% - Accent5 2 2 5 3" xfId="5778" xr:uid="{00000000-0005-0000-0000-0000A3020000}"/>
    <cellStyle name="20% - Accent5 2 2 5 3 2" xfId="15104" xr:uid="{E1A6E0B3-0482-4099-8837-223E99C104F0}"/>
    <cellStyle name="20% - Accent5 2 2 5 4" xfId="10887" xr:uid="{F5892F7F-9F5A-4111-9F68-F3E05DED74ED}"/>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03D098B5-1F06-4736-BC1C-0701ACB3E724}"/>
    <cellStyle name="20% - Accent5 2 2 6 2 3" xfId="13445" xr:uid="{E2C88673-BDFB-4F8C-AF46-1047492BCBDB}"/>
    <cellStyle name="20% - Accent5 2 2 6 3" xfId="6191" xr:uid="{00000000-0005-0000-0000-0000A7020000}"/>
    <cellStyle name="20% - Accent5 2 2 6 3 2" xfId="15517" xr:uid="{2F6A8117-1010-4776-9B4E-4B413038112D}"/>
    <cellStyle name="20% - Accent5 2 2 6 4" xfId="11300" xr:uid="{C4EF9259-2EE2-4024-8FE3-3E06148EAF1A}"/>
    <cellStyle name="20% - Accent5 2 2 7" xfId="2298" xr:uid="{00000000-0005-0000-0000-0000A8020000}"/>
    <cellStyle name="20% - Accent5 2 2 7 2" xfId="6604" xr:uid="{00000000-0005-0000-0000-0000A9020000}"/>
    <cellStyle name="20% - Accent5 2 2 7 2 2" xfId="15930" xr:uid="{1BB6F785-B188-4CEC-B874-E504F211BD62}"/>
    <cellStyle name="20% - Accent5 2 2 7 3" xfId="11713" xr:uid="{D8F43142-4718-4BF7-9D34-529F71BD33EB}"/>
    <cellStyle name="20% - Accent5 2 2 8" xfId="4538" xr:uid="{00000000-0005-0000-0000-0000AA020000}"/>
    <cellStyle name="20% - Accent5 2 2 8 2" xfId="13864" xr:uid="{2F7BB0D3-70D7-477E-B568-BC354DA84FE7}"/>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C8CB67CD-2A17-4D50-9AB8-082D20D867A0}"/>
    <cellStyle name="20% - Accent5 2 3 2 2 3" xfId="12208" xr:uid="{4C81E394-5717-47BB-AA28-4644D74FC012}"/>
    <cellStyle name="20% - Accent5 2 3 2 3" xfId="4954" xr:uid="{00000000-0005-0000-0000-0000AF020000}"/>
    <cellStyle name="20% - Accent5 2 3 2 3 2" xfId="14280" xr:uid="{2CE14495-245D-4FFD-9D46-9414C41FB39C}"/>
    <cellStyle name="20% - Accent5 2 3 2 4" xfId="9428" xr:uid="{B7820ACF-E1F3-4653-B5DD-FD829B169E84}"/>
    <cellStyle name="20% - Accent5 2 3 2 5" xfId="10063" xr:uid="{3C87A304-D37C-46F5-9861-6ABAB0452972}"/>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52787BD7-8071-4516-A27F-D1F01515B763}"/>
    <cellStyle name="20% - Accent5 2 3 3 2 3" xfId="12621" xr:uid="{9515E919-B85B-4ACA-B161-25650EAED982}"/>
    <cellStyle name="20% - Accent5 2 3 3 3" xfId="5367" xr:uid="{00000000-0005-0000-0000-0000B3020000}"/>
    <cellStyle name="20% - Accent5 2 3 3 3 2" xfId="14693" xr:uid="{77A31413-B6D1-4E97-9545-ED0C2BD27AE7}"/>
    <cellStyle name="20% - Accent5 2 3 3 4" xfId="10476" xr:uid="{0990ED03-08D7-4136-BF19-7F950E4980F7}"/>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71C78EFC-9A7B-403C-80AB-714642BC1555}"/>
    <cellStyle name="20% - Accent5 2 3 4 2 3" xfId="13034" xr:uid="{6EE9EBB1-709A-4986-8C68-E8BF37CA8F77}"/>
    <cellStyle name="20% - Accent5 2 3 4 3" xfId="5780" xr:uid="{00000000-0005-0000-0000-0000B7020000}"/>
    <cellStyle name="20% - Accent5 2 3 4 3 2" xfId="15106" xr:uid="{0F97B920-A01C-4E18-BD15-20CB1E9CBC8F}"/>
    <cellStyle name="20% - Accent5 2 3 4 4" xfId="10889" xr:uid="{BA17CF76-766A-4FA2-B34A-FD0FBB773C17}"/>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C2D5376B-089D-48ED-9D10-723486642C98}"/>
    <cellStyle name="20% - Accent5 2 3 5 2 3" xfId="13447" xr:uid="{24A4A459-D597-4CDF-B389-B85F2EF4D753}"/>
    <cellStyle name="20% - Accent5 2 3 5 3" xfId="6193" xr:uid="{00000000-0005-0000-0000-0000BB020000}"/>
    <cellStyle name="20% - Accent5 2 3 5 3 2" xfId="15519" xr:uid="{999A1375-0584-45D5-AD56-B9365A4457CC}"/>
    <cellStyle name="20% - Accent5 2 3 5 4" xfId="11302" xr:uid="{8BE536ED-0035-44D9-BAFD-14E6485AD88F}"/>
    <cellStyle name="20% - Accent5 2 3 6" xfId="2300" xr:uid="{00000000-0005-0000-0000-0000BC020000}"/>
    <cellStyle name="20% - Accent5 2 3 6 2" xfId="6606" xr:uid="{00000000-0005-0000-0000-0000BD020000}"/>
    <cellStyle name="20% - Accent5 2 3 6 2 2" xfId="15932" xr:uid="{1ECE0244-B068-4504-B148-B35ABC97AD48}"/>
    <cellStyle name="20% - Accent5 2 3 6 3" xfId="11715" xr:uid="{91F2BEE2-F012-49B6-8AA2-99450977FB64}"/>
    <cellStyle name="20% - Accent5 2 3 7" xfId="4540" xr:uid="{00000000-0005-0000-0000-0000BE020000}"/>
    <cellStyle name="20% - Accent5 2 3 7 2" xfId="13866" xr:uid="{062BEA24-E0F5-4C06-A165-A9E32AFF5748}"/>
    <cellStyle name="20% - Accent5 2 3 8" xfId="9003" xr:uid="{9830E7D1-E361-4BA3-A986-3DCE647EEF8E}"/>
    <cellStyle name="20% - Accent5 2 3 9" xfId="9649" xr:uid="{A291B3BA-02B3-41CF-91B5-AB69B039C6B2}"/>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AFC22A18-9FAE-4DD4-A97D-FA95429FFAA4}"/>
    <cellStyle name="20% - Accent5 2 4 2 3" xfId="12205" xr:uid="{3A2CA757-3CB2-45AB-9427-810300FBD69A}"/>
    <cellStyle name="20% - Accent5 2 4 3" xfId="4951" xr:uid="{00000000-0005-0000-0000-0000C2020000}"/>
    <cellStyle name="20% - Accent5 2 4 3 2" xfId="14277" xr:uid="{D9A3C805-6497-4426-A9DC-5ED6C803048A}"/>
    <cellStyle name="20% - Accent5 2 4 4" xfId="9220" xr:uid="{A7B88928-FE72-4C1B-B74E-3CA76DBA84CC}"/>
    <cellStyle name="20% - Accent5 2 4 5" xfId="10060" xr:uid="{2FB586AF-C90B-40BE-837E-A82883331C6A}"/>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55CFBFDB-19F6-43ED-B8E2-1DA9078E3430}"/>
    <cellStyle name="20% - Accent5 2 5 2 3" xfId="12618" xr:uid="{B006CFAC-77D0-44DF-A7E8-E65349B4D05A}"/>
    <cellStyle name="20% - Accent5 2 5 3" xfId="5364" xr:uid="{00000000-0005-0000-0000-0000C6020000}"/>
    <cellStyle name="20% - Accent5 2 5 3 2" xfId="14690" xr:uid="{F01D41DC-0713-41E8-B851-61F1D4E70B13}"/>
    <cellStyle name="20% - Accent5 2 5 4" xfId="10473" xr:uid="{3C4612B4-5550-4B8B-9BF6-E5D569A69D9D}"/>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3678C2BB-6EB9-4491-82C2-589D5E40E58E}"/>
    <cellStyle name="20% - Accent5 2 6 2 3" xfId="13031" xr:uid="{47B3278E-62A3-4D78-8874-53DED01B8E1A}"/>
    <cellStyle name="20% - Accent5 2 6 3" xfId="5777" xr:uid="{00000000-0005-0000-0000-0000CA020000}"/>
    <cellStyle name="20% - Accent5 2 6 3 2" xfId="15103" xr:uid="{56207F45-5E61-419E-9B1A-7133CD38A4F6}"/>
    <cellStyle name="20% - Accent5 2 6 4" xfId="10886" xr:uid="{4F57A105-41CE-4D60-A2CF-F3169B5E0F8C}"/>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67CA8ACC-8BF2-4B93-B97F-71F3D35EECF7}"/>
    <cellStyle name="20% - Accent5 2 7 2 3" xfId="13444" xr:uid="{ED93984A-FC06-453F-A047-3CF5A989301A}"/>
    <cellStyle name="20% - Accent5 2 7 3" xfId="6190" xr:uid="{00000000-0005-0000-0000-0000CE020000}"/>
    <cellStyle name="20% - Accent5 2 7 3 2" xfId="15516" xr:uid="{209A983C-4DD5-48D9-8569-14C91F670D07}"/>
    <cellStyle name="20% - Accent5 2 7 4" xfId="11299" xr:uid="{B500281F-7530-4CA5-A723-495500494BD1}"/>
    <cellStyle name="20% - Accent5 2 8" xfId="2297" xr:uid="{00000000-0005-0000-0000-0000CF020000}"/>
    <cellStyle name="20% - Accent5 2 8 2" xfId="6603" xr:uid="{00000000-0005-0000-0000-0000D0020000}"/>
    <cellStyle name="20% - Accent5 2 8 2 2" xfId="15929" xr:uid="{E6D3462E-94E6-4741-9BC3-90A7BB0606A3}"/>
    <cellStyle name="20% - Accent5 2 8 3" xfId="11712" xr:uid="{C443FE04-6FE9-45E9-8DFC-9CB5567283A7}"/>
    <cellStyle name="20% - Accent5 2 9" xfId="4537" xr:uid="{00000000-0005-0000-0000-0000D1020000}"/>
    <cellStyle name="20% - Accent5 2 9 2" xfId="13863" xr:uid="{D49897E1-3D76-414F-A821-AAC2FD9B54EB}"/>
    <cellStyle name="20% - Accent5 3" xfId="38" xr:uid="{00000000-0005-0000-0000-0000D2020000}"/>
    <cellStyle name="20% - Accent5 3 10" xfId="9650" xr:uid="{BEA570EC-FBE5-476E-B89E-98D1575F9D6C}"/>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995F8D4E-7C81-40D2-89C7-86A08F4B9AA5}"/>
    <cellStyle name="20% - Accent5 3 2 2 2 3" xfId="12210" xr:uid="{880B54F6-566B-438B-B06A-608AC87CD6F4}"/>
    <cellStyle name="20% - Accent5 3 2 2 3" xfId="4956" xr:uid="{00000000-0005-0000-0000-0000D7020000}"/>
    <cellStyle name="20% - Accent5 3 2 2 3 2" xfId="14282" xr:uid="{BAEBC3D5-A9DB-40FE-AC89-B757E30DD3E3}"/>
    <cellStyle name="20% - Accent5 3 2 2 4" xfId="9501" xr:uid="{82A590A5-96D4-476E-8E6F-D81EEE08C409}"/>
    <cellStyle name="20% - Accent5 3 2 2 5" xfId="10065" xr:uid="{077BE100-5FFE-49DC-907C-07BE753B78D3}"/>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26B53C4E-FC45-4336-8A7F-6136BA2751E2}"/>
    <cellStyle name="20% - Accent5 3 2 3 2 3" xfId="12623" xr:uid="{E14A2C3B-0113-496F-8D6F-082C21C23DB5}"/>
    <cellStyle name="20% - Accent5 3 2 3 3" xfId="5369" xr:uid="{00000000-0005-0000-0000-0000DB020000}"/>
    <cellStyle name="20% - Accent5 3 2 3 3 2" xfId="14695" xr:uid="{95B2E1B3-422A-4364-871C-6E6AF97C06D0}"/>
    <cellStyle name="20% - Accent5 3 2 3 4" xfId="10478" xr:uid="{424578F6-D4EC-4351-AF4C-6379C34C2DD5}"/>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DCC7B5BA-5B16-4BC7-BD41-4E067C829FC3}"/>
    <cellStyle name="20% - Accent5 3 2 4 2 3" xfId="13036" xr:uid="{911C3797-B79E-4B62-B223-E323FEE65847}"/>
    <cellStyle name="20% - Accent5 3 2 4 3" xfId="5782" xr:uid="{00000000-0005-0000-0000-0000DF020000}"/>
    <cellStyle name="20% - Accent5 3 2 4 3 2" xfId="15108" xr:uid="{84C13886-5CEF-4904-908C-91F48C9AF26E}"/>
    <cellStyle name="20% - Accent5 3 2 4 4" xfId="10891" xr:uid="{F2738B40-A24B-4B5E-A186-0FD2E3D2B61E}"/>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68A0C3DE-D0BC-4BB9-8F9F-1AEC561B2A60}"/>
    <cellStyle name="20% - Accent5 3 2 5 2 3" xfId="13449" xr:uid="{6DB826DA-574A-4D72-B366-BE92E01F0BD6}"/>
    <cellStyle name="20% - Accent5 3 2 5 3" xfId="6195" xr:uid="{00000000-0005-0000-0000-0000E3020000}"/>
    <cellStyle name="20% - Accent5 3 2 5 3 2" xfId="15521" xr:uid="{FD674A20-66F8-4DA1-A973-872436B07260}"/>
    <cellStyle name="20% - Accent5 3 2 5 4" xfId="11304" xr:uid="{856FC6B4-7943-498E-8012-757F034D51CD}"/>
    <cellStyle name="20% - Accent5 3 2 6" xfId="2302" xr:uid="{00000000-0005-0000-0000-0000E4020000}"/>
    <cellStyle name="20% - Accent5 3 2 6 2" xfId="6608" xr:uid="{00000000-0005-0000-0000-0000E5020000}"/>
    <cellStyle name="20% - Accent5 3 2 6 2 2" xfId="15934" xr:uid="{A8069BCA-0C19-4C74-860C-9F1271C56213}"/>
    <cellStyle name="20% - Accent5 3 2 6 3" xfId="11717" xr:uid="{4498964D-34F0-4EFC-9064-1D7DB1884769}"/>
    <cellStyle name="20% - Accent5 3 2 7" xfId="4542" xr:uid="{00000000-0005-0000-0000-0000E6020000}"/>
    <cellStyle name="20% - Accent5 3 2 7 2" xfId="13868" xr:uid="{F81194A9-1407-44B4-A50E-D9655481D8DC}"/>
    <cellStyle name="20% - Accent5 3 2 8" xfId="9076" xr:uid="{BEDF1D01-35A3-4513-9363-9C1AFC748168}"/>
    <cellStyle name="20% - Accent5 3 2 9" xfId="9651" xr:uid="{2931D25B-E839-4E30-B6A2-B72C64B1FDAF}"/>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17B7555C-A731-440A-812A-88AEBC5F1521}"/>
    <cellStyle name="20% - Accent5 3 3 2 3" xfId="12209" xr:uid="{50FB02F1-147B-48B8-BE55-DA57695E6D68}"/>
    <cellStyle name="20% - Accent5 3 3 3" xfId="4955" xr:uid="{00000000-0005-0000-0000-0000EA020000}"/>
    <cellStyle name="20% - Accent5 3 3 3 2" xfId="14281" xr:uid="{612F938D-DEF4-4C34-8564-A57E511F7C96}"/>
    <cellStyle name="20% - Accent5 3 3 4" xfId="9294" xr:uid="{124960EA-C7A4-4686-BF67-47D6C57F7EEB}"/>
    <cellStyle name="20% - Accent5 3 3 5" xfId="10064" xr:uid="{BA5FEF26-F1FA-41A5-88FE-0D167021529E}"/>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2183C2C2-C1C6-4156-9AD4-71B529D60CD4}"/>
    <cellStyle name="20% - Accent5 3 4 2 3" xfId="12622" xr:uid="{1285747E-268E-460C-9E80-2AE74CE50A17}"/>
    <cellStyle name="20% - Accent5 3 4 3" xfId="5368" xr:uid="{00000000-0005-0000-0000-0000EE020000}"/>
    <cellStyle name="20% - Accent5 3 4 3 2" xfId="14694" xr:uid="{3868F27A-8D74-49D0-9658-AD25851D7727}"/>
    <cellStyle name="20% - Accent5 3 4 4" xfId="10477" xr:uid="{DB345A62-5C33-4048-97E1-D2B2D6F50890}"/>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3591D038-3534-471F-9F24-50E72B77F702}"/>
    <cellStyle name="20% - Accent5 3 5 2 3" xfId="13035" xr:uid="{8D82C2E8-C59B-4C84-B951-B7E0A45B74D0}"/>
    <cellStyle name="20% - Accent5 3 5 3" xfId="5781" xr:uid="{00000000-0005-0000-0000-0000F2020000}"/>
    <cellStyle name="20% - Accent5 3 5 3 2" xfId="15107" xr:uid="{512B0F32-98D9-4538-9032-2A7D60C63F9F}"/>
    <cellStyle name="20% - Accent5 3 5 4" xfId="10890" xr:uid="{D9F3B86C-E625-4FF0-ABA6-875B75E6F9BD}"/>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42EB1C1E-8700-4803-B51D-A5296E32B5C6}"/>
    <cellStyle name="20% - Accent5 3 6 2 3" xfId="13448" xr:uid="{C1EDF532-C9CC-4031-9393-EE941347EDBE}"/>
    <cellStyle name="20% - Accent5 3 6 3" xfId="6194" xr:uid="{00000000-0005-0000-0000-0000F6020000}"/>
    <cellStyle name="20% - Accent5 3 6 3 2" xfId="15520" xr:uid="{6D49FA64-F605-496F-9175-C84C4241AF37}"/>
    <cellStyle name="20% - Accent5 3 6 4" xfId="11303" xr:uid="{497EB44D-4C72-4697-83FF-7BBC420414C1}"/>
    <cellStyle name="20% - Accent5 3 7" xfId="2301" xr:uid="{00000000-0005-0000-0000-0000F7020000}"/>
    <cellStyle name="20% - Accent5 3 7 2" xfId="6607" xr:uid="{00000000-0005-0000-0000-0000F8020000}"/>
    <cellStyle name="20% - Accent5 3 7 2 2" xfId="15933" xr:uid="{632A516E-CBDD-46E9-ADDD-EB3CA8321429}"/>
    <cellStyle name="20% - Accent5 3 7 3" xfId="11716" xr:uid="{2F7B1842-675B-452C-9FE4-C2FDD01ECB37}"/>
    <cellStyle name="20% - Accent5 3 8" xfId="4541" xr:uid="{00000000-0005-0000-0000-0000F9020000}"/>
    <cellStyle name="20% - Accent5 3 8 2" xfId="13867" xr:uid="{B6CC0DB6-190C-4C72-810E-3CDB4B083964}"/>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F53308A2-C9D8-4A47-867A-2BB2108E34EA}"/>
    <cellStyle name="20% - Accent5 4 2 2 3" xfId="12211" xr:uid="{C1149618-2C88-4120-86D8-391E6A55C1FF}"/>
    <cellStyle name="20% - Accent5 4 2 3" xfId="4957" xr:uid="{00000000-0005-0000-0000-0000FE020000}"/>
    <cellStyle name="20% - Accent5 4 2 3 2" xfId="14283" xr:uid="{4A537294-D43B-4188-815D-F0C3901A381F}"/>
    <cellStyle name="20% - Accent5 4 2 4" xfId="9380" xr:uid="{1C764D65-D71C-4646-AD86-15F83BDBF498}"/>
    <cellStyle name="20% - Accent5 4 2 5" xfId="10066" xr:uid="{5D31D09A-8EAA-44A7-A8FF-CA5B5C2FAF25}"/>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59A48D71-8296-4451-B35C-0236FB2A1424}"/>
    <cellStyle name="20% - Accent5 4 3 2 3" xfId="12624" xr:uid="{4498A7E4-B8A7-48FA-B52A-78C19156DD52}"/>
    <cellStyle name="20% - Accent5 4 3 3" xfId="5370" xr:uid="{00000000-0005-0000-0000-000002030000}"/>
    <cellStyle name="20% - Accent5 4 3 3 2" xfId="14696" xr:uid="{96127828-2A6F-4572-897E-C26F0FBAC38C}"/>
    <cellStyle name="20% - Accent5 4 3 4" xfId="10479" xr:uid="{398F685B-04F8-46D0-83E7-89C1CE370AD4}"/>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31AADE91-B58B-4AE4-95B8-FA0CCE3EC0A6}"/>
    <cellStyle name="20% - Accent5 4 4 2 3" xfId="13037" xr:uid="{0BC739B6-7AF5-4E9C-90E3-DCB63072A36D}"/>
    <cellStyle name="20% - Accent5 4 4 3" xfId="5783" xr:uid="{00000000-0005-0000-0000-000006030000}"/>
    <cellStyle name="20% - Accent5 4 4 3 2" xfId="15109" xr:uid="{E8CF7232-E26C-4824-A7D0-F826F0E50527}"/>
    <cellStyle name="20% - Accent5 4 4 4" xfId="10892" xr:uid="{19AF93AC-AC8E-4DB2-B7AF-A028CD50790A}"/>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1C508E4F-CA84-430E-9B3B-BA61976B841D}"/>
    <cellStyle name="20% - Accent5 4 5 2 3" xfId="13450" xr:uid="{DB2EC588-8490-493B-8AA4-F06A2481D9A8}"/>
    <cellStyle name="20% - Accent5 4 5 3" xfId="6196" xr:uid="{00000000-0005-0000-0000-00000A030000}"/>
    <cellStyle name="20% - Accent5 4 5 3 2" xfId="15522" xr:uid="{CB054B96-ED58-417B-8582-67D0222BFAF9}"/>
    <cellStyle name="20% - Accent5 4 5 4" xfId="11305" xr:uid="{15C0AA8C-445F-4131-AA1F-0912DEDF86F2}"/>
    <cellStyle name="20% - Accent5 4 6" xfId="2303" xr:uid="{00000000-0005-0000-0000-00000B030000}"/>
    <cellStyle name="20% - Accent5 4 6 2" xfId="6609" xr:uid="{00000000-0005-0000-0000-00000C030000}"/>
    <cellStyle name="20% - Accent5 4 6 2 2" xfId="15935" xr:uid="{C305F2D3-47A9-40A0-B447-0496277366EA}"/>
    <cellStyle name="20% - Accent5 4 6 3" xfId="11718" xr:uid="{34113EFE-0922-4BDC-9BB5-96DC402B361C}"/>
    <cellStyle name="20% - Accent5 4 7" xfId="4543" xr:uid="{00000000-0005-0000-0000-00000D030000}"/>
    <cellStyle name="20% - Accent5 4 7 2" xfId="13869" xr:uid="{025514B8-6AB3-4ADE-B1E8-454BA606DBFF}"/>
    <cellStyle name="20% - Accent5 4 8" xfId="8955" xr:uid="{8AD43D76-8747-44EC-8D3B-2720ADF9D1B1}"/>
    <cellStyle name="20% - Accent5 4 9" xfId="9652" xr:uid="{9121A7DD-A9F3-4DA4-BCA0-C10719CFD483}"/>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2043EEA1-A724-4DAC-937C-0AF67BF1B76C}"/>
    <cellStyle name="20% - Accent5 5 2 3" xfId="12204" xr:uid="{A6AD90D3-EB27-4228-94B4-62731E4D0D5E}"/>
    <cellStyle name="20% - Accent5 5 3" xfId="4950" xr:uid="{00000000-0005-0000-0000-000011030000}"/>
    <cellStyle name="20% - Accent5 5 3 2" xfId="14276" xr:uid="{FD94CB2E-1C3A-4497-ADCF-644143758E0D}"/>
    <cellStyle name="20% - Accent5 5 4" xfId="9188" xr:uid="{164CF7CE-7706-426C-90AA-4867A06E28BD}"/>
    <cellStyle name="20% - Accent5 5 5" xfId="10059" xr:uid="{D263B99F-4271-4284-BF26-3071023ECE6E}"/>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E5077648-C0F3-48F7-8A8E-E1215FDCB003}"/>
    <cellStyle name="20% - Accent5 6 2 3" xfId="12617" xr:uid="{2151C5B5-B0E9-4951-A48F-704F26315D2D}"/>
    <cellStyle name="20% - Accent5 6 3" xfId="5363" xr:uid="{00000000-0005-0000-0000-000015030000}"/>
    <cellStyle name="20% - Accent5 6 3 2" xfId="14689" xr:uid="{D6871B5B-27CD-4432-84F3-6E08107386F7}"/>
    <cellStyle name="20% - Accent5 6 4" xfId="10472" xr:uid="{8084AD7A-B561-4D33-9EBF-CAC8012EF4F2}"/>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0035F36D-5C61-48C8-9BDF-97D9AB960EAA}"/>
    <cellStyle name="20% - Accent5 7 2 3" xfId="13030" xr:uid="{AE21DC68-7034-4EF6-B166-B20BEC20C2C8}"/>
    <cellStyle name="20% - Accent5 7 3" xfId="5776" xr:uid="{00000000-0005-0000-0000-000019030000}"/>
    <cellStyle name="20% - Accent5 7 3 2" xfId="15102" xr:uid="{8A630796-168B-4467-8608-8130E95424EE}"/>
    <cellStyle name="20% - Accent5 7 4" xfId="10885" xr:uid="{0B6EA4AD-48E9-4B1F-BF66-4FEC34BD0A46}"/>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BD354B8B-5950-495E-AE11-DDCD681F176A}"/>
    <cellStyle name="20% - Accent5 8 2 3" xfId="13443" xr:uid="{D1D20702-4485-45D7-A3B7-D2E9599F06C9}"/>
    <cellStyle name="20% - Accent5 8 3" xfId="6189" xr:uid="{00000000-0005-0000-0000-00001D030000}"/>
    <cellStyle name="20% - Accent5 8 3 2" xfId="15515" xr:uid="{CFF5B22F-2AAE-484A-AD94-52A7A987A7DC}"/>
    <cellStyle name="20% - Accent5 8 4" xfId="11298" xr:uid="{1447082E-E796-412B-918B-8F90D4D172BA}"/>
    <cellStyle name="20% - Accent5 9" xfId="2296" xr:uid="{00000000-0005-0000-0000-00001E030000}"/>
    <cellStyle name="20% - Accent5 9 2" xfId="6602" xr:uid="{00000000-0005-0000-0000-00001F030000}"/>
    <cellStyle name="20% - Accent5 9 2 2" xfId="15928" xr:uid="{C60DA59F-55B0-4311-9454-767319B0E951}"/>
    <cellStyle name="20% - Accent5 9 3" xfId="11711" xr:uid="{91AFD499-CACB-4DBB-9022-F5D5448210B4}"/>
    <cellStyle name="20% - Accent6" xfId="41" builtinId="50" customBuiltin="1"/>
    <cellStyle name="20% - Accent6 10" xfId="4544" xr:uid="{00000000-0005-0000-0000-000021030000}"/>
    <cellStyle name="20% - Accent6 10 2" xfId="13870" xr:uid="{F5340D2E-0718-4513-AC3F-DB04633A236D}"/>
    <cellStyle name="20% - Accent6 11" xfId="8768" xr:uid="{5A1F1293-A19F-445F-908A-D9DBB6265CA0}"/>
    <cellStyle name="20% - Accent6 12" xfId="9653" xr:uid="{E01D15FF-14FD-4666-9BFC-4A00422A91FA}"/>
    <cellStyle name="20% - Accent6 2" xfId="42" xr:uid="{00000000-0005-0000-0000-000022030000}"/>
    <cellStyle name="20% - Accent6 2 10" xfId="8795" xr:uid="{9A35B19E-8802-437A-ABDC-7B06A4E07F58}"/>
    <cellStyle name="20% - Accent6 2 11" xfId="9654" xr:uid="{BA57EEAB-EDAB-4659-A8EB-9B84786CE992}"/>
    <cellStyle name="20% - Accent6 2 2" xfId="43" xr:uid="{00000000-0005-0000-0000-000023030000}"/>
    <cellStyle name="20% - Accent6 2 2 10" xfId="9655" xr:uid="{25793A3A-913F-4FC0-83FA-E00927EAA51C}"/>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59212002-484B-4ECA-A61A-EDFEB8F62494}"/>
    <cellStyle name="20% - Accent6 2 2 2 2 2 3" xfId="12215" xr:uid="{683E5BC5-CE4A-4C48-B60C-A86F024AED92}"/>
    <cellStyle name="20% - Accent6 2 2 2 2 3" xfId="4961" xr:uid="{00000000-0005-0000-0000-000028030000}"/>
    <cellStyle name="20% - Accent6 2 2 2 2 3 2" xfId="14287" xr:uid="{BAC4073B-80F2-4F5D-9902-310B40C02031}"/>
    <cellStyle name="20% - Accent6 2 2 2 2 4" xfId="9530" xr:uid="{AFD3EE0E-70EF-4C1B-B994-7B8E7E8187BC}"/>
    <cellStyle name="20% - Accent6 2 2 2 2 5" xfId="10070" xr:uid="{291FAEF1-2D07-48BC-94D5-8120CE9417C2}"/>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AB96B72C-373B-4E94-97E3-F1F126636C2F}"/>
    <cellStyle name="20% - Accent6 2 2 2 3 2 3" xfId="12628" xr:uid="{4AF3A002-A2F1-486E-B0D8-250BDA597334}"/>
    <cellStyle name="20% - Accent6 2 2 2 3 3" xfId="5374" xr:uid="{00000000-0005-0000-0000-00002C030000}"/>
    <cellStyle name="20% - Accent6 2 2 2 3 3 2" xfId="14700" xr:uid="{5386DFB8-10B6-40F3-A05B-CC93D1D8EFD8}"/>
    <cellStyle name="20% - Accent6 2 2 2 3 4" xfId="10483" xr:uid="{AD44F6F4-051D-4540-AEBA-604AEEA5F997}"/>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D0709127-41BF-41C3-97D3-F70B62E29462}"/>
    <cellStyle name="20% - Accent6 2 2 2 4 2 3" xfId="13041" xr:uid="{43F04BF0-02A5-423C-9D98-C74C23F4E25A}"/>
    <cellStyle name="20% - Accent6 2 2 2 4 3" xfId="5787" xr:uid="{00000000-0005-0000-0000-000030030000}"/>
    <cellStyle name="20% - Accent6 2 2 2 4 3 2" xfId="15113" xr:uid="{54E22604-1973-4FFC-A8E6-2FC5FDF57A41}"/>
    <cellStyle name="20% - Accent6 2 2 2 4 4" xfId="10896" xr:uid="{EF4D6F6C-EF96-4752-8DA9-0140E8200892}"/>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DD26FA23-E84B-4CE5-B1ED-95A7CED2A5EF}"/>
    <cellStyle name="20% - Accent6 2 2 2 5 2 3" xfId="13454" xr:uid="{BECAF0FE-51C7-476D-A804-42CD2255EAFB}"/>
    <cellStyle name="20% - Accent6 2 2 2 5 3" xfId="6200" xr:uid="{00000000-0005-0000-0000-000034030000}"/>
    <cellStyle name="20% - Accent6 2 2 2 5 3 2" xfId="15526" xr:uid="{38872F91-5029-428D-98EA-EA1148A07566}"/>
    <cellStyle name="20% - Accent6 2 2 2 5 4" xfId="11309" xr:uid="{0A9CBD49-CCB5-4740-BDC4-77F132B90771}"/>
    <cellStyle name="20% - Accent6 2 2 2 6" xfId="2307" xr:uid="{00000000-0005-0000-0000-000035030000}"/>
    <cellStyle name="20% - Accent6 2 2 2 6 2" xfId="6613" xr:uid="{00000000-0005-0000-0000-000036030000}"/>
    <cellStyle name="20% - Accent6 2 2 2 6 2 2" xfId="15939" xr:uid="{1D587C82-478B-4D38-962B-622E4A66BE9B}"/>
    <cellStyle name="20% - Accent6 2 2 2 6 3" xfId="11722" xr:uid="{CC24AAE5-39D3-43D5-AE50-05251A575181}"/>
    <cellStyle name="20% - Accent6 2 2 2 7" xfId="4547" xr:uid="{00000000-0005-0000-0000-000037030000}"/>
    <cellStyle name="20% - Accent6 2 2 2 7 2" xfId="13873" xr:uid="{4272E25C-47E9-4C7A-A0F5-DD6C7A276AEE}"/>
    <cellStyle name="20% - Accent6 2 2 2 8" xfId="9105" xr:uid="{2D3B6B01-F2FB-4D08-A7F9-9902961EFB46}"/>
    <cellStyle name="20% - Accent6 2 2 2 9" xfId="9656" xr:uid="{4AEBF61A-4F43-4DB5-A01D-BD659FD148EA}"/>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C292133B-14B2-4424-A82D-B03DFD3A47FD}"/>
    <cellStyle name="20% - Accent6 2 2 3 2 3" xfId="12214" xr:uid="{0C211C54-1B07-40DB-82BA-37C18D17C385}"/>
    <cellStyle name="20% - Accent6 2 2 3 3" xfId="4960" xr:uid="{00000000-0005-0000-0000-00003B030000}"/>
    <cellStyle name="20% - Accent6 2 2 3 3 2" xfId="14286" xr:uid="{B3C7474D-6BCD-4B1B-97AE-00BC0E776854}"/>
    <cellStyle name="20% - Accent6 2 2 3 4" xfId="9323" xr:uid="{93CC3C58-EC1C-4AC6-8D02-E00EFD80A494}"/>
    <cellStyle name="20% - Accent6 2 2 3 5" xfId="10069" xr:uid="{3FF34EF1-DCB4-4959-B6A4-4EE797BB7F8E}"/>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EF600095-DBD0-4463-80A6-30CD344013D4}"/>
    <cellStyle name="20% - Accent6 2 2 4 2 3" xfId="12627" xr:uid="{C709B23B-301A-49CE-9E4A-C8466F0A1AE2}"/>
    <cellStyle name="20% - Accent6 2 2 4 3" xfId="5373" xr:uid="{00000000-0005-0000-0000-00003F030000}"/>
    <cellStyle name="20% - Accent6 2 2 4 3 2" xfId="14699" xr:uid="{09E09ECB-B218-49A1-A36A-D68D020DC9D5}"/>
    <cellStyle name="20% - Accent6 2 2 4 4" xfId="10482" xr:uid="{93ED1E88-C8C5-426E-91C7-0DDB46292052}"/>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98B6D6C1-F86A-4724-814D-8EFB23E90D64}"/>
    <cellStyle name="20% - Accent6 2 2 5 2 3" xfId="13040" xr:uid="{53ABA969-6131-45BD-85FF-12BE908A71A5}"/>
    <cellStyle name="20% - Accent6 2 2 5 3" xfId="5786" xr:uid="{00000000-0005-0000-0000-000043030000}"/>
    <cellStyle name="20% - Accent6 2 2 5 3 2" xfId="15112" xr:uid="{0FDF7546-5E35-4918-AE45-4CCEE0E804B8}"/>
    <cellStyle name="20% - Accent6 2 2 5 4" xfId="10895" xr:uid="{8FD3B89A-0794-4BA0-983F-85D7E28BF40A}"/>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BB5E4544-403F-4247-889B-B0EF02043304}"/>
    <cellStyle name="20% - Accent6 2 2 6 2 3" xfId="13453" xr:uid="{86F22BB7-44AB-47C2-B50C-9820D939BDFF}"/>
    <cellStyle name="20% - Accent6 2 2 6 3" xfId="6199" xr:uid="{00000000-0005-0000-0000-000047030000}"/>
    <cellStyle name="20% - Accent6 2 2 6 3 2" xfId="15525" xr:uid="{B381B81F-34D7-4C4E-9207-3287C51103F5}"/>
    <cellStyle name="20% - Accent6 2 2 6 4" xfId="11308" xr:uid="{EE03F358-18DF-4AD9-8567-2BF39653DF3D}"/>
    <cellStyle name="20% - Accent6 2 2 7" xfId="2306" xr:uid="{00000000-0005-0000-0000-000048030000}"/>
    <cellStyle name="20% - Accent6 2 2 7 2" xfId="6612" xr:uid="{00000000-0005-0000-0000-000049030000}"/>
    <cellStyle name="20% - Accent6 2 2 7 2 2" xfId="15938" xr:uid="{75A98F77-BC37-4592-9222-3F768F39111C}"/>
    <cellStyle name="20% - Accent6 2 2 7 3" xfId="11721" xr:uid="{288E5493-DAE9-4502-97C6-6BE9E534243B}"/>
    <cellStyle name="20% - Accent6 2 2 8" xfId="4546" xr:uid="{00000000-0005-0000-0000-00004A030000}"/>
    <cellStyle name="20% - Accent6 2 2 8 2" xfId="13872" xr:uid="{0CFE53A4-7C8E-4DBB-8A91-5D46B3D97F25}"/>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C53A004E-B535-40DE-A4B9-3D4015C5EAD5}"/>
    <cellStyle name="20% - Accent6 2 3 2 2 3" xfId="12216" xr:uid="{35560674-253A-4E46-8741-DD151BF87FB0}"/>
    <cellStyle name="20% - Accent6 2 3 2 3" xfId="4962" xr:uid="{00000000-0005-0000-0000-00004F030000}"/>
    <cellStyle name="20% - Accent6 2 3 2 3 2" xfId="14288" xr:uid="{9DE24C25-C1F5-4975-AC66-C5F755007B18}"/>
    <cellStyle name="20% - Accent6 2 3 2 4" xfId="9427" xr:uid="{009378B6-C0A8-4C7C-A9A2-F91104842D93}"/>
    <cellStyle name="20% - Accent6 2 3 2 5" xfId="10071" xr:uid="{F99014E7-D986-4405-BD82-5B11E4F64BA0}"/>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4818F3C2-0A8F-4485-B006-7ADA27CF63C9}"/>
    <cellStyle name="20% - Accent6 2 3 3 2 3" xfId="12629" xr:uid="{E6FCAB93-25AB-447D-A499-83568317AA90}"/>
    <cellStyle name="20% - Accent6 2 3 3 3" xfId="5375" xr:uid="{00000000-0005-0000-0000-000053030000}"/>
    <cellStyle name="20% - Accent6 2 3 3 3 2" xfId="14701" xr:uid="{905120CF-6884-4FB3-9B72-796EDD2E191E}"/>
    <cellStyle name="20% - Accent6 2 3 3 4" xfId="10484" xr:uid="{07868ACC-79E3-4EA4-999D-26842406F32E}"/>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B1AFF4C2-BA65-4818-AE0E-37AA896D95E5}"/>
    <cellStyle name="20% - Accent6 2 3 4 2 3" xfId="13042" xr:uid="{DD84C489-D3E1-4E49-AA2E-A6409B05FA4F}"/>
    <cellStyle name="20% - Accent6 2 3 4 3" xfId="5788" xr:uid="{00000000-0005-0000-0000-000057030000}"/>
    <cellStyle name="20% - Accent6 2 3 4 3 2" xfId="15114" xr:uid="{034CBBC5-8782-4598-A00D-B3C3A1A021CF}"/>
    <cellStyle name="20% - Accent6 2 3 4 4" xfId="10897" xr:uid="{D6E03DD2-432B-4867-A970-E850BDB802EF}"/>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108EF7B0-D3E4-46A9-B441-9EC37961C405}"/>
    <cellStyle name="20% - Accent6 2 3 5 2 3" xfId="13455" xr:uid="{2037A6F4-7D65-44DF-B20B-E0C1A1469EBB}"/>
    <cellStyle name="20% - Accent6 2 3 5 3" xfId="6201" xr:uid="{00000000-0005-0000-0000-00005B030000}"/>
    <cellStyle name="20% - Accent6 2 3 5 3 2" xfId="15527" xr:uid="{2737BC6D-9E15-4A3C-BE54-C4F467673711}"/>
    <cellStyle name="20% - Accent6 2 3 5 4" xfId="11310" xr:uid="{8622631E-1D49-4ECB-866D-D2F41383C37D}"/>
    <cellStyle name="20% - Accent6 2 3 6" xfId="2308" xr:uid="{00000000-0005-0000-0000-00005C030000}"/>
    <cellStyle name="20% - Accent6 2 3 6 2" xfId="6614" xr:uid="{00000000-0005-0000-0000-00005D030000}"/>
    <cellStyle name="20% - Accent6 2 3 6 2 2" xfId="15940" xr:uid="{0F6D5628-71EF-4676-A590-92A30B974793}"/>
    <cellStyle name="20% - Accent6 2 3 6 3" xfId="11723" xr:uid="{52D5E6D1-27AD-42C5-BE83-586F7960FDE0}"/>
    <cellStyle name="20% - Accent6 2 3 7" xfId="4548" xr:uid="{00000000-0005-0000-0000-00005E030000}"/>
    <cellStyle name="20% - Accent6 2 3 7 2" xfId="13874" xr:uid="{82979B22-4997-4C9A-8BAF-D8E9637B8A93}"/>
    <cellStyle name="20% - Accent6 2 3 8" xfId="9002" xr:uid="{F69877AB-868C-474F-8F88-C5F2F1F2C041}"/>
    <cellStyle name="20% - Accent6 2 3 9" xfId="9657" xr:uid="{618EACF2-7722-4592-AE85-AE81DEDB6A02}"/>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456B186A-E715-4613-A411-A01F5869D7FC}"/>
    <cellStyle name="20% - Accent6 2 4 2 3" xfId="12213" xr:uid="{3774D9E0-761C-444B-B9D4-987D415CB2B7}"/>
    <cellStyle name="20% - Accent6 2 4 3" xfId="4959" xr:uid="{00000000-0005-0000-0000-000062030000}"/>
    <cellStyle name="20% - Accent6 2 4 3 2" xfId="14285" xr:uid="{15D27AE6-589A-4AE1-8391-C581B0F91633}"/>
    <cellStyle name="20% - Accent6 2 4 4" xfId="9219" xr:uid="{C8AD75F8-261B-45C4-93F0-0E0A49EEEF79}"/>
    <cellStyle name="20% - Accent6 2 4 5" xfId="10068" xr:uid="{84EAD615-C7AE-4035-8421-E171832ADEF8}"/>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0C83B8A2-4B7D-4941-AF18-BD056F8EC241}"/>
    <cellStyle name="20% - Accent6 2 5 2 3" xfId="12626" xr:uid="{3D730920-E219-4A56-834E-FC41DE370082}"/>
    <cellStyle name="20% - Accent6 2 5 3" xfId="5372" xr:uid="{00000000-0005-0000-0000-000066030000}"/>
    <cellStyle name="20% - Accent6 2 5 3 2" xfId="14698" xr:uid="{44D4B0EE-707C-4D5B-8DBB-B420974AA2D5}"/>
    <cellStyle name="20% - Accent6 2 5 4" xfId="10481" xr:uid="{19B95358-4578-4EAE-BA5B-9FDB196790E5}"/>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34E5D09F-A493-4384-9CAF-A6E3F653407C}"/>
    <cellStyle name="20% - Accent6 2 6 2 3" xfId="13039" xr:uid="{7E774E13-A3CC-4696-8B10-14A6725F8BB8}"/>
    <cellStyle name="20% - Accent6 2 6 3" xfId="5785" xr:uid="{00000000-0005-0000-0000-00006A030000}"/>
    <cellStyle name="20% - Accent6 2 6 3 2" xfId="15111" xr:uid="{4398B996-E4FA-41AD-B71E-23FC64B8EC44}"/>
    <cellStyle name="20% - Accent6 2 6 4" xfId="10894" xr:uid="{8A41A56E-A1E1-4D88-A0E6-578A21521C4C}"/>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9C610AC8-5C09-4EDF-B347-0D96A61B9E99}"/>
    <cellStyle name="20% - Accent6 2 7 2 3" xfId="13452" xr:uid="{F4404B34-3058-496C-90EE-91C4D8485A1D}"/>
    <cellStyle name="20% - Accent6 2 7 3" xfId="6198" xr:uid="{00000000-0005-0000-0000-00006E030000}"/>
    <cellStyle name="20% - Accent6 2 7 3 2" xfId="15524" xr:uid="{10A6878A-DC4E-4132-855A-48FD0BA05CA2}"/>
    <cellStyle name="20% - Accent6 2 7 4" xfId="11307" xr:uid="{D6C1C461-C8BE-4685-8417-1260680C9670}"/>
    <cellStyle name="20% - Accent6 2 8" xfId="2305" xr:uid="{00000000-0005-0000-0000-00006F030000}"/>
    <cellStyle name="20% - Accent6 2 8 2" xfId="6611" xr:uid="{00000000-0005-0000-0000-000070030000}"/>
    <cellStyle name="20% - Accent6 2 8 2 2" xfId="15937" xr:uid="{AD344617-DEBA-47C6-BC54-9A07A307F24F}"/>
    <cellStyle name="20% - Accent6 2 8 3" xfId="11720" xr:uid="{B7E63E49-A752-4A7C-8954-97398149F90E}"/>
    <cellStyle name="20% - Accent6 2 9" xfId="4545" xr:uid="{00000000-0005-0000-0000-000071030000}"/>
    <cellStyle name="20% - Accent6 2 9 2" xfId="13871" xr:uid="{937753B0-3C98-442E-8341-1D90989F160E}"/>
    <cellStyle name="20% - Accent6 3" xfId="46" xr:uid="{00000000-0005-0000-0000-000072030000}"/>
    <cellStyle name="20% - Accent6 3 10" xfId="9658" xr:uid="{62E8475C-04B9-45BF-A0BA-2D828A3A663A}"/>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F6C5FBFB-D552-4D69-A55A-72670F27557B}"/>
    <cellStyle name="20% - Accent6 3 2 2 2 3" xfId="12218" xr:uid="{8972D46C-DB20-49C2-BE2F-8C419DECF3B5}"/>
    <cellStyle name="20% - Accent6 3 2 2 3" xfId="4964" xr:uid="{00000000-0005-0000-0000-000077030000}"/>
    <cellStyle name="20% - Accent6 3 2 2 3 2" xfId="14290" xr:uid="{ED1A441C-38FF-4D1F-A410-9EB3F4916808}"/>
    <cellStyle name="20% - Accent6 3 2 2 4" xfId="9503" xr:uid="{A5A3EDF8-16EA-4A86-8795-C3BA46FE244A}"/>
    <cellStyle name="20% - Accent6 3 2 2 5" xfId="10073" xr:uid="{60415040-1DC9-4B26-9FD9-2288D583CE00}"/>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19946A31-B7DE-4756-80D2-78A9A39802D9}"/>
    <cellStyle name="20% - Accent6 3 2 3 2 3" xfId="12631" xr:uid="{5B1B8FD3-CA0B-4582-8A2A-29782A9A70E7}"/>
    <cellStyle name="20% - Accent6 3 2 3 3" xfId="5377" xr:uid="{00000000-0005-0000-0000-00007B030000}"/>
    <cellStyle name="20% - Accent6 3 2 3 3 2" xfId="14703" xr:uid="{28F58EB8-FFAC-4A4E-B0D3-86F51B007597}"/>
    <cellStyle name="20% - Accent6 3 2 3 4" xfId="10486" xr:uid="{8022E2EC-B80E-4429-A306-A8C2F9DABC54}"/>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05636EEE-E28F-4DCD-BC06-D65758EEF0B7}"/>
    <cellStyle name="20% - Accent6 3 2 4 2 3" xfId="13044" xr:uid="{8684F657-7E80-402F-A5AF-D469F729C340}"/>
    <cellStyle name="20% - Accent6 3 2 4 3" xfId="5790" xr:uid="{00000000-0005-0000-0000-00007F030000}"/>
    <cellStyle name="20% - Accent6 3 2 4 3 2" xfId="15116" xr:uid="{CF0EF058-4138-4310-AFDC-F5A891C1FD04}"/>
    <cellStyle name="20% - Accent6 3 2 4 4" xfId="10899" xr:uid="{B2253034-DCC7-4B0E-999A-0FF61F7B99EB}"/>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E1DDB5BA-4FBF-43B4-BCE4-6A82BB9919B4}"/>
    <cellStyle name="20% - Accent6 3 2 5 2 3" xfId="13457" xr:uid="{BD1B7CC7-C58D-4D1F-9EA3-56C56BB563F8}"/>
    <cellStyle name="20% - Accent6 3 2 5 3" xfId="6203" xr:uid="{00000000-0005-0000-0000-000083030000}"/>
    <cellStyle name="20% - Accent6 3 2 5 3 2" xfId="15529" xr:uid="{26C86DCA-84E9-4C48-A825-394AB21DA66C}"/>
    <cellStyle name="20% - Accent6 3 2 5 4" xfId="11312" xr:uid="{C4C3626F-32C7-4E86-9BD3-3D689527A843}"/>
    <cellStyle name="20% - Accent6 3 2 6" xfId="2310" xr:uid="{00000000-0005-0000-0000-000084030000}"/>
    <cellStyle name="20% - Accent6 3 2 6 2" xfId="6616" xr:uid="{00000000-0005-0000-0000-000085030000}"/>
    <cellStyle name="20% - Accent6 3 2 6 2 2" xfId="15942" xr:uid="{5BAD9181-4C81-4466-9B87-AEE883DCFAD9}"/>
    <cellStyle name="20% - Accent6 3 2 6 3" xfId="11725" xr:uid="{7190D530-F104-4814-B61C-2B969B85A48A}"/>
    <cellStyle name="20% - Accent6 3 2 7" xfId="4550" xr:uid="{00000000-0005-0000-0000-000086030000}"/>
    <cellStyle name="20% - Accent6 3 2 7 2" xfId="13876" xr:uid="{695C7222-E20C-494B-98E8-1EECF0037F2C}"/>
    <cellStyle name="20% - Accent6 3 2 8" xfId="9078" xr:uid="{55C63253-C10A-44F0-A9A1-D3E9AD1B1E77}"/>
    <cellStyle name="20% - Accent6 3 2 9" xfId="9659" xr:uid="{AFF98BDF-8935-41E0-8E5F-EC141C7B2EB9}"/>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9748A938-ADEB-4A80-A434-6FEFBED7003B}"/>
    <cellStyle name="20% - Accent6 3 3 2 3" xfId="12217" xr:uid="{B8587C24-FD6A-4F57-B5F1-F96827EEE772}"/>
    <cellStyle name="20% - Accent6 3 3 3" xfId="4963" xr:uid="{00000000-0005-0000-0000-00008A030000}"/>
    <cellStyle name="20% - Accent6 3 3 3 2" xfId="14289" xr:uid="{F364A165-95F8-41BF-AB69-3E9B17507B68}"/>
    <cellStyle name="20% - Accent6 3 3 4" xfId="9296" xr:uid="{68DBDAD1-945F-459A-93CE-56D312D1EDE4}"/>
    <cellStyle name="20% - Accent6 3 3 5" xfId="10072" xr:uid="{D7E6A4FE-24A5-4CE5-A574-829D6482D0C1}"/>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C4AECDD4-86C6-4045-AA35-6A3EBCE56D7A}"/>
    <cellStyle name="20% - Accent6 3 4 2 3" xfId="12630" xr:uid="{0C29FE6C-3AB7-4053-8AE0-0B907BD587C6}"/>
    <cellStyle name="20% - Accent6 3 4 3" xfId="5376" xr:uid="{00000000-0005-0000-0000-00008E030000}"/>
    <cellStyle name="20% - Accent6 3 4 3 2" xfId="14702" xr:uid="{791582FF-BF13-42DD-8F7E-ABDF4F5578CC}"/>
    <cellStyle name="20% - Accent6 3 4 4" xfId="10485" xr:uid="{D116637F-BDC9-4FBF-AD47-034354FDDE89}"/>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38E61E81-44D7-48EA-8809-8AE8FE130038}"/>
    <cellStyle name="20% - Accent6 3 5 2 3" xfId="13043" xr:uid="{515C76ED-E11C-49FB-8144-B339398A3C9A}"/>
    <cellStyle name="20% - Accent6 3 5 3" xfId="5789" xr:uid="{00000000-0005-0000-0000-000092030000}"/>
    <cellStyle name="20% - Accent6 3 5 3 2" xfId="15115" xr:uid="{3F3038A6-0031-4D17-A1BB-D8D3324915B7}"/>
    <cellStyle name="20% - Accent6 3 5 4" xfId="10898" xr:uid="{8608EB76-6B1A-4FD5-9B82-FEA0F504299C}"/>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68C71FA1-FAAB-4BA9-90FB-039B18BE00CE}"/>
    <cellStyle name="20% - Accent6 3 6 2 3" xfId="13456" xr:uid="{194CB81D-08ED-44BE-B5C5-4EC21B628C48}"/>
    <cellStyle name="20% - Accent6 3 6 3" xfId="6202" xr:uid="{00000000-0005-0000-0000-000096030000}"/>
    <cellStyle name="20% - Accent6 3 6 3 2" xfId="15528" xr:uid="{4B62633B-691A-43DC-AF05-C12F4E83C442}"/>
    <cellStyle name="20% - Accent6 3 6 4" xfId="11311" xr:uid="{3710C99F-5255-45B7-8D69-2294F06422A0}"/>
    <cellStyle name="20% - Accent6 3 7" xfId="2309" xr:uid="{00000000-0005-0000-0000-000097030000}"/>
    <cellStyle name="20% - Accent6 3 7 2" xfId="6615" xr:uid="{00000000-0005-0000-0000-000098030000}"/>
    <cellStyle name="20% - Accent6 3 7 2 2" xfId="15941" xr:uid="{E89A9282-F3EA-4B87-8B6D-C65A6198E8CB}"/>
    <cellStyle name="20% - Accent6 3 7 3" xfId="11724" xr:uid="{EFACB495-1AB2-4C9A-BCCC-B3E1D106626F}"/>
    <cellStyle name="20% - Accent6 3 8" xfId="4549" xr:uid="{00000000-0005-0000-0000-000099030000}"/>
    <cellStyle name="20% - Accent6 3 8 2" xfId="13875" xr:uid="{ED85C9DF-83E9-4BD4-896B-2323C44336CC}"/>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D2FA566D-1577-43E4-8F10-46D0DA1C4428}"/>
    <cellStyle name="20% - Accent6 4 2 2 3" xfId="12219" xr:uid="{13907CFB-EF02-46A1-830D-1370C3FB5424}"/>
    <cellStyle name="20% - Accent6 4 2 3" xfId="4965" xr:uid="{00000000-0005-0000-0000-00009E030000}"/>
    <cellStyle name="20% - Accent6 4 2 3 2" xfId="14291" xr:uid="{0331293A-7D5A-481A-AAC7-84201CAB80E0}"/>
    <cellStyle name="20% - Accent6 4 2 4" xfId="9382" xr:uid="{704ED43C-A59A-4E80-A03F-B933767E3A55}"/>
    <cellStyle name="20% - Accent6 4 2 5" xfId="10074" xr:uid="{E9FCF6E2-2D90-4D9E-AE0B-9A952ECC000F}"/>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F0201E56-59A9-4877-81C1-706093222C21}"/>
    <cellStyle name="20% - Accent6 4 3 2 3" xfId="12632" xr:uid="{19392A25-2632-4CDC-9148-AD0FB21B540E}"/>
    <cellStyle name="20% - Accent6 4 3 3" xfId="5378" xr:uid="{00000000-0005-0000-0000-0000A2030000}"/>
    <cellStyle name="20% - Accent6 4 3 3 2" xfId="14704" xr:uid="{30F84786-109B-48CD-A6D8-D6C3503EBA44}"/>
    <cellStyle name="20% - Accent6 4 3 4" xfId="10487" xr:uid="{AC7CE918-382A-4F3E-9AC2-F949D4E3F124}"/>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775423C2-0193-412C-B12C-C776974C8EC3}"/>
    <cellStyle name="20% - Accent6 4 4 2 3" xfId="13045" xr:uid="{80AAC9D3-BC88-4C27-BEAB-7BD9A329662B}"/>
    <cellStyle name="20% - Accent6 4 4 3" xfId="5791" xr:uid="{00000000-0005-0000-0000-0000A6030000}"/>
    <cellStyle name="20% - Accent6 4 4 3 2" xfId="15117" xr:uid="{4A2F86D7-D413-47FE-AB62-AC305595EF23}"/>
    <cellStyle name="20% - Accent6 4 4 4" xfId="10900" xr:uid="{73924D35-84DB-4F65-8456-805B1A359B65}"/>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045FD7F0-3202-4E84-A4BA-AA634DDC29C3}"/>
    <cellStyle name="20% - Accent6 4 5 2 3" xfId="13458" xr:uid="{0F064FA0-E086-417F-898C-8D8AE88B0E63}"/>
    <cellStyle name="20% - Accent6 4 5 3" xfId="6204" xr:uid="{00000000-0005-0000-0000-0000AA030000}"/>
    <cellStyle name="20% - Accent6 4 5 3 2" xfId="15530" xr:uid="{2EEA6F61-B1B9-4FB6-BFDB-23B683D82ED5}"/>
    <cellStyle name="20% - Accent6 4 5 4" xfId="11313" xr:uid="{8AB5446E-8EFA-4E37-9180-BA57A3F85660}"/>
    <cellStyle name="20% - Accent6 4 6" xfId="2311" xr:uid="{00000000-0005-0000-0000-0000AB030000}"/>
    <cellStyle name="20% - Accent6 4 6 2" xfId="6617" xr:uid="{00000000-0005-0000-0000-0000AC030000}"/>
    <cellStyle name="20% - Accent6 4 6 2 2" xfId="15943" xr:uid="{3778AAA5-C757-43A1-9548-18F8251B402D}"/>
    <cellStyle name="20% - Accent6 4 6 3" xfId="11726" xr:uid="{785779E3-ABD1-4FE3-8E40-85B25E4D9342}"/>
    <cellStyle name="20% - Accent6 4 7" xfId="4551" xr:uid="{00000000-0005-0000-0000-0000AD030000}"/>
    <cellStyle name="20% - Accent6 4 7 2" xfId="13877" xr:uid="{6DA2CD11-ACFE-4C12-A25E-C389D215D32E}"/>
    <cellStyle name="20% - Accent6 4 8" xfId="8957" xr:uid="{03E1DA3A-6A3F-4C0D-9844-2D38E7BA13BC}"/>
    <cellStyle name="20% - Accent6 4 9" xfId="9660" xr:uid="{25FADF3C-6B0F-4615-9190-616E4636B356}"/>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DA0F50A2-14EE-4DDD-96E1-A13E57F60E93}"/>
    <cellStyle name="20% - Accent6 5 2 3" xfId="12212" xr:uid="{0F52345D-CF23-4F14-9A90-4E654189AB0E}"/>
    <cellStyle name="20% - Accent6 5 3" xfId="4958" xr:uid="{00000000-0005-0000-0000-0000B1030000}"/>
    <cellStyle name="20% - Accent6 5 3 2" xfId="14284" xr:uid="{D0E44DB0-771A-4D08-B2E7-E6B062D48EDF}"/>
    <cellStyle name="20% - Accent6 5 4" xfId="9191" xr:uid="{C812E2E5-5572-4E86-9CB6-C7C53792C044}"/>
    <cellStyle name="20% - Accent6 5 5" xfId="10067" xr:uid="{47716256-354B-4D04-8F45-CB69EF8E5C7E}"/>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0CCC7F04-F3E0-4EE4-AF70-71113C2D5E38}"/>
    <cellStyle name="20% - Accent6 6 2 3" xfId="12625" xr:uid="{97270864-70FE-4E34-B923-36D815BB558A}"/>
    <cellStyle name="20% - Accent6 6 3" xfId="5371" xr:uid="{00000000-0005-0000-0000-0000B5030000}"/>
    <cellStyle name="20% - Accent6 6 3 2" xfId="14697" xr:uid="{675FD6FE-BC0E-4E2E-A8F0-E0DCC73F454F}"/>
    <cellStyle name="20% - Accent6 6 4" xfId="10480" xr:uid="{082FD9CF-3EB6-4AE3-A72A-4CB4C989D209}"/>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9C52726D-7DFF-4290-B4E9-91F9AF2B8E82}"/>
    <cellStyle name="20% - Accent6 7 2 3" xfId="13038" xr:uid="{3BE08999-7507-40BD-9B80-19D02935C7F9}"/>
    <cellStyle name="20% - Accent6 7 3" xfId="5784" xr:uid="{00000000-0005-0000-0000-0000B9030000}"/>
    <cellStyle name="20% - Accent6 7 3 2" xfId="15110" xr:uid="{9FC64A86-3A53-4CB5-B963-CB72630F16D1}"/>
    <cellStyle name="20% - Accent6 7 4" xfId="10893" xr:uid="{08DD8307-0ECB-4815-8545-66A61A68A272}"/>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2AA32C13-4F22-4945-9AEC-CDFE685DAFC4}"/>
    <cellStyle name="20% - Accent6 8 2 3" xfId="13451" xr:uid="{FBA7731D-9199-40F0-A2D1-E4B8D33B78F5}"/>
    <cellStyle name="20% - Accent6 8 3" xfId="6197" xr:uid="{00000000-0005-0000-0000-0000BD030000}"/>
    <cellStyle name="20% - Accent6 8 3 2" xfId="15523" xr:uid="{BDE9D988-ED0B-45DF-8E3F-58AFD1B2BD6A}"/>
    <cellStyle name="20% - Accent6 8 4" xfId="11306" xr:uid="{7C959A77-DCCC-4837-AEBA-065BC7CE368D}"/>
    <cellStyle name="20% - Accent6 9" xfId="2304" xr:uid="{00000000-0005-0000-0000-0000BE030000}"/>
    <cellStyle name="20% - Accent6 9 2" xfId="6610" xr:uid="{00000000-0005-0000-0000-0000BF030000}"/>
    <cellStyle name="20% - Accent6 9 2 2" xfId="15936" xr:uid="{83F06A25-A2A5-4861-9EB9-C7AD16E9C957}"/>
    <cellStyle name="20% - Accent6 9 3" xfId="11719" xr:uid="{48A8A076-1D1D-428A-8246-6A091198CBA1}"/>
    <cellStyle name="40% - Accent1" xfId="49" builtinId="31" customBuiltin="1"/>
    <cellStyle name="40% - Accent1 10" xfId="4552" xr:uid="{00000000-0005-0000-0000-0000C1030000}"/>
    <cellStyle name="40% - Accent1 10 2" xfId="13878" xr:uid="{23826DD6-BD47-4513-BB73-A30DBB070230}"/>
    <cellStyle name="40% - Accent1 11" xfId="8759" xr:uid="{E0AA4078-00FF-4C00-81ED-1F048AC6C533}"/>
    <cellStyle name="40% - Accent1 12" xfId="9661" xr:uid="{8E5F2119-499A-4BBA-A867-4A9A51AB5CDA}"/>
    <cellStyle name="40% - Accent1 2" xfId="50" xr:uid="{00000000-0005-0000-0000-0000C2030000}"/>
    <cellStyle name="40% - Accent1 2 10" xfId="8798" xr:uid="{82026451-631C-40CA-BC49-BE5DA2EA921A}"/>
    <cellStyle name="40% - Accent1 2 11" xfId="9662" xr:uid="{1304B481-3A4E-43D4-807C-E1BDA0BBEECA}"/>
    <cellStyle name="40% - Accent1 2 2" xfId="51" xr:uid="{00000000-0005-0000-0000-0000C3030000}"/>
    <cellStyle name="40% - Accent1 2 2 10" xfId="9663" xr:uid="{F523B767-B39E-4395-8878-046ED3EB89AF}"/>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DC687A6C-6219-4EF1-AA89-23224A33608B}"/>
    <cellStyle name="40% - Accent1 2 2 2 2 2 3" xfId="12223" xr:uid="{DCCB2F5C-C969-4C66-8FEF-5A903AE0C6F6}"/>
    <cellStyle name="40% - Accent1 2 2 2 2 3" xfId="4969" xr:uid="{00000000-0005-0000-0000-0000C8030000}"/>
    <cellStyle name="40% - Accent1 2 2 2 2 3 2" xfId="14295" xr:uid="{E89BFEE2-76CB-4A55-9F69-6F8877CF7673}"/>
    <cellStyle name="40% - Accent1 2 2 2 2 4" xfId="9533" xr:uid="{757B5AC4-115E-4B90-B4EA-505C31F9B178}"/>
    <cellStyle name="40% - Accent1 2 2 2 2 5" xfId="10078" xr:uid="{A269DBCB-F558-41B2-865E-110E7E255344}"/>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C5EEC01A-29F9-4209-B8C5-7FCCF4E24ACF}"/>
    <cellStyle name="40% - Accent1 2 2 2 3 2 3" xfId="12636" xr:uid="{9AFA229E-ADD3-432C-905F-14AFA77E8A34}"/>
    <cellStyle name="40% - Accent1 2 2 2 3 3" xfId="5382" xr:uid="{00000000-0005-0000-0000-0000CC030000}"/>
    <cellStyle name="40% - Accent1 2 2 2 3 3 2" xfId="14708" xr:uid="{881DCA98-39CA-46B9-B2B4-43DB105AB560}"/>
    <cellStyle name="40% - Accent1 2 2 2 3 4" xfId="10491" xr:uid="{748AC3F4-7DC8-4A5D-89B4-B6AB9A9B8FAB}"/>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B456A8DB-1111-4907-8B92-C8E882D09999}"/>
    <cellStyle name="40% - Accent1 2 2 2 4 2 3" xfId="13049" xr:uid="{630A2BB3-746F-4262-8502-FEFA5F377705}"/>
    <cellStyle name="40% - Accent1 2 2 2 4 3" xfId="5795" xr:uid="{00000000-0005-0000-0000-0000D0030000}"/>
    <cellStyle name="40% - Accent1 2 2 2 4 3 2" xfId="15121" xr:uid="{E371E6CD-C75F-477E-BE0D-5F03E0ED2984}"/>
    <cellStyle name="40% - Accent1 2 2 2 4 4" xfId="10904" xr:uid="{D70576C3-56CF-40EB-9EA4-C16DB4C819C1}"/>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C0E512E9-5F28-4649-8476-374D606E76E7}"/>
    <cellStyle name="40% - Accent1 2 2 2 5 2 3" xfId="13462" xr:uid="{C8AE830C-22F8-4457-BFF5-CF826A8FCA13}"/>
    <cellStyle name="40% - Accent1 2 2 2 5 3" xfId="6208" xr:uid="{00000000-0005-0000-0000-0000D4030000}"/>
    <cellStyle name="40% - Accent1 2 2 2 5 3 2" xfId="15534" xr:uid="{908B0080-8971-405C-97D9-1C7872E5AE41}"/>
    <cellStyle name="40% - Accent1 2 2 2 5 4" xfId="11317" xr:uid="{2BCE6531-796F-4FE0-B6B0-6BB4F668AA04}"/>
    <cellStyle name="40% - Accent1 2 2 2 6" xfId="2315" xr:uid="{00000000-0005-0000-0000-0000D5030000}"/>
    <cellStyle name="40% - Accent1 2 2 2 6 2" xfId="6621" xr:uid="{00000000-0005-0000-0000-0000D6030000}"/>
    <cellStyle name="40% - Accent1 2 2 2 6 2 2" xfId="15947" xr:uid="{601F1DE6-E0FA-4D75-AA41-18B7742162FD}"/>
    <cellStyle name="40% - Accent1 2 2 2 6 3" xfId="11730" xr:uid="{4C96C0B5-8645-40EA-9A4C-69D13A1CD961}"/>
    <cellStyle name="40% - Accent1 2 2 2 7" xfId="4555" xr:uid="{00000000-0005-0000-0000-0000D7030000}"/>
    <cellStyle name="40% - Accent1 2 2 2 7 2" xfId="13881" xr:uid="{86655B69-89F4-41BD-921B-45DFF08DC8CF}"/>
    <cellStyle name="40% - Accent1 2 2 2 8" xfId="9108" xr:uid="{1189B5E8-DD3C-4F9A-ACD3-DB853C0AC60B}"/>
    <cellStyle name="40% - Accent1 2 2 2 9" xfId="9664" xr:uid="{45DC2F31-2BFE-4E34-A162-DB9B538AB3E7}"/>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B33EA8CE-D751-4732-81B2-E3DC05F0B863}"/>
    <cellStyle name="40% - Accent1 2 2 3 2 3" xfId="12222" xr:uid="{4E57EA86-EC53-409C-9A48-E14EBB3252A3}"/>
    <cellStyle name="40% - Accent1 2 2 3 3" xfId="4968" xr:uid="{00000000-0005-0000-0000-0000DB030000}"/>
    <cellStyle name="40% - Accent1 2 2 3 3 2" xfId="14294" xr:uid="{D97C8F1B-F9D7-41AD-816C-276A2D0FCF7A}"/>
    <cellStyle name="40% - Accent1 2 2 3 4" xfId="9326" xr:uid="{6D693950-F4D3-4A82-8C01-49E2379281D4}"/>
    <cellStyle name="40% - Accent1 2 2 3 5" xfId="10077" xr:uid="{B2B8F2D4-091D-45C2-8A10-D3C6D61CE1DC}"/>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E56D2354-5047-4EBA-B149-3CC734D626AB}"/>
    <cellStyle name="40% - Accent1 2 2 4 2 3" xfId="12635" xr:uid="{8EF37778-CD61-425C-8126-6E20FB0F70D9}"/>
    <cellStyle name="40% - Accent1 2 2 4 3" xfId="5381" xr:uid="{00000000-0005-0000-0000-0000DF030000}"/>
    <cellStyle name="40% - Accent1 2 2 4 3 2" xfId="14707" xr:uid="{0CAEDB0E-2901-4B8A-B3EB-8657C6C46631}"/>
    <cellStyle name="40% - Accent1 2 2 4 4" xfId="10490" xr:uid="{4F0EE65E-6AD6-4436-A4AA-FB7D32397B9C}"/>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71B4C9D9-58D9-4318-83C8-9C39E3284AF0}"/>
    <cellStyle name="40% - Accent1 2 2 5 2 3" xfId="13048" xr:uid="{B37652E1-B104-4509-827A-72DA76063A1E}"/>
    <cellStyle name="40% - Accent1 2 2 5 3" xfId="5794" xr:uid="{00000000-0005-0000-0000-0000E3030000}"/>
    <cellStyle name="40% - Accent1 2 2 5 3 2" xfId="15120" xr:uid="{B9A4F860-0B0F-4FB4-9094-1D660D5FD41C}"/>
    <cellStyle name="40% - Accent1 2 2 5 4" xfId="10903" xr:uid="{6923239C-822B-4918-B140-34B9F0E89A2A}"/>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6C3181FF-D38A-4B2B-8B8A-F000CB6A0B28}"/>
    <cellStyle name="40% - Accent1 2 2 6 2 3" xfId="13461" xr:uid="{464C50EC-CD15-42AE-8823-00C6A5FD230F}"/>
    <cellStyle name="40% - Accent1 2 2 6 3" xfId="6207" xr:uid="{00000000-0005-0000-0000-0000E7030000}"/>
    <cellStyle name="40% - Accent1 2 2 6 3 2" xfId="15533" xr:uid="{85D0E006-7B08-4D58-8A60-D1D3E1E74287}"/>
    <cellStyle name="40% - Accent1 2 2 6 4" xfId="11316" xr:uid="{9B47E460-2A00-408F-B4EF-41B653C2824F}"/>
    <cellStyle name="40% - Accent1 2 2 7" xfId="2314" xr:uid="{00000000-0005-0000-0000-0000E8030000}"/>
    <cellStyle name="40% - Accent1 2 2 7 2" xfId="6620" xr:uid="{00000000-0005-0000-0000-0000E9030000}"/>
    <cellStyle name="40% - Accent1 2 2 7 2 2" xfId="15946" xr:uid="{44CC51C8-A62E-41DE-AB29-C61A8587A7E1}"/>
    <cellStyle name="40% - Accent1 2 2 7 3" xfId="11729" xr:uid="{8A407609-741D-4365-B447-72A8CE9A1072}"/>
    <cellStyle name="40% - Accent1 2 2 8" xfId="4554" xr:uid="{00000000-0005-0000-0000-0000EA030000}"/>
    <cellStyle name="40% - Accent1 2 2 8 2" xfId="13880" xr:uid="{C893CE6D-0A68-4B10-8CF8-D97890742EFF}"/>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9BE99EAE-12E4-4A3F-A808-425651602504}"/>
    <cellStyle name="40% - Accent1 2 3 2 2 3" xfId="12224" xr:uid="{4177D780-F043-4DD3-834A-C82742200F63}"/>
    <cellStyle name="40% - Accent1 2 3 2 3" xfId="4970" xr:uid="{00000000-0005-0000-0000-0000EF030000}"/>
    <cellStyle name="40% - Accent1 2 3 2 3 2" xfId="14296" xr:uid="{A37181FC-BF5B-4188-B431-25659CB81D8F}"/>
    <cellStyle name="40% - Accent1 2 3 2 4" xfId="9430" xr:uid="{C79D1FB2-141C-4301-8F37-B3B9643C0550}"/>
    <cellStyle name="40% - Accent1 2 3 2 5" xfId="10079" xr:uid="{A576D7B4-A4B0-49CA-BD1A-427B056E78E4}"/>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D8E9E363-37F4-4E6D-8640-AEC1349ED4C8}"/>
    <cellStyle name="40% - Accent1 2 3 3 2 3" xfId="12637" xr:uid="{6D92A62F-2AD5-46DC-A8D3-08A5C8302B50}"/>
    <cellStyle name="40% - Accent1 2 3 3 3" xfId="5383" xr:uid="{00000000-0005-0000-0000-0000F3030000}"/>
    <cellStyle name="40% - Accent1 2 3 3 3 2" xfId="14709" xr:uid="{63DD9AAA-C628-4833-8D7E-0ACEA3ABFD05}"/>
    <cellStyle name="40% - Accent1 2 3 3 4" xfId="10492" xr:uid="{578E8962-909E-4581-A761-127E61C919BE}"/>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04E2DCAD-15CE-47A9-8340-CDBBE3261393}"/>
    <cellStyle name="40% - Accent1 2 3 4 2 3" xfId="13050" xr:uid="{68D30BDF-066F-498B-A389-BDDFCF6BD714}"/>
    <cellStyle name="40% - Accent1 2 3 4 3" xfId="5796" xr:uid="{00000000-0005-0000-0000-0000F7030000}"/>
    <cellStyle name="40% - Accent1 2 3 4 3 2" xfId="15122" xr:uid="{C54E527E-33CB-4F41-88EA-9A0269EA2821}"/>
    <cellStyle name="40% - Accent1 2 3 4 4" xfId="10905" xr:uid="{C5A1B897-B854-4DC8-878F-43AAB1B7524E}"/>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BB4A2D9E-3BC5-4570-9373-3802E6AD993C}"/>
    <cellStyle name="40% - Accent1 2 3 5 2 3" xfId="13463" xr:uid="{8190E9F4-EA98-46D3-BADF-8A57F8CC1DDE}"/>
    <cellStyle name="40% - Accent1 2 3 5 3" xfId="6209" xr:uid="{00000000-0005-0000-0000-0000FB030000}"/>
    <cellStyle name="40% - Accent1 2 3 5 3 2" xfId="15535" xr:uid="{DE34A2AE-AC73-426F-9FBB-1E78126592C5}"/>
    <cellStyle name="40% - Accent1 2 3 5 4" xfId="11318" xr:uid="{25796E0B-C5FD-4838-BF9F-372C8091F6A4}"/>
    <cellStyle name="40% - Accent1 2 3 6" xfId="2316" xr:uid="{00000000-0005-0000-0000-0000FC030000}"/>
    <cellStyle name="40% - Accent1 2 3 6 2" xfId="6622" xr:uid="{00000000-0005-0000-0000-0000FD030000}"/>
    <cellStyle name="40% - Accent1 2 3 6 2 2" xfId="15948" xr:uid="{8CD465C9-56DE-4F11-880D-AD3041C6DBAD}"/>
    <cellStyle name="40% - Accent1 2 3 6 3" xfId="11731" xr:uid="{6B1769B5-1927-4F46-AE33-91FA434863E2}"/>
    <cellStyle name="40% - Accent1 2 3 7" xfId="4556" xr:uid="{00000000-0005-0000-0000-0000FE030000}"/>
    <cellStyle name="40% - Accent1 2 3 7 2" xfId="13882" xr:uid="{36A87BD4-B4DB-4118-8A57-F9FCCC6253E2}"/>
    <cellStyle name="40% - Accent1 2 3 8" xfId="9005" xr:uid="{83AF69B9-664F-4E19-B721-7989C2FEBC0C}"/>
    <cellStyle name="40% - Accent1 2 3 9" xfId="9665" xr:uid="{96858753-CEC7-4293-81D4-A7B52AB1CA4B}"/>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59AED473-0CD8-4884-AB75-6AD1435FB39A}"/>
    <cellStyle name="40% - Accent1 2 4 2 3" xfId="12221" xr:uid="{AABF0944-CB37-4C7C-8B1D-1C43EB33AC2A}"/>
    <cellStyle name="40% - Accent1 2 4 3" xfId="4967" xr:uid="{00000000-0005-0000-0000-000002040000}"/>
    <cellStyle name="40% - Accent1 2 4 3 2" xfId="14293" xr:uid="{8DB5B046-0419-4493-A13A-FF57415C1BB8}"/>
    <cellStyle name="40% - Accent1 2 4 4" xfId="9222" xr:uid="{A6B83122-AC98-4E58-AA4D-EC5ECC38FC6B}"/>
    <cellStyle name="40% - Accent1 2 4 5" xfId="10076" xr:uid="{B06F078E-42E4-447A-A0DE-C6AF14B34595}"/>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81D957DF-3B3A-4881-91CA-1992C94987E8}"/>
    <cellStyle name="40% - Accent1 2 5 2 3" xfId="12634" xr:uid="{062906E2-3360-4B29-B30A-EA9D4215E19A}"/>
    <cellStyle name="40% - Accent1 2 5 3" xfId="5380" xr:uid="{00000000-0005-0000-0000-000006040000}"/>
    <cellStyle name="40% - Accent1 2 5 3 2" xfId="14706" xr:uid="{86E0D70D-2B84-4919-824F-48E1173C20C2}"/>
    <cellStyle name="40% - Accent1 2 5 4" xfId="10489" xr:uid="{1580F139-DB2A-4B1A-AACC-BC49566F336D}"/>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7F0FF7C0-0409-48D8-B40A-22A961183B3D}"/>
    <cellStyle name="40% - Accent1 2 6 2 3" xfId="13047" xr:uid="{3C2C69CD-C4B0-4B14-BF27-ED6289E958A2}"/>
    <cellStyle name="40% - Accent1 2 6 3" xfId="5793" xr:uid="{00000000-0005-0000-0000-00000A040000}"/>
    <cellStyle name="40% - Accent1 2 6 3 2" xfId="15119" xr:uid="{5C8D954D-84E5-4EF7-B8CE-B9A8F6B687EA}"/>
    <cellStyle name="40% - Accent1 2 6 4" xfId="10902" xr:uid="{E72FBECE-D107-4146-AE77-1DD3EC077E4B}"/>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BC723415-3886-43C9-B30B-ECA54CA68739}"/>
    <cellStyle name="40% - Accent1 2 7 2 3" xfId="13460" xr:uid="{CCC14786-466A-4B05-AB37-E99E90C8D4EA}"/>
    <cellStyle name="40% - Accent1 2 7 3" xfId="6206" xr:uid="{00000000-0005-0000-0000-00000E040000}"/>
    <cellStyle name="40% - Accent1 2 7 3 2" xfId="15532" xr:uid="{78612F3C-A9B0-4285-BAF6-296046FE5194}"/>
    <cellStyle name="40% - Accent1 2 7 4" xfId="11315" xr:uid="{2C297398-9235-45D1-AEC1-E064E1CE9971}"/>
    <cellStyle name="40% - Accent1 2 8" xfId="2313" xr:uid="{00000000-0005-0000-0000-00000F040000}"/>
    <cellStyle name="40% - Accent1 2 8 2" xfId="6619" xr:uid="{00000000-0005-0000-0000-000010040000}"/>
    <cellStyle name="40% - Accent1 2 8 2 2" xfId="15945" xr:uid="{195011B8-6768-47B9-A5D9-D9284D6185C4}"/>
    <cellStyle name="40% - Accent1 2 8 3" xfId="11728" xr:uid="{D317CB99-EDBE-4FF8-8C72-E0CDD1602AD7}"/>
    <cellStyle name="40% - Accent1 2 9" xfId="4553" xr:uid="{00000000-0005-0000-0000-000011040000}"/>
    <cellStyle name="40% - Accent1 2 9 2" xfId="13879" xr:uid="{D1AF773F-015E-41E0-A8C8-731AD91D607D}"/>
    <cellStyle name="40% - Accent1 3" xfId="54" xr:uid="{00000000-0005-0000-0000-000012040000}"/>
    <cellStyle name="40% - Accent1 3 10" xfId="9666" xr:uid="{627374C2-9A95-4CA7-AD85-EEA6308775FE}"/>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A35B2E15-117A-4A9D-A5FA-C326B4D26DAF}"/>
    <cellStyle name="40% - Accent1 3 2 2 2 3" xfId="12226" xr:uid="{AC0A4B39-AE27-4E44-A802-2FC92984840B}"/>
    <cellStyle name="40% - Accent1 3 2 2 3" xfId="4972" xr:uid="{00000000-0005-0000-0000-000017040000}"/>
    <cellStyle name="40% - Accent1 3 2 2 3 2" xfId="14298" xr:uid="{788222AE-9A71-4F91-8D24-96C80E98064C}"/>
    <cellStyle name="40% - Accent1 3 2 2 4" xfId="9494" xr:uid="{49092FA9-F337-44E8-98C8-15711B1C1558}"/>
    <cellStyle name="40% - Accent1 3 2 2 5" xfId="10081" xr:uid="{01BA0E54-5617-4F64-BFB9-37559D6155D6}"/>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1E6B7CCA-1A3B-4462-A690-754F1E9B66FF}"/>
    <cellStyle name="40% - Accent1 3 2 3 2 3" xfId="12639" xr:uid="{BA020496-FC43-4B22-9A57-2EBD46F0F94E}"/>
    <cellStyle name="40% - Accent1 3 2 3 3" xfId="5385" xr:uid="{00000000-0005-0000-0000-00001B040000}"/>
    <cellStyle name="40% - Accent1 3 2 3 3 2" xfId="14711" xr:uid="{B07B5A5B-0EF4-4096-B133-E164057B8676}"/>
    <cellStyle name="40% - Accent1 3 2 3 4" xfId="10494" xr:uid="{B1F39CBE-2902-4E42-A2CB-B6D4FAC77E36}"/>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5463689D-83E9-46C6-BCFC-B81190E90057}"/>
    <cellStyle name="40% - Accent1 3 2 4 2 3" xfId="13052" xr:uid="{BA133839-76C8-4822-A917-975BFC51ED25}"/>
    <cellStyle name="40% - Accent1 3 2 4 3" xfId="5798" xr:uid="{00000000-0005-0000-0000-00001F040000}"/>
    <cellStyle name="40% - Accent1 3 2 4 3 2" xfId="15124" xr:uid="{D21B33B4-736F-4050-8AB4-BCBB8C42990F}"/>
    <cellStyle name="40% - Accent1 3 2 4 4" xfId="10907" xr:uid="{9968C5B5-F400-4071-890B-5D083108664C}"/>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387FEA19-03C9-4FBD-A45A-BEC88A0A11E3}"/>
    <cellStyle name="40% - Accent1 3 2 5 2 3" xfId="13465" xr:uid="{64F7C3FF-C604-4E2F-BB9F-33448EC5D0F5}"/>
    <cellStyle name="40% - Accent1 3 2 5 3" xfId="6211" xr:uid="{00000000-0005-0000-0000-000023040000}"/>
    <cellStyle name="40% - Accent1 3 2 5 3 2" xfId="15537" xr:uid="{B3B0DB94-D462-494D-8A00-D411A042EF50}"/>
    <cellStyle name="40% - Accent1 3 2 5 4" xfId="11320" xr:uid="{6955FBF1-6D69-4E57-8E24-B0EC38649DD6}"/>
    <cellStyle name="40% - Accent1 3 2 6" xfId="2318" xr:uid="{00000000-0005-0000-0000-000024040000}"/>
    <cellStyle name="40% - Accent1 3 2 6 2" xfId="6624" xr:uid="{00000000-0005-0000-0000-000025040000}"/>
    <cellStyle name="40% - Accent1 3 2 6 2 2" xfId="15950" xr:uid="{5EC7D569-F078-4679-9913-C791CAA5C27F}"/>
    <cellStyle name="40% - Accent1 3 2 6 3" xfId="11733" xr:uid="{860B2508-A5CB-4458-ACBE-9A79C71B2726}"/>
    <cellStyle name="40% - Accent1 3 2 7" xfId="4558" xr:uid="{00000000-0005-0000-0000-000026040000}"/>
    <cellStyle name="40% - Accent1 3 2 7 2" xfId="13884" xr:uid="{FE7CFBEE-97CD-428B-BD16-5651D9616B42}"/>
    <cellStyle name="40% - Accent1 3 2 8" xfId="9069" xr:uid="{F3D9FD63-8946-4492-B81A-42936E8B246D}"/>
    <cellStyle name="40% - Accent1 3 2 9" xfId="9667" xr:uid="{AAB1DD48-111C-4726-A47A-1BBDBFB390EE}"/>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57EA6A4B-7A1B-4CBB-8FB0-CBF5176B6E0C}"/>
    <cellStyle name="40% - Accent1 3 3 2 3" xfId="12225" xr:uid="{749CDE77-7BC8-4369-9099-82988F1FCC47}"/>
    <cellStyle name="40% - Accent1 3 3 3" xfId="4971" xr:uid="{00000000-0005-0000-0000-00002A040000}"/>
    <cellStyle name="40% - Accent1 3 3 3 2" xfId="14297" xr:uid="{7995F54F-4D33-4A97-8E19-4899E4C6B5C0}"/>
    <cellStyle name="40% - Accent1 3 3 4" xfId="9287" xr:uid="{8C21B573-3D31-49DA-ACD8-D3EC7CC3A858}"/>
    <cellStyle name="40% - Accent1 3 3 5" xfId="10080" xr:uid="{8519DA8E-117A-4E2F-9673-706A2F0CFF10}"/>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68D315B6-6ADF-4585-9E2C-EF8066737046}"/>
    <cellStyle name="40% - Accent1 3 4 2 3" xfId="12638" xr:uid="{C9E44C3D-3311-458E-8DF6-1C7AC9B8BA96}"/>
    <cellStyle name="40% - Accent1 3 4 3" xfId="5384" xr:uid="{00000000-0005-0000-0000-00002E040000}"/>
    <cellStyle name="40% - Accent1 3 4 3 2" xfId="14710" xr:uid="{0D9F067C-87B1-4E17-BD62-8D8C8690ED1B}"/>
    <cellStyle name="40% - Accent1 3 4 4" xfId="10493" xr:uid="{78944742-D360-4AD4-A721-89CB0459D6A4}"/>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DE1FC3BA-F18E-471E-B3C2-3938EEC3D486}"/>
    <cellStyle name="40% - Accent1 3 5 2 3" xfId="13051" xr:uid="{597BA00A-1018-4537-A60A-9C78C4D61483}"/>
    <cellStyle name="40% - Accent1 3 5 3" xfId="5797" xr:uid="{00000000-0005-0000-0000-000032040000}"/>
    <cellStyle name="40% - Accent1 3 5 3 2" xfId="15123" xr:uid="{8BB98D87-B185-4899-9428-4ACBDB66900E}"/>
    <cellStyle name="40% - Accent1 3 5 4" xfId="10906" xr:uid="{C8B445C3-033B-4729-B799-0B581F304216}"/>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6E7B61C2-1F18-4B12-B78C-761122542001}"/>
    <cellStyle name="40% - Accent1 3 6 2 3" xfId="13464" xr:uid="{FD8D4FA1-6FE7-4EBE-8366-B84854039AA8}"/>
    <cellStyle name="40% - Accent1 3 6 3" xfId="6210" xr:uid="{00000000-0005-0000-0000-000036040000}"/>
    <cellStyle name="40% - Accent1 3 6 3 2" xfId="15536" xr:uid="{0EDABDE5-74C6-4BA0-ADB7-DCE7F35D834B}"/>
    <cellStyle name="40% - Accent1 3 6 4" xfId="11319" xr:uid="{59D1CEC2-3B74-4659-AC48-24AE67160B71}"/>
    <cellStyle name="40% - Accent1 3 7" xfId="2317" xr:uid="{00000000-0005-0000-0000-000037040000}"/>
    <cellStyle name="40% - Accent1 3 7 2" xfId="6623" xr:uid="{00000000-0005-0000-0000-000038040000}"/>
    <cellStyle name="40% - Accent1 3 7 2 2" xfId="15949" xr:uid="{781DFA1B-3B29-42DE-9560-86D8BD136944}"/>
    <cellStyle name="40% - Accent1 3 7 3" xfId="11732" xr:uid="{4F1786FE-CEEB-4574-86A1-9F1FF2299EEA}"/>
    <cellStyle name="40% - Accent1 3 8" xfId="4557" xr:uid="{00000000-0005-0000-0000-000039040000}"/>
    <cellStyle name="40% - Accent1 3 8 2" xfId="13883" xr:uid="{C4C989CB-F7CD-4B79-BC25-1199F60A4C13}"/>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57837273-6067-4B16-8710-DE4D1790D665}"/>
    <cellStyle name="40% - Accent1 4 2 2 3" xfId="12227" xr:uid="{254E22EB-BC79-4E14-ACD9-C6E661F91B11}"/>
    <cellStyle name="40% - Accent1 4 2 3" xfId="4973" xr:uid="{00000000-0005-0000-0000-00003E040000}"/>
    <cellStyle name="40% - Accent1 4 2 3 2" xfId="14299" xr:uid="{568C0DF5-D9BC-411E-896F-4CEF84E0DB3B}"/>
    <cellStyle name="40% - Accent1 4 2 4" xfId="9373" xr:uid="{3BC949C7-8F86-44EA-9F10-CF277586B131}"/>
    <cellStyle name="40% - Accent1 4 2 5" xfId="10082" xr:uid="{59424264-0D7D-4E4D-8672-F588AE062856}"/>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A49343FD-9035-478B-8B74-5D8EFE0E7A61}"/>
    <cellStyle name="40% - Accent1 4 3 2 3" xfId="12640" xr:uid="{CB50846E-A8C3-42E5-9E5F-D25D96F6FCE5}"/>
    <cellStyle name="40% - Accent1 4 3 3" xfId="5386" xr:uid="{00000000-0005-0000-0000-000042040000}"/>
    <cellStyle name="40% - Accent1 4 3 3 2" xfId="14712" xr:uid="{D2D9249D-967C-4F89-A6F1-A6F3D0016359}"/>
    <cellStyle name="40% - Accent1 4 3 4" xfId="10495" xr:uid="{4C765D53-D4DE-4E4F-92F9-104949905E2B}"/>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AF2E6A24-EC10-4101-858B-6E405770B41F}"/>
    <cellStyle name="40% - Accent1 4 4 2 3" xfId="13053" xr:uid="{D9337653-ADE6-42E8-8D9C-C8E288362D15}"/>
    <cellStyle name="40% - Accent1 4 4 3" xfId="5799" xr:uid="{00000000-0005-0000-0000-000046040000}"/>
    <cellStyle name="40% - Accent1 4 4 3 2" xfId="15125" xr:uid="{ACC1256B-0128-4A2B-AD3E-85D6ABF94A78}"/>
    <cellStyle name="40% - Accent1 4 4 4" xfId="10908" xr:uid="{9A4BA5BF-CDE0-4CCD-A712-26740FEBAE2B}"/>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738C30B3-FC10-42CE-8FD4-429CF049B8BC}"/>
    <cellStyle name="40% - Accent1 4 5 2 3" xfId="13466" xr:uid="{CB8FF11A-FB06-4D89-A820-450ECA60D363}"/>
    <cellStyle name="40% - Accent1 4 5 3" xfId="6212" xr:uid="{00000000-0005-0000-0000-00004A040000}"/>
    <cellStyle name="40% - Accent1 4 5 3 2" xfId="15538" xr:uid="{7887AFB9-BA25-4758-9BFA-2867008AE444}"/>
    <cellStyle name="40% - Accent1 4 5 4" xfId="11321" xr:uid="{4A35B272-4154-4FAF-8C63-F256082A8F65}"/>
    <cellStyle name="40% - Accent1 4 6" xfId="2319" xr:uid="{00000000-0005-0000-0000-00004B040000}"/>
    <cellStyle name="40% - Accent1 4 6 2" xfId="6625" xr:uid="{00000000-0005-0000-0000-00004C040000}"/>
    <cellStyle name="40% - Accent1 4 6 2 2" xfId="15951" xr:uid="{2A31ED5E-4C09-4BED-A3C0-AAC8015519D0}"/>
    <cellStyle name="40% - Accent1 4 6 3" xfId="11734" xr:uid="{CFED25DE-8321-435F-B6EE-0251CAFB28BE}"/>
    <cellStyle name="40% - Accent1 4 7" xfId="4559" xr:uid="{00000000-0005-0000-0000-00004D040000}"/>
    <cellStyle name="40% - Accent1 4 7 2" xfId="13885" xr:uid="{7520CB17-1371-4F30-8C47-BA3542883E68}"/>
    <cellStyle name="40% - Accent1 4 8" xfId="8948" xr:uid="{7BCBB449-71B8-4468-A700-0125C7659C3D}"/>
    <cellStyle name="40% - Accent1 4 9" xfId="9668" xr:uid="{92F013F0-BB78-4052-83A0-9EC7872C7530}"/>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C18995F8-8C13-444B-ACB8-147677CB2161}"/>
    <cellStyle name="40% - Accent1 5 2 3" xfId="12220" xr:uid="{A391918C-B5E4-4BEC-815D-E0036C3CA04B}"/>
    <cellStyle name="40% - Accent1 5 3" xfId="4966" xr:uid="{00000000-0005-0000-0000-000051040000}"/>
    <cellStyle name="40% - Accent1 5 3 2" xfId="14292" xr:uid="{28BEB2D7-4430-4B25-96F3-0FB5E8F59F28}"/>
    <cellStyle name="40% - Accent1 5 4" xfId="9181" xr:uid="{332DA761-F1AA-4FF3-9BBB-9ECEE19D2DFF}"/>
    <cellStyle name="40% - Accent1 5 5" xfId="10075" xr:uid="{A3BAFB66-430D-4EBA-82FD-CE6F9D64389F}"/>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58B98A72-AB9B-4833-A3D1-54995EEA8DBE}"/>
    <cellStyle name="40% - Accent1 6 2 3" xfId="12633" xr:uid="{B7DE5AEC-8D44-4731-BA28-749E7BC569D5}"/>
    <cellStyle name="40% - Accent1 6 3" xfId="5379" xr:uid="{00000000-0005-0000-0000-000055040000}"/>
    <cellStyle name="40% - Accent1 6 3 2" xfId="14705" xr:uid="{3CD7D948-8E90-4246-8B04-AD298D960BE0}"/>
    <cellStyle name="40% - Accent1 6 4" xfId="10488" xr:uid="{904D9168-2A64-45CD-AB33-253A085C30A9}"/>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26636761-9623-4919-95DA-CD3081FE84F1}"/>
    <cellStyle name="40% - Accent1 7 2 3" xfId="13046" xr:uid="{681BCF34-2F41-411D-9B94-2B30C8E1D43C}"/>
    <cellStyle name="40% - Accent1 7 3" xfId="5792" xr:uid="{00000000-0005-0000-0000-000059040000}"/>
    <cellStyle name="40% - Accent1 7 3 2" xfId="15118" xr:uid="{FA28604D-6C8F-49C4-A398-D75D33448CAB}"/>
    <cellStyle name="40% - Accent1 7 4" xfId="10901" xr:uid="{6768B06F-6A9E-45B4-B5C7-AFA3D687C457}"/>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F384C062-C531-4AA3-9DB2-92B56B457466}"/>
    <cellStyle name="40% - Accent1 8 2 3" xfId="13459" xr:uid="{0E3ABB8D-843E-4F84-B9BA-99132ACA47DF}"/>
    <cellStyle name="40% - Accent1 8 3" xfId="6205" xr:uid="{00000000-0005-0000-0000-00005D040000}"/>
    <cellStyle name="40% - Accent1 8 3 2" xfId="15531" xr:uid="{EF73B2F8-8968-44AF-947F-EA9488B80197}"/>
    <cellStyle name="40% - Accent1 8 4" xfId="11314" xr:uid="{FA68810C-5AB2-412B-8CDA-981D3AC1C0B8}"/>
    <cellStyle name="40% - Accent1 9" xfId="2312" xr:uid="{00000000-0005-0000-0000-00005E040000}"/>
    <cellStyle name="40% - Accent1 9 2" xfId="6618" xr:uid="{00000000-0005-0000-0000-00005F040000}"/>
    <cellStyle name="40% - Accent1 9 2 2" xfId="15944" xr:uid="{A0F1D1D1-0AAA-49C1-8D63-898D75588567}"/>
    <cellStyle name="40% - Accent1 9 3" xfId="11727" xr:uid="{D1DD8583-236B-41CF-89CC-AE8840B5769C}"/>
    <cellStyle name="40% - Accent2" xfId="57" builtinId="35" customBuiltin="1"/>
    <cellStyle name="40% - Accent2 10" xfId="4560" xr:uid="{00000000-0005-0000-0000-000061040000}"/>
    <cellStyle name="40% - Accent2 10 2" xfId="13886" xr:uid="{78DF6EE7-F1C2-478B-8F2E-37DEA4855C3A}"/>
    <cellStyle name="40% - Accent2 11" xfId="8761" xr:uid="{8631D9D1-53DA-4958-8F7C-AD68B7B91D61}"/>
    <cellStyle name="40% - Accent2 12" xfId="9669" xr:uid="{6E1753E3-46A8-4750-A492-8514653BADBA}"/>
    <cellStyle name="40% - Accent2 2" xfId="58" xr:uid="{00000000-0005-0000-0000-000062040000}"/>
    <cellStyle name="40% - Accent2 2 10" xfId="8799" xr:uid="{E3EEC046-6E76-44A5-8D1B-64621A8F0AC5}"/>
    <cellStyle name="40% - Accent2 2 11" xfId="9670" xr:uid="{79083AD2-C72D-42BE-BA9E-AD781E42DEB8}"/>
    <cellStyle name="40% - Accent2 2 2" xfId="59" xr:uid="{00000000-0005-0000-0000-000063040000}"/>
    <cellStyle name="40% - Accent2 2 2 10" xfId="9671" xr:uid="{17C0EA58-3F7B-47F0-84DC-91E7C843103A}"/>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062B7F24-E7FB-4EBB-8D8B-5C2A8A6D38B9}"/>
    <cellStyle name="40% - Accent2 2 2 2 2 2 3" xfId="12231" xr:uid="{F98B724F-D5C1-48E7-A830-B0AF8FED9B1A}"/>
    <cellStyle name="40% - Accent2 2 2 2 2 3" xfId="4977" xr:uid="{00000000-0005-0000-0000-000068040000}"/>
    <cellStyle name="40% - Accent2 2 2 2 2 3 2" xfId="14303" xr:uid="{F03CB806-B5E8-42E0-AE33-272BC741F5C9}"/>
    <cellStyle name="40% - Accent2 2 2 2 2 4" xfId="9534" xr:uid="{9F53A086-33FC-422E-9DFF-72D04AC43949}"/>
    <cellStyle name="40% - Accent2 2 2 2 2 5" xfId="10086" xr:uid="{F1C4BBE7-092C-4C62-B1DF-1EEEB4B8E574}"/>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D9455A44-AC2A-4E7B-AD3C-E3811844010B}"/>
    <cellStyle name="40% - Accent2 2 2 2 3 2 3" xfId="12644" xr:uid="{77FEFEC9-3F0D-40B2-B15F-37EA5FC8007A}"/>
    <cellStyle name="40% - Accent2 2 2 2 3 3" xfId="5390" xr:uid="{00000000-0005-0000-0000-00006C040000}"/>
    <cellStyle name="40% - Accent2 2 2 2 3 3 2" xfId="14716" xr:uid="{BD5325D4-EA6F-4187-8D89-C84AF87CCCEE}"/>
    <cellStyle name="40% - Accent2 2 2 2 3 4" xfId="10499" xr:uid="{72F7A7FA-CA8B-4AFF-ABE9-AC84E489BBD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701E9C38-1BFA-4B62-9F1C-E40897DB33B0}"/>
    <cellStyle name="40% - Accent2 2 2 2 4 2 3" xfId="13057" xr:uid="{5EB61891-6E6E-40F4-89D0-5A7B7E4C6129}"/>
    <cellStyle name="40% - Accent2 2 2 2 4 3" xfId="5803" xr:uid="{00000000-0005-0000-0000-000070040000}"/>
    <cellStyle name="40% - Accent2 2 2 2 4 3 2" xfId="15129" xr:uid="{160EA4C6-E8A4-4E89-BA5A-07907300A2E6}"/>
    <cellStyle name="40% - Accent2 2 2 2 4 4" xfId="10912" xr:uid="{9FCFEF15-E8FD-46DC-B67F-68C260BCB626}"/>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5F883B8E-72DC-4465-ABB6-7ECC8EDC56CD}"/>
    <cellStyle name="40% - Accent2 2 2 2 5 2 3" xfId="13470" xr:uid="{BA421ABB-F623-46C7-866A-AF58E0C83742}"/>
    <cellStyle name="40% - Accent2 2 2 2 5 3" xfId="6216" xr:uid="{00000000-0005-0000-0000-000074040000}"/>
    <cellStyle name="40% - Accent2 2 2 2 5 3 2" xfId="15542" xr:uid="{F83C886D-A232-400F-ABD3-5009571F85DF}"/>
    <cellStyle name="40% - Accent2 2 2 2 5 4" xfId="11325" xr:uid="{CB8E3867-B60F-437E-947C-7FF7D44C952C}"/>
    <cellStyle name="40% - Accent2 2 2 2 6" xfId="2323" xr:uid="{00000000-0005-0000-0000-000075040000}"/>
    <cellStyle name="40% - Accent2 2 2 2 6 2" xfId="6629" xr:uid="{00000000-0005-0000-0000-000076040000}"/>
    <cellStyle name="40% - Accent2 2 2 2 6 2 2" xfId="15955" xr:uid="{0733BE02-42B4-46C0-876E-0ABC2AD97330}"/>
    <cellStyle name="40% - Accent2 2 2 2 6 3" xfId="11738" xr:uid="{A14F14B0-805C-41EE-95FB-0E54C9A07811}"/>
    <cellStyle name="40% - Accent2 2 2 2 7" xfId="4563" xr:uid="{00000000-0005-0000-0000-000077040000}"/>
    <cellStyle name="40% - Accent2 2 2 2 7 2" xfId="13889" xr:uid="{66928E50-E272-4DE7-BC6D-AB7A87A37403}"/>
    <cellStyle name="40% - Accent2 2 2 2 8" xfId="9109" xr:uid="{73F0012D-4386-4224-BFB0-7DB1C0E98822}"/>
    <cellStyle name="40% - Accent2 2 2 2 9" xfId="9672" xr:uid="{7B49950C-5741-4813-8E2E-05B412837D66}"/>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53FD3539-0FBB-4DFB-A64B-4DC5BEB3A495}"/>
    <cellStyle name="40% - Accent2 2 2 3 2 3" xfId="12230" xr:uid="{D3918B69-5515-49EF-A886-6FBC9C789527}"/>
    <cellStyle name="40% - Accent2 2 2 3 3" xfId="4976" xr:uid="{00000000-0005-0000-0000-00007B040000}"/>
    <cellStyle name="40% - Accent2 2 2 3 3 2" xfId="14302" xr:uid="{B26A9ACA-28A6-40A8-88D1-0B039D1EFBAF}"/>
    <cellStyle name="40% - Accent2 2 2 3 4" xfId="9327" xr:uid="{F2BC9A12-B689-4B73-B71E-77A9F0BC7FE4}"/>
    <cellStyle name="40% - Accent2 2 2 3 5" xfId="10085" xr:uid="{D739018B-06F1-4CB5-904D-52D7156F93A3}"/>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4029ABE1-DC99-4415-8E71-AF230BEE2D60}"/>
    <cellStyle name="40% - Accent2 2 2 4 2 3" xfId="12643" xr:uid="{DE407BC5-0580-4F47-B786-BB026AFDF972}"/>
    <cellStyle name="40% - Accent2 2 2 4 3" xfId="5389" xr:uid="{00000000-0005-0000-0000-00007F040000}"/>
    <cellStyle name="40% - Accent2 2 2 4 3 2" xfId="14715" xr:uid="{CEA7E3FC-560E-46FC-9541-E0C55792F012}"/>
    <cellStyle name="40% - Accent2 2 2 4 4" xfId="10498" xr:uid="{30563706-0E13-400C-B0BA-3154151DB97F}"/>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57B3AD29-E965-4BF0-873B-7EAAC00734F7}"/>
    <cellStyle name="40% - Accent2 2 2 5 2 3" xfId="13056" xr:uid="{53C0F899-856C-4CD4-8064-85BF9FC3BC3F}"/>
    <cellStyle name="40% - Accent2 2 2 5 3" xfId="5802" xr:uid="{00000000-0005-0000-0000-000083040000}"/>
    <cellStyle name="40% - Accent2 2 2 5 3 2" xfId="15128" xr:uid="{BF949A6D-68A4-4706-A1B0-56638A236BD9}"/>
    <cellStyle name="40% - Accent2 2 2 5 4" xfId="10911" xr:uid="{30A58A3B-AE22-409D-8A07-F329A75F26CD}"/>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337B074E-29E1-4CEE-A711-49C01EA84F47}"/>
    <cellStyle name="40% - Accent2 2 2 6 2 3" xfId="13469" xr:uid="{6B3F5C76-6350-4545-A01F-D028C6F2F69E}"/>
    <cellStyle name="40% - Accent2 2 2 6 3" xfId="6215" xr:uid="{00000000-0005-0000-0000-000087040000}"/>
    <cellStyle name="40% - Accent2 2 2 6 3 2" xfId="15541" xr:uid="{537D6ED6-2EEA-449A-83D0-6BE388F12885}"/>
    <cellStyle name="40% - Accent2 2 2 6 4" xfId="11324" xr:uid="{97957257-030D-4C61-8F47-F2F73915C54E}"/>
    <cellStyle name="40% - Accent2 2 2 7" xfId="2322" xr:uid="{00000000-0005-0000-0000-000088040000}"/>
    <cellStyle name="40% - Accent2 2 2 7 2" xfId="6628" xr:uid="{00000000-0005-0000-0000-000089040000}"/>
    <cellStyle name="40% - Accent2 2 2 7 2 2" xfId="15954" xr:uid="{C4F86001-D51D-49F5-931B-9E9005B56E6E}"/>
    <cellStyle name="40% - Accent2 2 2 7 3" xfId="11737" xr:uid="{C254A41C-8EB6-46CE-9258-19D6A12A0338}"/>
    <cellStyle name="40% - Accent2 2 2 8" xfId="4562" xr:uid="{00000000-0005-0000-0000-00008A040000}"/>
    <cellStyle name="40% - Accent2 2 2 8 2" xfId="13888" xr:uid="{676E7C3B-7B14-48C2-A1DD-1F2C8E0FDA13}"/>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DDE9159A-1D60-401A-B931-D5F4BD582AFB}"/>
    <cellStyle name="40% - Accent2 2 3 2 2 3" xfId="12232" xr:uid="{A7C2DD77-7BD5-43D8-8459-7E8EA32A387F}"/>
    <cellStyle name="40% - Accent2 2 3 2 3" xfId="4978" xr:uid="{00000000-0005-0000-0000-00008F040000}"/>
    <cellStyle name="40% - Accent2 2 3 2 3 2" xfId="14304" xr:uid="{D8451D4B-53BB-4EA2-9313-A04B30BAA5D4}"/>
    <cellStyle name="40% - Accent2 2 3 2 4" xfId="9431" xr:uid="{BD4E3561-302E-4359-AAF3-4F2E007BC697}"/>
    <cellStyle name="40% - Accent2 2 3 2 5" xfId="10087" xr:uid="{90EA9762-1CD3-4593-9B59-1115BFAF7A58}"/>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AF9EBE64-418F-4AAB-BF36-63EF6C050640}"/>
    <cellStyle name="40% - Accent2 2 3 3 2 3" xfId="12645" xr:uid="{A8ECC670-84E0-4CBD-AF1C-E3B2C9898204}"/>
    <cellStyle name="40% - Accent2 2 3 3 3" xfId="5391" xr:uid="{00000000-0005-0000-0000-000093040000}"/>
    <cellStyle name="40% - Accent2 2 3 3 3 2" xfId="14717" xr:uid="{BBBA723E-617C-4789-B09A-DC32C3F20628}"/>
    <cellStyle name="40% - Accent2 2 3 3 4" xfId="10500" xr:uid="{59A169E6-FEF1-4B79-AC62-BD33A9F88E2F}"/>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9319A2A9-A153-4EF8-B77A-7A7983C6873E}"/>
    <cellStyle name="40% - Accent2 2 3 4 2 3" xfId="13058" xr:uid="{431DDC00-F8C4-4A27-BF35-16474BC7289E}"/>
    <cellStyle name="40% - Accent2 2 3 4 3" xfId="5804" xr:uid="{00000000-0005-0000-0000-000097040000}"/>
    <cellStyle name="40% - Accent2 2 3 4 3 2" xfId="15130" xr:uid="{ACDEC3C1-9775-44F3-A6B1-54A4C4CCE2ED}"/>
    <cellStyle name="40% - Accent2 2 3 4 4" xfId="10913" xr:uid="{37DBDDCD-E4FA-4D26-A545-AC96DBB9C8B6}"/>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4898DCC4-21E3-41EE-B879-9D3770201DDE}"/>
    <cellStyle name="40% - Accent2 2 3 5 2 3" xfId="13471" xr:uid="{C868C593-D65F-4B25-B189-FA9495589910}"/>
    <cellStyle name="40% - Accent2 2 3 5 3" xfId="6217" xr:uid="{00000000-0005-0000-0000-00009B040000}"/>
    <cellStyle name="40% - Accent2 2 3 5 3 2" xfId="15543" xr:uid="{3EA93886-E47E-4E23-9CB2-FA06783AB9C3}"/>
    <cellStyle name="40% - Accent2 2 3 5 4" xfId="11326" xr:uid="{4A51695F-3C23-4B11-AB39-9BC50301C2DF}"/>
    <cellStyle name="40% - Accent2 2 3 6" xfId="2324" xr:uid="{00000000-0005-0000-0000-00009C040000}"/>
    <cellStyle name="40% - Accent2 2 3 6 2" xfId="6630" xr:uid="{00000000-0005-0000-0000-00009D040000}"/>
    <cellStyle name="40% - Accent2 2 3 6 2 2" xfId="15956" xr:uid="{9B37166F-BFE0-41C8-8C6F-CD1B7B8DB398}"/>
    <cellStyle name="40% - Accent2 2 3 6 3" xfId="11739" xr:uid="{9D0AC8C4-61C1-4EEB-A8E9-07D079309D6D}"/>
    <cellStyle name="40% - Accent2 2 3 7" xfId="4564" xr:uid="{00000000-0005-0000-0000-00009E040000}"/>
    <cellStyle name="40% - Accent2 2 3 7 2" xfId="13890" xr:uid="{D886AA28-799F-4893-AA48-9CA98AD85379}"/>
    <cellStyle name="40% - Accent2 2 3 8" xfId="9006" xr:uid="{E6E89EA5-B76F-4FCC-89B9-DD4135B6364B}"/>
    <cellStyle name="40% - Accent2 2 3 9" xfId="9673" xr:uid="{40F5B4F0-8DD9-4B7F-BD11-6F41E1286670}"/>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F554947E-9EE9-4759-81BF-7EABC3D0E429}"/>
    <cellStyle name="40% - Accent2 2 4 2 3" xfId="12229" xr:uid="{1BF2FDF9-FC42-4280-9E35-925DD08A4B2E}"/>
    <cellStyle name="40% - Accent2 2 4 3" xfId="4975" xr:uid="{00000000-0005-0000-0000-0000A2040000}"/>
    <cellStyle name="40% - Accent2 2 4 3 2" xfId="14301" xr:uid="{A71E1EAA-FAE2-4028-8D62-B86D9B37086F}"/>
    <cellStyle name="40% - Accent2 2 4 4" xfId="9223" xr:uid="{FA9890B4-781A-4E4C-81EE-BC7448559828}"/>
    <cellStyle name="40% - Accent2 2 4 5" xfId="10084" xr:uid="{B88BBA35-91D1-49C0-A548-925F0568E780}"/>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19DF4B8D-7831-4C87-817A-A85238633266}"/>
    <cellStyle name="40% - Accent2 2 5 2 3" xfId="12642" xr:uid="{603F2965-0E21-40BA-9585-DD023391E5CE}"/>
    <cellStyle name="40% - Accent2 2 5 3" xfId="5388" xr:uid="{00000000-0005-0000-0000-0000A6040000}"/>
    <cellStyle name="40% - Accent2 2 5 3 2" xfId="14714" xr:uid="{F83CD5BA-8379-4273-9FEA-89BDBFD495D8}"/>
    <cellStyle name="40% - Accent2 2 5 4" xfId="10497" xr:uid="{31A8B00F-2FCC-4247-9223-8F29B3C12CCF}"/>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BA802983-4FBA-43B5-A0F6-E153154BBA5F}"/>
    <cellStyle name="40% - Accent2 2 6 2 3" xfId="13055" xr:uid="{7584ADA1-8A64-4073-A6C9-21A6F7218599}"/>
    <cellStyle name="40% - Accent2 2 6 3" xfId="5801" xr:uid="{00000000-0005-0000-0000-0000AA040000}"/>
    <cellStyle name="40% - Accent2 2 6 3 2" xfId="15127" xr:uid="{6A04AE32-5DE6-48B5-B6AB-8100D00A33DC}"/>
    <cellStyle name="40% - Accent2 2 6 4" xfId="10910" xr:uid="{52552C7A-6ED6-47CB-AA28-C54A9E7F5D98}"/>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C30E90DD-EA43-4C4C-805F-583E66BF9802}"/>
    <cellStyle name="40% - Accent2 2 7 2 3" xfId="13468" xr:uid="{3A8B9F7B-64E5-4DA9-BD68-378673AF212C}"/>
    <cellStyle name="40% - Accent2 2 7 3" xfId="6214" xr:uid="{00000000-0005-0000-0000-0000AE040000}"/>
    <cellStyle name="40% - Accent2 2 7 3 2" xfId="15540" xr:uid="{2D61F589-F87F-4078-96A1-63E4B74B85F8}"/>
    <cellStyle name="40% - Accent2 2 7 4" xfId="11323" xr:uid="{A1C052BB-F516-4F01-826E-5324ADC86B87}"/>
    <cellStyle name="40% - Accent2 2 8" xfId="2321" xr:uid="{00000000-0005-0000-0000-0000AF040000}"/>
    <cellStyle name="40% - Accent2 2 8 2" xfId="6627" xr:uid="{00000000-0005-0000-0000-0000B0040000}"/>
    <cellStyle name="40% - Accent2 2 8 2 2" xfId="15953" xr:uid="{1B893ED0-9C06-490E-899F-7BE13A770BFC}"/>
    <cellStyle name="40% - Accent2 2 8 3" xfId="11736" xr:uid="{2A7E96A8-5795-4C42-9B6F-91737A62E74B}"/>
    <cellStyle name="40% - Accent2 2 9" xfId="4561" xr:uid="{00000000-0005-0000-0000-0000B1040000}"/>
    <cellStyle name="40% - Accent2 2 9 2" xfId="13887" xr:uid="{1BCFE8D7-90C8-42D3-9B08-2115D3D0B280}"/>
    <cellStyle name="40% - Accent2 3" xfId="62" xr:uid="{00000000-0005-0000-0000-0000B2040000}"/>
    <cellStyle name="40% - Accent2 3 10" xfId="9674" xr:uid="{F1B23F36-43EE-404B-A01E-BF8A12369D1A}"/>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A29C09C1-F6E8-4A3C-97B8-E077848D6165}"/>
    <cellStyle name="40% - Accent2 3 2 2 2 3" xfId="12234" xr:uid="{980798BE-55C6-4B2A-8BEA-64D6DCAB8407}"/>
    <cellStyle name="40% - Accent2 3 2 2 3" xfId="4980" xr:uid="{00000000-0005-0000-0000-0000B7040000}"/>
    <cellStyle name="40% - Accent2 3 2 2 3 2" xfId="14306" xr:uid="{92382F71-AFFE-4901-8FAB-6D2EACB03FF6}"/>
    <cellStyle name="40% - Accent2 3 2 2 4" xfId="9496" xr:uid="{700FA1AF-D943-4FDB-BFB1-F903AD1F731A}"/>
    <cellStyle name="40% - Accent2 3 2 2 5" xfId="10089" xr:uid="{97BD311F-569E-4E4F-A4C5-C326265688C3}"/>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51BFE3DC-F13A-4DC1-97C3-BD69ED9FE0AC}"/>
    <cellStyle name="40% - Accent2 3 2 3 2 3" xfId="12647" xr:uid="{24D74444-BEB2-40E5-A1B9-2CA40E47F51D}"/>
    <cellStyle name="40% - Accent2 3 2 3 3" xfId="5393" xr:uid="{00000000-0005-0000-0000-0000BB040000}"/>
    <cellStyle name="40% - Accent2 3 2 3 3 2" xfId="14719" xr:uid="{CF17B4B0-4F2A-4CFA-B3BF-016808E98FDF}"/>
    <cellStyle name="40% - Accent2 3 2 3 4" xfId="10502" xr:uid="{CD57DB4F-DD68-42C9-B7E6-28F7D2C48934}"/>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3956E168-0B49-4094-BCD4-47E38C32C35D}"/>
    <cellStyle name="40% - Accent2 3 2 4 2 3" xfId="13060" xr:uid="{07A1852B-8FD2-4E21-998C-5BBC4F9C5DF1}"/>
    <cellStyle name="40% - Accent2 3 2 4 3" xfId="5806" xr:uid="{00000000-0005-0000-0000-0000BF040000}"/>
    <cellStyle name="40% - Accent2 3 2 4 3 2" xfId="15132" xr:uid="{E3E1BC06-1483-4137-8F2A-21E1E17997EC}"/>
    <cellStyle name="40% - Accent2 3 2 4 4" xfId="10915" xr:uid="{ED95F3BA-D09F-48E2-B693-4B9AB9322251}"/>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DDA2A5EE-4F10-4EB8-ABD1-0ECC68E250F5}"/>
    <cellStyle name="40% - Accent2 3 2 5 2 3" xfId="13473" xr:uid="{312B1333-976A-4C97-9C48-224DCA6F8F8E}"/>
    <cellStyle name="40% - Accent2 3 2 5 3" xfId="6219" xr:uid="{00000000-0005-0000-0000-0000C3040000}"/>
    <cellStyle name="40% - Accent2 3 2 5 3 2" xfId="15545" xr:uid="{9909B943-41BE-4D17-A79F-16E3D605FC7B}"/>
    <cellStyle name="40% - Accent2 3 2 5 4" xfId="11328" xr:uid="{784E74A9-E542-4D79-A7EF-341F77D01F11}"/>
    <cellStyle name="40% - Accent2 3 2 6" xfId="2326" xr:uid="{00000000-0005-0000-0000-0000C4040000}"/>
    <cellStyle name="40% - Accent2 3 2 6 2" xfId="6632" xr:uid="{00000000-0005-0000-0000-0000C5040000}"/>
    <cellStyle name="40% - Accent2 3 2 6 2 2" xfId="15958" xr:uid="{6C8DE1F0-A3BC-45C6-A42B-2BA1C442F50E}"/>
    <cellStyle name="40% - Accent2 3 2 6 3" xfId="11741" xr:uid="{68237341-BA8C-497A-9C6F-70FB73B287DF}"/>
    <cellStyle name="40% - Accent2 3 2 7" xfId="4566" xr:uid="{00000000-0005-0000-0000-0000C6040000}"/>
    <cellStyle name="40% - Accent2 3 2 7 2" xfId="13892" xr:uid="{9E12ADED-BAC6-438D-9E13-41C13F0E6185}"/>
    <cellStyle name="40% - Accent2 3 2 8" xfId="9071" xr:uid="{B5463F05-11FC-4377-B380-DDB549C63AA9}"/>
    <cellStyle name="40% - Accent2 3 2 9" xfId="9675" xr:uid="{23015BF6-16FC-4CB0-A353-97B1D3338D01}"/>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6D01A59D-4815-4575-BA54-393F223B0956}"/>
    <cellStyle name="40% - Accent2 3 3 2 3" xfId="12233" xr:uid="{BD804BB4-6067-475C-8D65-A64ACD919F25}"/>
    <cellStyle name="40% - Accent2 3 3 3" xfId="4979" xr:uid="{00000000-0005-0000-0000-0000CA040000}"/>
    <cellStyle name="40% - Accent2 3 3 3 2" xfId="14305" xr:uid="{E3781FF8-C04F-451A-B102-C906C00C6EA4}"/>
    <cellStyle name="40% - Accent2 3 3 4" xfId="9289" xr:uid="{B234EB9F-4AFE-41A2-A17D-ABC1D0F80875}"/>
    <cellStyle name="40% - Accent2 3 3 5" xfId="10088" xr:uid="{64684EE7-1AE1-45A9-B20B-E3C5814F51ED}"/>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BB72FBA8-E62C-4A00-B3DE-6BAFFD92DE6C}"/>
    <cellStyle name="40% - Accent2 3 4 2 3" xfId="12646" xr:uid="{BA7255CC-E293-485B-B23D-D4D76A368521}"/>
    <cellStyle name="40% - Accent2 3 4 3" xfId="5392" xr:uid="{00000000-0005-0000-0000-0000CE040000}"/>
    <cellStyle name="40% - Accent2 3 4 3 2" xfId="14718" xr:uid="{DDB60D4C-3DC4-4119-B627-71481EF4D18C}"/>
    <cellStyle name="40% - Accent2 3 4 4" xfId="10501" xr:uid="{AF49D6BD-687E-4FEE-A232-4729E08AE4FB}"/>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53C7C77E-046E-4EC7-90DC-5A691AE287FE}"/>
    <cellStyle name="40% - Accent2 3 5 2 3" xfId="13059" xr:uid="{717E560E-AAD1-4234-B212-0826FC3F73EE}"/>
    <cellStyle name="40% - Accent2 3 5 3" xfId="5805" xr:uid="{00000000-0005-0000-0000-0000D2040000}"/>
    <cellStyle name="40% - Accent2 3 5 3 2" xfId="15131" xr:uid="{1A0ADCAD-FE76-4B05-A504-9F2B4ED52471}"/>
    <cellStyle name="40% - Accent2 3 5 4" xfId="10914" xr:uid="{37F02EF9-0ACB-4CA0-9977-81C888097024}"/>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6A89C404-23E4-4936-9069-4423E4F7D7C1}"/>
    <cellStyle name="40% - Accent2 3 6 2 3" xfId="13472" xr:uid="{B64F9454-28AA-4C23-8389-2EF4C46B5D29}"/>
    <cellStyle name="40% - Accent2 3 6 3" xfId="6218" xr:uid="{00000000-0005-0000-0000-0000D6040000}"/>
    <cellStyle name="40% - Accent2 3 6 3 2" xfId="15544" xr:uid="{5874E7FB-6A3B-4BD5-B62B-897DD62DC268}"/>
    <cellStyle name="40% - Accent2 3 6 4" xfId="11327" xr:uid="{3CC2EE89-66A8-4F5C-B9E7-AF93C5C411A9}"/>
    <cellStyle name="40% - Accent2 3 7" xfId="2325" xr:uid="{00000000-0005-0000-0000-0000D7040000}"/>
    <cellStyle name="40% - Accent2 3 7 2" xfId="6631" xr:uid="{00000000-0005-0000-0000-0000D8040000}"/>
    <cellStyle name="40% - Accent2 3 7 2 2" xfId="15957" xr:uid="{BA328B70-55CE-42B6-A6D0-54C1C5F9CC8E}"/>
    <cellStyle name="40% - Accent2 3 7 3" xfId="11740" xr:uid="{5895E220-D523-4328-A6DB-653CAFD20062}"/>
    <cellStyle name="40% - Accent2 3 8" xfId="4565" xr:uid="{00000000-0005-0000-0000-0000D9040000}"/>
    <cellStyle name="40% - Accent2 3 8 2" xfId="13891" xr:uid="{C181367B-5B03-4FC7-8E51-EBB646A57EEB}"/>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CF3C3764-3011-4597-BE01-698D65DA4CCC}"/>
    <cellStyle name="40% - Accent2 4 2 2 3" xfId="12235" xr:uid="{8244F655-886F-4E46-B742-352DF4A358A7}"/>
    <cellStyle name="40% - Accent2 4 2 3" xfId="4981" xr:uid="{00000000-0005-0000-0000-0000DE040000}"/>
    <cellStyle name="40% - Accent2 4 2 3 2" xfId="14307" xr:uid="{6A2ACCD7-DD52-4619-8963-6C71E4108C98}"/>
    <cellStyle name="40% - Accent2 4 2 4" xfId="9375" xr:uid="{E0F8B4F7-419E-40A5-89E1-F3F0DF6ADFF8}"/>
    <cellStyle name="40% - Accent2 4 2 5" xfId="10090" xr:uid="{F0F8C9AD-0416-4209-A654-795573385C44}"/>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F607AEDA-964A-4BC8-942A-CC1D6A2ECA4A}"/>
    <cellStyle name="40% - Accent2 4 3 2 3" xfId="12648" xr:uid="{650D7749-1180-4949-9D8B-60F7603AFE15}"/>
    <cellStyle name="40% - Accent2 4 3 3" xfId="5394" xr:uid="{00000000-0005-0000-0000-0000E2040000}"/>
    <cellStyle name="40% - Accent2 4 3 3 2" xfId="14720" xr:uid="{B4A094E0-0EAE-4D83-96CD-2A7F826027ED}"/>
    <cellStyle name="40% - Accent2 4 3 4" xfId="10503" xr:uid="{3007F315-7A3A-4156-98F3-58508D0F8DB7}"/>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5A592DAD-085F-476F-9DD1-95BE4BF19DA5}"/>
    <cellStyle name="40% - Accent2 4 4 2 3" xfId="13061" xr:uid="{8EF577F7-B107-4F99-83A4-7AA1AEBB7349}"/>
    <cellStyle name="40% - Accent2 4 4 3" xfId="5807" xr:uid="{00000000-0005-0000-0000-0000E6040000}"/>
    <cellStyle name="40% - Accent2 4 4 3 2" xfId="15133" xr:uid="{F4AB9DE8-90F4-4599-8380-2F1CEE3431A0}"/>
    <cellStyle name="40% - Accent2 4 4 4" xfId="10916" xr:uid="{9EF7290A-2714-4C98-96C8-BAA394990516}"/>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9F68B9EE-B442-415B-BFC9-7D5E5796A27B}"/>
    <cellStyle name="40% - Accent2 4 5 2 3" xfId="13474" xr:uid="{DC9755B7-1C43-464A-B650-1791DCF35E87}"/>
    <cellStyle name="40% - Accent2 4 5 3" xfId="6220" xr:uid="{00000000-0005-0000-0000-0000EA040000}"/>
    <cellStyle name="40% - Accent2 4 5 3 2" xfId="15546" xr:uid="{9366AF21-D32E-4876-9885-B5BAA93B4B39}"/>
    <cellStyle name="40% - Accent2 4 5 4" xfId="11329" xr:uid="{249EDE85-3A33-4017-98DA-8AF0863A9E17}"/>
    <cellStyle name="40% - Accent2 4 6" xfId="2327" xr:uid="{00000000-0005-0000-0000-0000EB040000}"/>
    <cellStyle name="40% - Accent2 4 6 2" xfId="6633" xr:uid="{00000000-0005-0000-0000-0000EC040000}"/>
    <cellStyle name="40% - Accent2 4 6 2 2" xfId="15959" xr:uid="{BE427D27-FB8D-463A-A168-78BBE16A82D3}"/>
    <cellStyle name="40% - Accent2 4 6 3" xfId="11742" xr:uid="{CE0655BF-ECAC-4807-BDF8-82CA817F0731}"/>
    <cellStyle name="40% - Accent2 4 7" xfId="4567" xr:uid="{00000000-0005-0000-0000-0000ED040000}"/>
    <cellStyle name="40% - Accent2 4 7 2" xfId="13893" xr:uid="{9316D791-6808-480D-872E-CE9656EB52DB}"/>
    <cellStyle name="40% - Accent2 4 8" xfId="8950" xr:uid="{02FCA414-0598-4779-8636-7B176A3552C0}"/>
    <cellStyle name="40% - Accent2 4 9" xfId="9676" xr:uid="{CA4991DA-E321-4678-A2B2-4855C38AEAF9}"/>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4696E8B0-CA99-47D4-8ED9-59C1C90A1DAF}"/>
    <cellStyle name="40% - Accent2 5 2 3" xfId="12228" xr:uid="{6CBB1679-F766-4E18-B9C8-DA1F2F73E36B}"/>
    <cellStyle name="40% - Accent2 5 3" xfId="4974" xr:uid="{00000000-0005-0000-0000-0000F1040000}"/>
    <cellStyle name="40% - Accent2 5 3 2" xfId="14300" xr:uid="{41A9E3F0-CFB4-45AB-96DA-D6645C16ECCB}"/>
    <cellStyle name="40% - Accent2 5 4" xfId="9183" xr:uid="{071EDB8E-9FD1-4063-BCEF-70B734E5ECF1}"/>
    <cellStyle name="40% - Accent2 5 5" xfId="10083" xr:uid="{B2B560D3-0587-4160-B005-0FC92C5F5D26}"/>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055B89CD-7EC5-40C9-A6C9-F674D7B5B43B}"/>
    <cellStyle name="40% - Accent2 6 2 3" xfId="12641" xr:uid="{6D764326-A160-45C7-9AF6-20C931837B10}"/>
    <cellStyle name="40% - Accent2 6 3" xfId="5387" xr:uid="{00000000-0005-0000-0000-0000F5040000}"/>
    <cellStyle name="40% - Accent2 6 3 2" xfId="14713" xr:uid="{74D62A79-F24F-4E60-B000-D80A26A563AD}"/>
    <cellStyle name="40% - Accent2 6 4" xfId="10496" xr:uid="{9B24E8FF-815B-42E9-AD97-27333E927D3E}"/>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22062E68-5B4A-467C-9782-BC5A49E30CB0}"/>
    <cellStyle name="40% - Accent2 7 2 3" xfId="13054" xr:uid="{23CE17A2-3453-43DF-8211-007992B8D1B9}"/>
    <cellStyle name="40% - Accent2 7 3" xfId="5800" xr:uid="{00000000-0005-0000-0000-0000F9040000}"/>
    <cellStyle name="40% - Accent2 7 3 2" xfId="15126" xr:uid="{A031E4A4-5D96-4974-AA20-18517F713A02}"/>
    <cellStyle name="40% - Accent2 7 4" xfId="10909" xr:uid="{72AFE85D-795D-4357-8CCB-7F67754DA857}"/>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332B7CF2-3326-4387-B01B-BC5121986481}"/>
    <cellStyle name="40% - Accent2 8 2 3" xfId="13467" xr:uid="{BE6A414C-DCFF-4D72-8B25-8C8E652FC3C0}"/>
    <cellStyle name="40% - Accent2 8 3" xfId="6213" xr:uid="{00000000-0005-0000-0000-0000FD040000}"/>
    <cellStyle name="40% - Accent2 8 3 2" xfId="15539" xr:uid="{A89F98F3-C687-413A-AB6C-85E84C5BD39D}"/>
    <cellStyle name="40% - Accent2 8 4" xfId="11322" xr:uid="{5D4A7AE8-7666-4199-80B4-A1B368EE5F6D}"/>
    <cellStyle name="40% - Accent2 9" xfId="2320" xr:uid="{00000000-0005-0000-0000-0000FE040000}"/>
    <cellStyle name="40% - Accent2 9 2" xfId="6626" xr:uid="{00000000-0005-0000-0000-0000FF040000}"/>
    <cellStyle name="40% - Accent2 9 2 2" xfId="15952" xr:uid="{E91D25D5-8A4D-4197-A9A0-FEE01A02BC7B}"/>
    <cellStyle name="40% - Accent2 9 3" xfId="11735" xr:uid="{8F2149B2-A87B-4902-90A3-75DD5770425D}"/>
    <cellStyle name="40% - Accent3" xfId="65" builtinId="39" customBuiltin="1"/>
    <cellStyle name="40% - Accent3 10" xfId="4568" xr:uid="{00000000-0005-0000-0000-000001050000}"/>
    <cellStyle name="40% - Accent3 10 2" xfId="13894" xr:uid="{5A93A3A9-5352-4AE8-B4BC-1771C41F15EC}"/>
    <cellStyle name="40% - Accent3 11" xfId="8763" xr:uid="{CEFBFA85-5B68-4AEB-BF0D-8E604938B05F}"/>
    <cellStyle name="40% - Accent3 12" xfId="9677" xr:uid="{86FE44BA-1162-4CE0-93CD-955D6550B1DD}"/>
    <cellStyle name="40% - Accent3 2" xfId="66" xr:uid="{00000000-0005-0000-0000-000002050000}"/>
    <cellStyle name="40% - Accent3 2 10" xfId="8800" xr:uid="{00FF2AAD-7D96-45B5-8981-0BB923A3505B}"/>
    <cellStyle name="40% - Accent3 2 11" xfId="9678" xr:uid="{0BB5FC16-0D3E-4C9F-B0C6-902555C2D2DD}"/>
    <cellStyle name="40% - Accent3 2 2" xfId="67" xr:uid="{00000000-0005-0000-0000-000003050000}"/>
    <cellStyle name="40% - Accent3 2 2 10" xfId="9679" xr:uid="{DAEA29F8-CA01-4CED-ABD5-EFEE2DB96807}"/>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36D36A29-3536-4F8B-B426-4047BB8D62CE}"/>
    <cellStyle name="40% - Accent3 2 2 2 2 2 3" xfId="12239" xr:uid="{EFA473E4-0203-48A9-BE98-501FB677B169}"/>
    <cellStyle name="40% - Accent3 2 2 2 2 3" xfId="4985" xr:uid="{00000000-0005-0000-0000-000008050000}"/>
    <cellStyle name="40% - Accent3 2 2 2 2 3 2" xfId="14311" xr:uid="{237151C9-ACD4-475F-9163-9A616A95BD95}"/>
    <cellStyle name="40% - Accent3 2 2 2 2 4" xfId="9535" xr:uid="{3AC66435-D4C7-42EF-A799-3DC81A57BDF4}"/>
    <cellStyle name="40% - Accent3 2 2 2 2 5" xfId="10094" xr:uid="{F272055D-F798-4D84-A6C5-205AB440F77A}"/>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3B2B6244-EA04-45FE-BCC4-49635139B114}"/>
    <cellStyle name="40% - Accent3 2 2 2 3 2 3" xfId="12652" xr:uid="{2CE86142-A83C-4310-89A1-43C8C62BF491}"/>
    <cellStyle name="40% - Accent3 2 2 2 3 3" xfId="5398" xr:uid="{00000000-0005-0000-0000-00000C050000}"/>
    <cellStyle name="40% - Accent3 2 2 2 3 3 2" xfId="14724" xr:uid="{D02BE948-FE1A-4A41-9C39-C7C16863AB6D}"/>
    <cellStyle name="40% - Accent3 2 2 2 3 4" xfId="10507" xr:uid="{CD6AD1CB-2F9D-46C0-B9DD-8DB2EA5FFD02}"/>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B97F0905-DBB9-40C9-A456-AC2F69E54DCE}"/>
    <cellStyle name="40% - Accent3 2 2 2 4 2 3" xfId="13065" xr:uid="{128C5A03-C8BE-4F48-844F-BD93BA5300C7}"/>
    <cellStyle name="40% - Accent3 2 2 2 4 3" xfId="5811" xr:uid="{00000000-0005-0000-0000-000010050000}"/>
    <cellStyle name="40% - Accent3 2 2 2 4 3 2" xfId="15137" xr:uid="{2149CFB3-65CF-4CD7-8513-7BFCC8BFCE01}"/>
    <cellStyle name="40% - Accent3 2 2 2 4 4" xfId="10920" xr:uid="{C6CD9F8B-112B-4893-AACD-76E3EE5B4CD5}"/>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2A7FDE92-712E-4949-83FB-2E7C2DD8DC72}"/>
    <cellStyle name="40% - Accent3 2 2 2 5 2 3" xfId="13478" xr:uid="{23816591-1353-4628-A205-9323D3106920}"/>
    <cellStyle name="40% - Accent3 2 2 2 5 3" xfId="6224" xr:uid="{00000000-0005-0000-0000-000014050000}"/>
    <cellStyle name="40% - Accent3 2 2 2 5 3 2" xfId="15550" xr:uid="{6723C5E9-331A-4D0C-81A3-38E1E95AF333}"/>
    <cellStyle name="40% - Accent3 2 2 2 5 4" xfId="11333" xr:uid="{2D5AD16C-2DA1-44DF-8964-D10F00351F6F}"/>
    <cellStyle name="40% - Accent3 2 2 2 6" xfId="2331" xr:uid="{00000000-0005-0000-0000-000015050000}"/>
    <cellStyle name="40% - Accent3 2 2 2 6 2" xfId="6637" xr:uid="{00000000-0005-0000-0000-000016050000}"/>
    <cellStyle name="40% - Accent3 2 2 2 6 2 2" xfId="15963" xr:uid="{93E72792-DBEF-48FA-A262-E038FE6795A1}"/>
    <cellStyle name="40% - Accent3 2 2 2 6 3" xfId="11746" xr:uid="{C2929124-CF95-42EE-999A-5C947EC2A016}"/>
    <cellStyle name="40% - Accent3 2 2 2 7" xfId="4571" xr:uid="{00000000-0005-0000-0000-000017050000}"/>
    <cellStyle name="40% - Accent3 2 2 2 7 2" xfId="13897" xr:uid="{3416ADE7-F3CF-4B90-84B5-FC9CD3DD7900}"/>
    <cellStyle name="40% - Accent3 2 2 2 8" xfId="9110" xr:uid="{E41CBEF9-86F8-44B9-895F-532A7BDC9A2A}"/>
    <cellStyle name="40% - Accent3 2 2 2 9" xfId="9680" xr:uid="{1766E2E1-66AF-49A7-859B-E52F7CE3E977}"/>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01E79BF2-C40B-4849-BA15-0470750704B3}"/>
    <cellStyle name="40% - Accent3 2 2 3 2 3" xfId="12238" xr:uid="{6A96D669-B390-4042-958B-D4B2F59636B4}"/>
    <cellStyle name="40% - Accent3 2 2 3 3" xfId="4984" xr:uid="{00000000-0005-0000-0000-00001B050000}"/>
    <cellStyle name="40% - Accent3 2 2 3 3 2" xfId="14310" xr:uid="{ADBA4541-8C59-427B-9D76-DBF56CADBF90}"/>
    <cellStyle name="40% - Accent3 2 2 3 4" xfId="9328" xr:uid="{1DAEB9B9-01CE-426D-A8F1-CE08999D7264}"/>
    <cellStyle name="40% - Accent3 2 2 3 5" xfId="10093" xr:uid="{F30F4916-060A-49E1-9CB2-684070FA1FEE}"/>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F028F3FA-2DF8-439B-AA77-6B5763F21B25}"/>
    <cellStyle name="40% - Accent3 2 2 4 2 3" xfId="12651" xr:uid="{A7924E36-5EB8-4A54-AE7D-2AA15A049D8E}"/>
    <cellStyle name="40% - Accent3 2 2 4 3" xfId="5397" xr:uid="{00000000-0005-0000-0000-00001F050000}"/>
    <cellStyle name="40% - Accent3 2 2 4 3 2" xfId="14723" xr:uid="{CA666172-CDBE-41A1-AF95-A9DBCEA09DCA}"/>
    <cellStyle name="40% - Accent3 2 2 4 4" xfId="10506" xr:uid="{F1EAEF52-4229-441F-A532-6715473BA42D}"/>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DF0D9A24-9F89-492F-B53B-6246A243F75F}"/>
    <cellStyle name="40% - Accent3 2 2 5 2 3" xfId="13064" xr:uid="{F827B90C-AFD2-4DD3-8EB5-25FE834E3503}"/>
    <cellStyle name="40% - Accent3 2 2 5 3" xfId="5810" xr:uid="{00000000-0005-0000-0000-000023050000}"/>
    <cellStyle name="40% - Accent3 2 2 5 3 2" xfId="15136" xr:uid="{89CC84D5-6A2C-4148-B564-98289AD28A87}"/>
    <cellStyle name="40% - Accent3 2 2 5 4" xfId="10919" xr:uid="{7ECAB23E-A7BF-44C5-A318-DD58B8F6EB8C}"/>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13E335A6-4AC9-42FC-A9CC-834F42FD9BC3}"/>
    <cellStyle name="40% - Accent3 2 2 6 2 3" xfId="13477" xr:uid="{0E333817-131A-4A08-93C6-5B75F8790691}"/>
    <cellStyle name="40% - Accent3 2 2 6 3" xfId="6223" xr:uid="{00000000-0005-0000-0000-000027050000}"/>
    <cellStyle name="40% - Accent3 2 2 6 3 2" xfId="15549" xr:uid="{74A25919-B8B5-4388-ADC5-957D7723AA82}"/>
    <cellStyle name="40% - Accent3 2 2 6 4" xfId="11332" xr:uid="{5808CF7B-3C11-41AB-90B1-A935095D635B}"/>
    <cellStyle name="40% - Accent3 2 2 7" xfId="2330" xr:uid="{00000000-0005-0000-0000-000028050000}"/>
    <cellStyle name="40% - Accent3 2 2 7 2" xfId="6636" xr:uid="{00000000-0005-0000-0000-000029050000}"/>
    <cellStyle name="40% - Accent3 2 2 7 2 2" xfId="15962" xr:uid="{EC22BF1E-91E1-441E-B7C2-791DB92DC968}"/>
    <cellStyle name="40% - Accent3 2 2 7 3" xfId="11745" xr:uid="{99D9C799-5170-4205-91A1-94F2297DED09}"/>
    <cellStyle name="40% - Accent3 2 2 8" xfId="4570" xr:uid="{00000000-0005-0000-0000-00002A050000}"/>
    <cellStyle name="40% - Accent3 2 2 8 2" xfId="13896" xr:uid="{7E7542CB-0335-45EF-BD68-353086EEBF8B}"/>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2CB43FA8-619D-4191-A47F-E99F05264D56}"/>
    <cellStyle name="40% - Accent3 2 3 2 2 3" xfId="12240" xr:uid="{B68D24B2-9D46-4B63-8760-C3263D9E76B7}"/>
    <cellStyle name="40% - Accent3 2 3 2 3" xfId="4986" xr:uid="{00000000-0005-0000-0000-00002F050000}"/>
    <cellStyle name="40% - Accent3 2 3 2 3 2" xfId="14312" xr:uid="{935C9EFD-B9C8-4DCD-85DF-4CA83562FC79}"/>
    <cellStyle name="40% - Accent3 2 3 2 4" xfId="9432" xr:uid="{54D6848B-0200-4F42-820D-262A8F9A2C0F}"/>
    <cellStyle name="40% - Accent3 2 3 2 5" xfId="10095" xr:uid="{5719A094-8AFB-460E-AF0F-6D5A3CE94B3C}"/>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48FB0C95-88BA-4F6B-8BAB-AD40F5E6839D}"/>
    <cellStyle name="40% - Accent3 2 3 3 2 3" xfId="12653" xr:uid="{A3E6C62E-AED9-4079-B0B6-C904D825D514}"/>
    <cellStyle name="40% - Accent3 2 3 3 3" xfId="5399" xr:uid="{00000000-0005-0000-0000-000033050000}"/>
    <cellStyle name="40% - Accent3 2 3 3 3 2" xfId="14725" xr:uid="{D642C6EE-6E38-4CB6-A77E-0CF60E65A8A2}"/>
    <cellStyle name="40% - Accent3 2 3 3 4" xfId="10508" xr:uid="{5D584BC5-536E-4DC0-A36E-A454E9FDC0BF}"/>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6F3675F6-C4C5-4146-A312-EF85EB225487}"/>
    <cellStyle name="40% - Accent3 2 3 4 2 3" xfId="13066" xr:uid="{4342F252-CBCC-4C87-9F47-50DA155D9585}"/>
    <cellStyle name="40% - Accent3 2 3 4 3" xfId="5812" xr:uid="{00000000-0005-0000-0000-000037050000}"/>
    <cellStyle name="40% - Accent3 2 3 4 3 2" xfId="15138" xr:uid="{0BA9BB5A-74E4-4162-BFDF-D86C7DF81F9F}"/>
    <cellStyle name="40% - Accent3 2 3 4 4" xfId="10921" xr:uid="{FCBA0E8C-64AC-440A-8CF1-8E31D4A9D7EF}"/>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B0DEC48B-7F42-43B0-BC0F-4667A6A0F504}"/>
    <cellStyle name="40% - Accent3 2 3 5 2 3" xfId="13479" xr:uid="{2BBFBC15-A94E-45B7-869E-45FE02166A39}"/>
    <cellStyle name="40% - Accent3 2 3 5 3" xfId="6225" xr:uid="{00000000-0005-0000-0000-00003B050000}"/>
    <cellStyle name="40% - Accent3 2 3 5 3 2" xfId="15551" xr:uid="{DF976E19-E0B9-4881-8D31-B9EA64757FF1}"/>
    <cellStyle name="40% - Accent3 2 3 5 4" xfId="11334" xr:uid="{042FE894-AA8E-4C78-BFD7-B4D2BC09DAC1}"/>
    <cellStyle name="40% - Accent3 2 3 6" xfId="2332" xr:uid="{00000000-0005-0000-0000-00003C050000}"/>
    <cellStyle name="40% - Accent3 2 3 6 2" xfId="6638" xr:uid="{00000000-0005-0000-0000-00003D050000}"/>
    <cellStyle name="40% - Accent3 2 3 6 2 2" xfId="15964" xr:uid="{6E4DF535-C495-4081-9EA9-3930730C6549}"/>
    <cellStyle name="40% - Accent3 2 3 6 3" xfId="11747" xr:uid="{77B25AB2-2AA8-4C76-9017-2D3B5AFD0427}"/>
    <cellStyle name="40% - Accent3 2 3 7" xfId="4572" xr:uid="{00000000-0005-0000-0000-00003E050000}"/>
    <cellStyle name="40% - Accent3 2 3 7 2" xfId="13898" xr:uid="{F4B1A7B7-22BA-49E1-AA4E-01C68FF2C868}"/>
    <cellStyle name="40% - Accent3 2 3 8" xfId="9007" xr:uid="{2DEFD82C-2A62-4C1E-AA8D-7F2606BD9091}"/>
    <cellStyle name="40% - Accent3 2 3 9" xfId="9681" xr:uid="{3F0249E5-F6D6-42A8-9F04-21BF90349854}"/>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A4431F90-F371-4635-99AC-1452DA34C103}"/>
    <cellStyle name="40% - Accent3 2 4 2 3" xfId="12237" xr:uid="{064F7F26-1390-47FB-8522-0F152487DDF8}"/>
    <cellStyle name="40% - Accent3 2 4 3" xfId="4983" xr:uid="{00000000-0005-0000-0000-000042050000}"/>
    <cellStyle name="40% - Accent3 2 4 3 2" xfId="14309" xr:uid="{84613CDC-8DF6-42A0-A7F3-7EC6F0C1FEA3}"/>
    <cellStyle name="40% - Accent3 2 4 4" xfId="9224" xr:uid="{6B91012A-BFF2-4F1F-901C-A91F06F80031}"/>
    <cellStyle name="40% - Accent3 2 4 5" xfId="10092" xr:uid="{53ACE80A-73E5-441F-A337-1A4D6FF4A659}"/>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F38D962C-BF09-4076-BE5C-39EBC827A2B8}"/>
    <cellStyle name="40% - Accent3 2 5 2 3" xfId="12650" xr:uid="{4C5C4F10-F91C-46C8-A6A7-F411B58D1A7E}"/>
    <cellStyle name="40% - Accent3 2 5 3" xfId="5396" xr:uid="{00000000-0005-0000-0000-000046050000}"/>
    <cellStyle name="40% - Accent3 2 5 3 2" xfId="14722" xr:uid="{96800303-09D3-4AD8-921F-C06B3D39822E}"/>
    <cellStyle name="40% - Accent3 2 5 4" xfId="10505" xr:uid="{E03BE666-7209-4133-BF31-7CFBDE71FD80}"/>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0EE1785C-D12C-4099-9879-AC19DAD531B3}"/>
    <cellStyle name="40% - Accent3 2 6 2 3" xfId="13063" xr:uid="{083E1545-2EFD-41F2-A74E-F12D36D2B919}"/>
    <cellStyle name="40% - Accent3 2 6 3" xfId="5809" xr:uid="{00000000-0005-0000-0000-00004A050000}"/>
    <cellStyle name="40% - Accent3 2 6 3 2" xfId="15135" xr:uid="{6B9575FC-2F5C-4559-89CB-181B1CC38C32}"/>
    <cellStyle name="40% - Accent3 2 6 4" xfId="10918" xr:uid="{C2270E57-A0B0-41E4-BC47-1B8391BEA5C5}"/>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79D2EA0C-5655-4044-9EBD-DE15ED97BCBB}"/>
    <cellStyle name="40% - Accent3 2 7 2 3" xfId="13476" xr:uid="{827501BA-2B2D-4F14-95BA-68A0E4D1731D}"/>
    <cellStyle name="40% - Accent3 2 7 3" xfId="6222" xr:uid="{00000000-0005-0000-0000-00004E050000}"/>
    <cellStyle name="40% - Accent3 2 7 3 2" xfId="15548" xr:uid="{AC9F61AF-12FC-4B82-940E-C4CC1D780DDE}"/>
    <cellStyle name="40% - Accent3 2 7 4" xfId="11331" xr:uid="{57D89B7E-042A-4DBA-9D0D-EA78A7F77121}"/>
    <cellStyle name="40% - Accent3 2 8" xfId="2329" xr:uid="{00000000-0005-0000-0000-00004F050000}"/>
    <cellStyle name="40% - Accent3 2 8 2" xfId="6635" xr:uid="{00000000-0005-0000-0000-000050050000}"/>
    <cellStyle name="40% - Accent3 2 8 2 2" xfId="15961" xr:uid="{ADE112D6-65F5-4DA3-A7D4-9F8E5EDD236A}"/>
    <cellStyle name="40% - Accent3 2 8 3" xfId="11744" xr:uid="{7C9EAE89-AB93-4C38-914B-ADC481D60E70}"/>
    <cellStyle name="40% - Accent3 2 9" xfId="4569" xr:uid="{00000000-0005-0000-0000-000051050000}"/>
    <cellStyle name="40% - Accent3 2 9 2" xfId="13895" xr:uid="{A9317055-74DB-4292-A776-C5DE1516E51B}"/>
    <cellStyle name="40% - Accent3 3" xfId="70" xr:uid="{00000000-0005-0000-0000-000052050000}"/>
    <cellStyle name="40% - Accent3 3 10" xfId="9682" xr:uid="{CBFF924B-363B-4330-B51A-EF3CAF642AA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F5EFA8F8-B47E-4EC3-89ED-4BEFA572F873}"/>
    <cellStyle name="40% - Accent3 3 2 2 2 3" xfId="12242" xr:uid="{4813A945-D9D4-491E-A3BE-65CB511D637C}"/>
    <cellStyle name="40% - Accent3 3 2 2 3" xfId="4988" xr:uid="{00000000-0005-0000-0000-000057050000}"/>
    <cellStyle name="40% - Accent3 3 2 2 3 2" xfId="14314" xr:uid="{B16DAE68-47DD-48D8-A350-565037F58B23}"/>
    <cellStyle name="40% - Accent3 3 2 2 4" xfId="9498" xr:uid="{7C43CF58-5AE0-4BAA-9D2B-CAB92F3612F1}"/>
    <cellStyle name="40% - Accent3 3 2 2 5" xfId="10097" xr:uid="{5C3B1F93-6A14-4648-9C3A-85582327C6CB}"/>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3E681F90-90D7-400D-B685-AEAB08C50C4C}"/>
    <cellStyle name="40% - Accent3 3 2 3 2 3" xfId="12655" xr:uid="{E50C4B4C-6FBF-436A-8C57-C3C5B8AA8ECE}"/>
    <cellStyle name="40% - Accent3 3 2 3 3" xfId="5401" xr:uid="{00000000-0005-0000-0000-00005B050000}"/>
    <cellStyle name="40% - Accent3 3 2 3 3 2" xfId="14727" xr:uid="{8F534F71-93B9-43F6-8E29-AA768A970273}"/>
    <cellStyle name="40% - Accent3 3 2 3 4" xfId="10510" xr:uid="{ED123A1D-2706-48D1-AB2A-724A6348C5C6}"/>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741A6AA7-50C1-462E-9E89-A944AB1E6DF6}"/>
    <cellStyle name="40% - Accent3 3 2 4 2 3" xfId="13068" xr:uid="{7B6F0CFA-3CAB-48DA-9444-C57AD508DB21}"/>
    <cellStyle name="40% - Accent3 3 2 4 3" xfId="5814" xr:uid="{00000000-0005-0000-0000-00005F050000}"/>
    <cellStyle name="40% - Accent3 3 2 4 3 2" xfId="15140" xr:uid="{D42A91D7-F9D3-4A19-9938-B7C687C312C1}"/>
    <cellStyle name="40% - Accent3 3 2 4 4" xfId="10923" xr:uid="{BD580806-ADFF-4BD5-9F02-1FE60E1CC0F8}"/>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DC2DB771-C7FF-4806-8C4B-A7A967DDEBB0}"/>
    <cellStyle name="40% - Accent3 3 2 5 2 3" xfId="13481" xr:uid="{3B78B5B0-DB28-4D70-A7C0-CD98577421E9}"/>
    <cellStyle name="40% - Accent3 3 2 5 3" xfId="6227" xr:uid="{00000000-0005-0000-0000-000063050000}"/>
    <cellStyle name="40% - Accent3 3 2 5 3 2" xfId="15553" xr:uid="{CF3B4F5E-C65B-4295-A396-BC07BFA481A6}"/>
    <cellStyle name="40% - Accent3 3 2 5 4" xfId="11336" xr:uid="{1481A610-2414-4039-9C35-7ECC1E0A36D1}"/>
    <cellStyle name="40% - Accent3 3 2 6" xfId="2334" xr:uid="{00000000-0005-0000-0000-000064050000}"/>
    <cellStyle name="40% - Accent3 3 2 6 2" xfId="6640" xr:uid="{00000000-0005-0000-0000-000065050000}"/>
    <cellStyle name="40% - Accent3 3 2 6 2 2" xfId="15966" xr:uid="{B9CB8E6A-6B0D-45DB-911C-E03EEAB76E9A}"/>
    <cellStyle name="40% - Accent3 3 2 6 3" xfId="11749" xr:uid="{EB94214D-8F87-41B9-81C5-9B930EF667AA}"/>
    <cellStyle name="40% - Accent3 3 2 7" xfId="4574" xr:uid="{00000000-0005-0000-0000-000066050000}"/>
    <cellStyle name="40% - Accent3 3 2 7 2" xfId="13900" xr:uid="{E59F65D1-9709-43A7-AA1B-F3F8A94890AE}"/>
    <cellStyle name="40% - Accent3 3 2 8" xfId="9073" xr:uid="{0E71C752-2CF0-411D-A05E-4DA4A73CFC34}"/>
    <cellStyle name="40% - Accent3 3 2 9" xfId="9683" xr:uid="{AB93E94F-F1E8-410D-8D5A-5F5641667AAA}"/>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C67ADF17-7AEE-4ECB-8C26-435A5C05C150}"/>
    <cellStyle name="40% - Accent3 3 3 2 3" xfId="12241" xr:uid="{9C4D52B1-1015-4AE1-B847-AC1B3A4A1F29}"/>
    <cellStyle name="40% - Accent3 3 3 3" xfId="4987" xr:uid="{00000000-0005-0000-0000-00006A050000}"/>
    <cellStyle name="40% - Accent3 3 3 3 2" xfId="14313" xr:uid="{05E7C8EC-C6E4-4C82-9168-DF574BF453CB}"/>
    <cellStyle name="40% - Accent3 3 3 4" xfId="9291" xr:uid="{59AB3F6D-A8C6-4A37-A8E3-967850079A77}"/>
    <cellStyle name="40% - Accent3 3 3 5" xfId="10096" xr:uid="{07D0AE93-58B2-49E1-A13D-3FB7920E6096}"/>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347BB04D-F365-4B07-8150-671321AC46A2}"/>
    <cellStyle name="40% - Accent3 3 4 2 3" xfId="12654" xr:uid="{61ACF39D-DCA7-4EE2-8102-65683C0C89F9}"/>
    <cellStyle name="40% - Accent3 3 4 3" xfId="5400" xr:uid="{00000000-0005-0000-0000-00006E050000}"/>
    <cellStyle name="40% - Accent3 3 4 3 2" xfId="14726" xr:uid="{858DD69E-0A0F-406F-86EC-270BF63A0433}"/>
    <cellStyle name="40% - Accent3 3 4 4" xfId="10509" xr:uid="{FCC20680-FD66-4466-81C1-B8613FB3182D}"/>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1C1BB2CD-79EE-4B13-822F-9E1987051DEC}"/>
    <cellStyle name="40% - Accent3 3 5 2 3" xfId="13067" xr:uid="{9E052360-C67E-4DFB-85E1-4040024267C6}"/>
    <cellStyle name="40% - Accent3 3 5 3" xfId="5813" xr:uid="{00000000-0005-0000-0000-000072050000}"/>
    <cellStyle name="40% - Accent3 3 5 3 2" xfId="15139" xr:uid="{062DFBE1-AA13-4455-8397-A98131DB5472}"/>
    <cellStyle name="40% - Accent3 3 5 4" xfId="10922" xr:uid="{63EDC642-8076-4383-AE6B-D2C11F1C31B5}"/>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B37BA63F-BE19-4254-B6AD-3578E29B1740}"/>
    <cellStyle name="40% - Accent3 3 6 2 3" xfId="13480" xr:uid="{EB773E19-46BE-414C-85D4-71E825C18E1F}"/>
    <cellStyle name="40% - Accent3 3 6 3" xfId="6226" xr:uid="{00000000-0005-0000-0000-000076050000}"/>
    <cellStyle name="40% - Accent3 3 6 3 2" xfId="15552" xr:uid="{C6723ECD-FE15-49A0-85DD-DA93D96F91DA}"/>
    <cellStyle name="40% - Accent3 3 6 4" xfId="11335" xr:uid="{05D55D2E-CE10-48C5-85AE-80AA05BC1AFC}"/>
    <cellStyle name="40% - Accent3 3 7" xfId="2333" xr:uid="{00000000-0005-0000-0000-000077050000}"/>
    <cellStyle name="40% - Accent3 3 7 2" xfId="6639" xr:uid="{00000000-0005-0000-0000-000078050000}"/>
    <cellStyle name="40% - Accent3 3 7 2 2" xfId="15965" xr:uid="{FD2BC80F-4BF4-4619-9830-4EC54A0402B5}"/>
    <cellStyle name="40% - Accent3 3 7 3" xfId="11748" xr:uid="{4947141B-DC29-415D-A275-315CFBD89697}"/>
    <cellStyle name="40% - Accent3 3 8" xfId="4573" xr:uid="{00000000-0005-0000-0000-000079050000}"/>
    <cellStyle name="40% - Accent3 3 8 2" xfId="13899" xr:uid="{21526824-A56E-4AD7-9EAA-6AFF5303CDB8}"/>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53BF86E2-DCE7-4F75-AC94-C88EE0EFDE11}"/>
    <cellStyle name="40% - Accent3 4 2 2 3" xfId="12243" xr:uid="{4F28786C-FA36-445B-8677-052569DB797A}"/>
    <cellStyle name="40% - Accent3 4 2 3" xfId="4989" xr:uid="{00000000-0005-0000-0000-00007E050000}"/>
    <cellStyle name="40% - Accent3 4 2 3 2" xfId="14315" xr:uid="{D169317F-121A-47E5-ADDA-0FB7CF944653}"/>
    <cellStyle name="40% - Accent3 4 2 4" xfId="9377" xr:uid="{F4393833-4E73-4685-9332-CF918D5239A9}"/>
    <cellStyle name="40% - Accent3 4 2 5" xfId="10098" xr:uid="{399FC059-6608-4892-8446-38C74FC6CEB4}"/>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805FB743-5D05-4C43-B0F3-9ED536445240}"/>
    <cellStyle name="40% - Accent3 4 3 2 3" xfId="12656" xr:uid="{195C1D95-90C6-4EFC-AFDA-445324E1DCB4}"/>
    <cellStyle name="40% - Accent3 4 3 3" xfId="5402" xr:uid="{00000000-0005-0000-0000-000082050000}"/>
    <cellStyle name="40% - Accent3 4 3 3 2" xfId="14728" xr:uid="{74D0E6AA-A5E6-48D4-81DF-4C5AE4831B26}"/>
    <cellStyle name="40% - Accent3 4 3 4" xfId="10511" xr:uid="{92DE155B-E4F7-411E-8FDE-4E240C9A3BEF}"/>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527D2D7F-0C25-45F2-A976-F862CBC6E86B}"/>
    <cellStyle name="40% - Accent3 4 4 2 3" xfId="13069" xr:uid="{0ADC2DEB-A38D-4169-AD60-AC566376093E}"/>
    <cellStyle name="40% - Accent3 4 4 3" xfId="5815" xr:uid="{00000000-0005-0000-0000-000086050000}"/>
    <cellStyle name="40% - Accent3 4 4 3 2" xfId="15141" xr:uid="{26A001CF-94B3-4497-9BA3-8CF68401F1E3}"/>
    <cellStyle name="40% - Accent3 4 4 4" xfId="10924" xr:uid="{C4F11E9D-354A-4E17-B1A6-C36080A99646}"/>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464E5C3D-5443-4EF6-AA7E-4DD87E5E9DE2}"/>
    <cellStyle name="40% - Accent3 4 5 2 3" xfId="13482" xr:uid="{61A3E8E6-B75A-4F95-931C-BA443A1B1657}"/>
    <cellStyle name="40% - Accent3 4 5 3" xfId="6228" xr:uid="{00000000-0005-0000-0000-00008A050000}"/>
    <cellStyle name="40% - Accent3 4 5 3 2" xfId="15554" xr:uid="{C4DEA8CA-F0D2-4196-B1BE-9C8C279A1E26}"/>
    <cellStyle name="40% - Accent3 4 5 4" xfId="11337" xr:uid="{98CC7499-9AD0-4AD3-AE8B-AE438E130E62}"/>
    <cellStyle name="40% - Accent3 4 6" xfId="2335" xr:uid="{00000000-0005-0000-0000-00008B050000}"/>
    <cellStyle name="40% - Accent3 4 6 2" xfId="6641" xr:uid="{00000000-0005-0000-0000-00008C050000}"/>
    <cellStyle name="40% - Accent3 4 6 2 2" xfId="15967" xr:uid="{93F5A800-CC74-4953-8A58-316AE2717BA2}"/>
    <cellStyle name="40% - Accent3 4 6 3" xfId="11750" xr:uid="{46497F37-4C5A-40B7-80A9-EAF829492AF1}"/>
    <cellStyle name="40% - Accent3 4 7" xfId="4575" xr:uid="{00000000-0005-0000-0000-00008D050000}"/>
    <cellStyle name="40% - Accent3 4 7 2" xfId="13901" xr:uid="{12AAFF33-F395-46E0-879C-175CD0C30B68}"/>
    <cellStyle name="40% - Accent3 4 8" xfId="8952" xr:uid="{74BF8F1E-4A34-4787-9BA1-0B97E446635F}"/>
    <cellStyle name="40% - Accent3 4 9" xfId="9684" xr:uid="{AA698888-BFC5-4C00-80CD-CAE82846BB08}"/>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545E8320-8393-40CF-B765-EE73E1594B8B}"/>
    <cellStyle name="40% - Accent3 5 2 3" xfId="12236" xr:uid="{1753CD0A-DC98-4702-87DD-F1D766425833}"/>
    <cellStyle name="40% - Accent3 5 3" xfId="4982" xr:uid="{00000000-0005-0000-0000-000091050000}"/>
    <cellStyle name="40% - Accent3 5 3 2" xfId="14308" xr:uid="{1FDB6F4C-C7CB-4610-80EC-CA5A1993B762}"/>
    <cellStyle name="40% - Accent3 5 4" xfId="9185" xr:uid="{526F025D-EBF7-4976-9E38-4C0631A2843B}"/>
    <cellStyle name="40% - Accent3 5 5" xfId="10091" xr:uid="{D213568A-1513-48C4-8762-011444D51A6C}"/>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7B9A4B35-B9F7-4C99-BDC2-D8E73788A00C}"/>
    <cellStyle name="40% - Accent3 6 2 3" xfId="12649" xr:uid="{760D0516-1312-4D2A-8D5A-162FDB1B3AE9}"/>
    <cellStyle name="40% - Accent3 6 3" xfId="5395" xr:uid="{00000000-0005-0000-0000-000095050000}"/>
    <cellStyle name="40% - Accent3 6 3 2" xfId="14721" xr:uid="{51E7CCF2-1959-4D6B-8FBC-A51F5FC51074}"/>
    <cellStyle name="40% - Accent3 6 4" xfId="10504" xr:uid="{19547360-5BB4-4AE7-8E4D-63E3F01898D0}"/>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3CEEC62D-B550-47E8-A75B-D384075210A9}"/>
    <cellStyle name="40% - Accent3 7 2 3" xfId="13062" xr:uid="{63B38E55-0B10-4D00-9D91-475828423E47}"/>
    <cellStyle name="40% - Accent3 7 3" xfId="5808" xr:uid="{00000000-0005-0000-0000-000099050000}"/>
    <cellStyle name="40% - Accent3 7 3 2" xfId="15134" xr:uid="{A01F8E84-79EF-4A74-8DC4-048858A9F0D1}"/>
    <cellStyle name="40% - Accent3 7 4" xfId="10917" xr:uid="{20E0EFA5-1B91-4038-8861-C419CC80963D}"/>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BA5EC694-D165-42A4-975E-FBA84F7BA379}"/>
    <cellStyle name="40% - Accent3 8 2 3" xfId="13475" xr:uid="{7AF0579F-B18D-4509-9C94-7A8B5B0C28ED}"/>
    <cellStyle name="40% - Accent3 8 3" xfId="6221" xr:uid="{00000000-0005-0000-0000-00009D050000}"/>
    <cellStyle name="40% - Accent3 8 3 2" xfId="15547" xr:uid="{D3997344-BFA1-43C8-A7DF-FAC897BB04D8}"/>
    <cellStyle name="40% - Accent3 8 4" xfId="11330" xr:uid="{C51FD9A5-2B4A-456B-8195-49AF28BFE319}"/>
    <cellStyle name="40% - Accent3 9" xfId="2328" xr:uid="{00000000-0005-0000-0000-00009E050000}"/>
    <cellStyle name="40% - Accent3 9 2" xfId="6634" xr:uid="{00000000-0005-0000-0000-00009F050000}"/>
    <cellStyle name="40% - Accent3 9 2 2" xfId="15960" xr:uid="{0B402362-65A1-429A-ABFE-78BF2F2361BA}"/>
    <cellStyle name="40% - Accent3 9 3" xfId="11743" xr:uid="{90843080-9690-4D4B-813D-A9117361A2C8}"/>
    <cellStyle name="40% - Accent4" xfId="73" builtinId="43" customBuiltin="1"/>
    <cellStyle name="40% - Accent4 10" xfId="4576" xr:uid="{00000000-0005-0000-0000-0000A1050000}"/>
    <cellStyle name="40% - Accent4 10 2" xfId="13902" xr:uid="{E441E392-BFA6-45B2-AA31-FBA74AB19F2A}"/>
    <cellStyle name="40% - Accent4 11" xfId="8765" xr:uid="{18B6B6D6-5043-43D1-BB02-3855BF7027C3}"/>
    <cellStyle name="40% - Accent4 12" xfId="9685" xr:uid="{4389ED3C-0C36-4BF0-B97E-D1F30F84DB5C}"/>
    <cellStyle name="40% - Accent4 2" xfId="74" xr:uid="{00000000-0005-0000-0000-0000A2050000}"/>
    <cellStyle name="40% - Accent4 2 10" xfId="8801" xr:uid="{223FCC58-A05E-4022-8080-E75A80678FA6}"/>
    <cellStyle name="40% - Accent4 2 11" xfId="9686" xr:uid="{0EFC8B34-F6A8-4D72-A2A2-8ABB222416D3}"/>
    <cellStyle name="40% - Accent4 2 2" xfId="75" xr:uid="{00000000-0005-0000-0000-0000A3050000}"/>
    <cellStyle name="40% - Accent4 2 2 10" xfId="9687" xr:uid="{A3591954-C65B-461F-9646-2086C0EBE835}"/>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F55CDCCF-1777-409B-AB45-885A385D9FCB}"/>
    <cellStyle name="40% - Accent4 2 2 2 2 2 3" xfId="12247" xr:uid="{618F32BD-F355-4FA3-AC50-E8FD25017271}"/>
    <cellStyle name="40% - Accent4 2 2 2 2 3" xfId="4993" xr:uid="{00000000-0005-0000-0000-0000A8050000}"/>
    <cellStyle name="40% - Accent4 2 2 2 2 3 2" xfId="14319" xr:uid="{06831B6B-D4BE-4B7C-883E-B1FE1F4A50BE}"/>
    <cellStyle name="40% - Accent4 2 2 2 2 4" xfId="9536" xr:uid="{4351D24F-CE30-4CFD-968F-4B882F0FC9B5}"/>
    <cellStyle name="40% - Accent4 2 2 2 2 5" xfId="10102" xr:uid="{A2E43032-F927-451A-B160-8AE9BF1BC596}"/>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13FBEC7E-4D3F-4D33-ACD6-0BF48C626B23}"/>
    <cellStyle name="40% - Accent4 2 2 2 3 2 3" xfId="12660" xr:uid="{91A6D24D-011E-4A04-B011-9355BD5055AE}"/>
    <cellStyle name="40% - Accent4 2 2 2 3 3" xfId="5406" xr:uid="{00000000-0005-0000-0000-0000AC050000}"/>
    <cellStyle name="40% - Accent4 2 2 2 3 3 2" xfId="14732" xr:uid="{8F9C3929-64F7-469E-AE02-8E5CB56BE04C}"/>
    <cellStyle name="40% - Accent4 2 2 2 3 4" xfId="10515" xr:uid="{9FAFE5FE-61B2-40FA-AB85-507FE894A90A}"/>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4E257427-D852-4B0B-A5F1-63FFFFF4F88E}"/>
    <cellStyle name="40% - Accent4 2 2 2 4 2 3" xfId="13073" xr:uid="{14C03BF9-A3B9-4814-94F2-73B048C03476}"/>
    <cellStyle name="40% - Accent4 2 2 2 4 3" xfId="5819" xr:uid="{00000000-0005-0000-0000-0000B0050000}"/>
    <cellStyle name="40% - Accent4 2 2 2 4 3 2" xfId="15145" xr:uid="{C818BA54-40AF-44FB-93DF-B3BA4652EB7C}"/>
    <cellStyle name="40% - Accent4 2 2 2 4 4" xfId="10928" xr:uid="{07D22B92-306E-46EA-8CDD-C8374C470ADF}"/>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64F5A113-5E82-49AD-B320-38F2C348E4CD}"/>
    <cellStyle name="40% - Accent4 2 2 2 5 2 3" xfId="13486" xr:uid="{C4B91EDC-3078-4B75-B7DC-D5F556397D9D}"/>
    <cellStyle name="40% - Accent4 2 2 2 5 3" xfId="6232" xr:uid="{00000000-0005-0000-0000-0000B4050000}"/>
    <cellStyle name="40% - Accent4 2 2 2 5 3 2" xfId="15558" xr:uid="{BD7F7851-A4C2-4E2F-A80F-8A1589A80533}"/>
    <cellStyle name="40% - Accent4 2 2 2 5 4" xfId="11341" xr:uid="{AE9475A5-6C6B-44BD-96C2-AD714A2F2F64}"/>
    <cellStyle name="40% - Accent4 2 2 2 6" xfId="2339" xr:uid="{00000000-0005-0000-0000-0000B5050000}"/>
    <cellStyle name="40% - Accent4 2 2 2 6 2" xfId="6645" xr:uid="{00000000-0005-0000-0000-0000B6050000}"/>
    <cellStyle name="40% - Accent4 2 2 2 6 2 2" xfId="15971" xr:uid="{04DF377C-2DB2-4C30-B19B-9314496874BB}"/>
    <cellStyle name="40% - Accent4 2 2 2 6 3" xfId="11754" xr:uid="{FF3680C1-A8AD-46FC-B323-C22226E274D5}"/>
    <cellStyle name="40% - Accent4 2 2 2 7" xfId="4579" xr:uid="{00000000-0005-0000-0000-0000B7050000}"/>
    <cellStyle name="40% - Accent4 2 2 2 7 2" xfId="13905" xr:uid="{BCB5B604-2355-451A-B3F9-8CF46CE9C26C}"/>
    <cellStyle name="40% - Accent4 2 2 2 8" xfId="9111" xr:uid="{1DD86F12-0D11-497C-88D9-78D90E1EF65F}"/>
    <cellStyle name="40% - Accent4 2 2 2 9" xfId="9688" xr:uid="{2CC13336-E982-4F39-BEF3-F2C4FEDED958}"/>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124F6732-438B-4F05-8192-FBE8CCDE5800}"/>
    <cellStyle name="40% - Accent4 2 2 3 2 3" xfId="12246" xr:uid="{7EF54C0F-2B62-4353-853E-2C5983650D31}"/>
    <cellStyle name="40% - Accent4 2 2 3 3" xfId="4992" xr:uid="{00000000-0005-0000-0000-0000BB050000}"/>
    <cellStyle name="40% - Accent4 2 2 3 3 2" xfId="14318" xr:uid="{6DF4FF11-1BC8-4779-85F3-4C815D1462BE}"/>
    <cellStyle name="40% - Accent4 2 2 3 4" xfId="9329" xr:uid="{62CB3536-9FC4-4DBF-9121-AD0025D891C9}"/>
    <cellStyle name="40% - Accent4 2 2 3 5" xfId="10101" xr:uid="{3C7D0A69-57BA-4061-ADD9-946EC78A0267}"/>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156897E0-13FA-4748-B389-B6F99E35E6E8}"/>
    <cellStyle name="40% - Accent4 2 2 4 2 3" xfId="12659" xr:uid="{9FC023FE-24E2-457B-A5D5-1FF896C35C53}"/>
    <cellStyle name="40% - Accent4 2 2 4 3" xfId="5405" xr:uid="{00000000-0005-0000-0000-0000BF050000}"/>
    <cellStyle name="40% - Accent4 2 2 4 3 2" xfId="14731" xr:uid="{16A9B429-88D6-4489-8A15-3232FCE9AD74}"/>
    <cellStyle name="40% - Accent4 2 2 4 4" xfId="10514" xr:uid="{570A39FA-DA65-40C4-8A68-CEBEE4478DD0}"/>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E86F0991-F6E6-4A4F-967E-FB3BBB70BE22}"/>
    <cellStyle name="40% - Accent4 2 2 5 2 3" xfId="13072" xr:uid="{37AD232C-83AB-492E-9F31-67AF59E5DF85}"/>
    <cellStyle name="40% - Accent4 2 2 5 3" xfId="5818" xr:uid="{00000000-0005-0000-0000-0000C3050000}"/>
    <cellStyle name="40% - Accent4 2 2 5 3 2" xfId="15144" xr:uid="{144D556F-FC91-4194-899D-05B9286BAA5E}"/>
    <cellStyle name="40% - Accent4 2 2 5 4" xfId="10927" xr:uid="{52395589-ABF9-4C38-AB64-C2EDA518DB66}"/>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33F81CCC-769D-41EE-816C-F050FA8952A3}"/>
    <cellStyle name="40% - Accent4 2 2 6 2 3" xfId="13485" xr:uid="{0FD276F5-82AB-419D-BFC2-FD7E5F601860}"/>
    <cellStyle name="40% - Accent4 2 2 6 3" xfId="6231" xr:uid="{00000000-0005-0000-0000-0000C7050000}"/>
    <cellStyle name="40% - Accent4 2 2 6 3 2" xfId="15557" xr:uid="{D9718B44-78B2-46AC-B704-59A4E61927BE}"/>
    <cellStyle name="40% - Accent4 2 2 6 4" xfId="11340" xr:uid="{0F69084B-E369-4AE0-B4C0-77605A824376}"/>
    <cellStyle name="40% - Accent4 2 2 7" xfId="2338" xr:uid="{00000000-0005-0000-0000-0000C8050000}"/>
    <cellStyle name="40% - Accent4 2 2 7 2" xfId="6644" xr:uid="{00000000-0005-0000-0000-0000C9050000}"/>
    <cellStyle name="40% - Accent4 2 2 7 2 2" xfId="15970" xr:uid="{2AE83707-5072-4255-8256-5A7AACF3D216}"/>
    <cellStyle name="40% - Accent4 2 2 7 3" xfId="11753" xr:uid="{1381A7B9-CEF3-47C8-9A94-08C6EDEE79B7}"/>
    <cellStyle name="40% - Accent4 2 2 8" xfId="4578" xr:uid="{00000000-0005-0000-0000-0000CA050000}"/>
    <cellStyle name="40% - Accent4 2 2 8 2" xfId="13904" xr:uid="{802C7B0D-65B7-4076-973E-DE8DFB8BD0BD}"/>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445E73CD-BF3A-4DF1-AC55-71308B4ECD74}"/>
    <cellStyle name="40% - Accent4 2 3 2 2 3" xfId="12248" xr:uid="{66285E4D-4E42-42F7-9674-AF9296109F55}"/>
    <cellStyle name="40% - Accent4 2 3 2 3" xfId="4994" xr:uid="{00000000-0005-0000-0000-0000CF050000}"/>
    <cellStyle name="40% - Accent4 2 3 2 3 2" xfId="14320" xr:uid="{6F3DA7E2-783B-4804-B201-FCCD238459B0}"/>
    <cellStyle name="40% - Accent4 2 3 2 4" xfId="9433" xr:uid="{058786D1-7E7D-40D9-9218-B4C7219F4E53}"/>
    <cellStyle name="40% - Accent4 2 3 2 5" xfId="10103" xr:uid="{F78290C6-3D0B-4525-B91E-6DB97EF0BFB6}"/>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7A005133-4864-406B-B686-A91B85329B71}"/>
    <cellStyle name="40% - Accent4 2 3 3 2 3" xfId="12661" xr:uid="{A65C7614-0365-4D9D-A099-79CACA4A6CA7}"/>
    <cellStyle name="40% - Accent4 2 3 3 3" xfId="5407" xr:uid="{00000000-0005-0000-0000-0000D3050000}"/>
    <cellStyle name="40% - Accent4 2 3 3 3 2" xfId="14733" xr:uid="{1988927A-264F-4973-A34E-C91523D5C46A}"/>
    <cellStyle name="40% - Accent4 2 3 3 4" xfId="10516" xr:uid="{4397C451-20FD-4AA7-8EE9-C67B8A681644}"/>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53C965D9-F2F5-43BF-A1AB-5745928E5BC9}"/>
    <cellStyle name="40% - Accent4 2 3 4 2 3" xfId="13074" xr:uid="{AD1ACED0-645D-4D26-9C2C-CC9D5E4FFC19}"/>
    <cellStyle name="40% - Accent4 2 3 4 3" xfId="5820" xr:uid="{00000000-0005-0000-0000-0000D7050000}"/>
    <cellStyle name="40% - Accent4 2 3 4 3 2" xfId="15146" xr:uid="{D01DF323-E788-48F6-BF59-E568BEBD24BD}"/>
    <cellStyle name="40% - Accent4 2 3 4 4" xfId="10929" xr:uid="{2CC22700-ABA1-4152-8587-B6F5DA542069}"/>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66CF9E6D-83E0-4CA1-BEDC-AEF17C4CE695}"/>
    <cellStyle name="40% - Accent4 2 3 5 2 3" xfId="13487" xr:uid="{13851017-4DC4-4289-B3A3-2B5CAEF025F6}"/>
    <cellStyle name="40% - Accent4 2 3 5 3" xfId="6233" xr:uid="{00000000-0005-0000-0000-0000DB050000}"/>
    <cellStyle name="40% - Accent4 2 3 5 3 2" xfId="15559" xr:uid="{00D1B772-7B61-4DA1-81E4-7F418B56526B}"/>
    <cellStyle name="40% - Accent4 2 3 5 4" xfId="11342" xr:uid="{565B3F1F-31E0-40E1-AB93-38E04AF9332A}"/>
    <cellStyle name="40% - Accent4 2 3 6" xfId="2340" xr:uid="{00000000-0005-0000-0000-0000DC050000}"/>
    <cellStyle name="40% - Accent4 2 3 6 2" xfId="6646" xr:uid="{00000000-0005-0000-0000-0000DD050000}"/>
    <cellStyle name="40% - Accent4 2 3 6 2 2" xfId="15972" xr:uid="{4E658C04-192F-4524-9583-4FE20033E4C1}"/>
    <cellStyle name="40% - Accent4 2 3 6 3" xfId="11755" xr:uid="{2B30C080-8AE9-44CA-91DB-BA52361A911F}"/>
    <cellStyle name="40% - Accent4 2 3 7" xfId="4580" xr:uid="{00000000-0005-0000-0000-0000DE050000}"/>
    <cellStyle name="40% - Accent4 2 3 7 2" xfId="13906" xr:uid="{D2BAB48B-C321-4815-9D34-5DDB923D0D86}"/>
    <cellStyle name="40% - Accent4 2 3 8" xfId="9008" xr:uid="{270F4CAB-C86F-4D9D-804F-69497913908B}"/>
    <cellStyle name="40% - Accent4 2 3 9" xfId="9689" xr:uid="{0D44E559-81FF-466A-8402-48A4B9ED1285}"/>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D1611353-B2C3-4E39-A53D-97C0B5FFE4CE}"/>
    <cellStyle name="40% - Accent4 2 4 2 3" xfId="12245" xr:uid="{CD1A4276-F1D1-4A09-BB2A-D7E2EE8A381E}"/>
    <cellStyle name="40% - Accent4 2 4 3" xfId="4991" xr:uid="{00000000-0005-0000-0000-0000E2050000}"/>
    <cellStyle name="40% - Accent4 2 4 3 2" xfId="14317" xr:uid="{00D1137D-E1F8-47DF-9028-5B1D7E74A5D2}"/>
    <cellStyle name="40% - Accent4 2 4 4" xfId="9225" xr:uid="{40EEB981-54C4-40E4-A2F9-BCD479248D23}"/>
    <cellStyle name="40% - Accent4 2 4 5" xfId="10100" xr:uid="{984AF4ED-4C07-4158-8A77-8C77329864E9}"/>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1E68FA34-3DE0-4176-828D-31EEAC161B5E}"/>
    <cellStyle name="40% - Accent4 2 5 2 3" xfId="12658" xr:uid="{4438DB95-A458-4A7A-AA69-2DF0CEF67AC3}"/>
    <cellStyle name="40% - Accent4 2 5 3" xfId="5404" xr:uid="{00000000-0005-0000-0000-0000E6050000}"/>
    <cellStyle name="40% - Accent4 2 5 3 2" xfId="14730" xr:uid="{552BBA38-AA83-4FFC-A2B3-FB77655130BA}"/>
    <cellStyle name="40% - Accent4 2 5 4" xfId="10513" xr:uid="{6DB8DDE5-2F39-445B-869A-54887061059E}"/>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FB01050D-17B1-4369-B2F8-EC0648AC3F4B}"/>
    <cellStyle name="40% - Accent4 2 6 2 3" xfId="13071" xr:uid="{832A2DD6-BA56-485A-B259-5D929FCD77ED}"/>
    <cellStyle name="40% - Accent4 2 6 3" xfId="5817" xr:uid="{00000000-0005-0000-0000-0000EA050000}"/>
    <cellStyle name="40% - Accent4 2 6 3 2" xfId="15143" xr:uid="{BD3582F9-B9E4-41E3-BB98-D4F20AC9193E}"/>
    <cellStyle name="40% - Accent4 2 6 4" xfId="10926" xr:uid="{80E970CA-1B74-4B21-919C-8E2702D94B03}"/>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0045AFDF-2BC9-463F-B7C9-0601344AFC79}"/>
    <cellStyle name="40% - Accent4 2 7 2 3" xfId="13484" xr:uid="{673CB62C-18D3-4E68-B0BD-07AA89592F16}"/>
    <cellStyle name="40% - Accent4 2 7 3" xfId="6230" xr:uid="{00000000-0005-0000-0000-0000EE050000}"/>
    <cellStyle name="40% - Accent4 2 7 3 2" xfId="15556" xr:uid="{C812CC7A-08A2-4ECF-8CB4-935EF009E26C}"/>
    <cellStyle name="40% - Accent4 2 7 4" xfId="11339" xr:uid="{B7E4336D-3923-412F-96D0-CF001AB40208}"/>
    <cellStyle name="40% - Accent4 2 8" xfId="2337" xr:uid="{00000000-0005-0000-0000-0000EF050000}"/>
    <cellStyle name="40% - Accent4 2 8 2" xfId="6643" xr:uid="{00000000-0005-0000-0000-0000F0050000}"/>
    <cellStyle name="40% - Accent4 2 8 2 2" xfId="15969" xr:uid="{D3BAD1AA-D816-4DAD-B306-FEBFFB4627B2}"/>
    <cellStyle name="40% - Accent4 2 8 3" xfId="11752" xr:uid="{F8F9A5D0-0298-4CD2-82E6-15779B1C92D5}"/>
    <cellStyle name="40% - Accent4 2 9" xfId="4577" xr:uid="{00000000-0005-0000-0000-0000F1050000}"/>
    <cellStyle name="40% - Accent4 2 9 2" xfId="13903" xr:uid="{12EB8173-099A-4B80-A5D8-A7C5B7A46945}"/>
    <cellStyle name="40% - Accent4 3" xfId="78" xr:uid="{00000000-0005-0000-0000-0000F2050000}"/>
    <cellStyle name="40% - Accent4 3 10" xfId="9690" xr:uid="{8342FDA8-0457-467B-A268-ED8E0C0EFE8E}"/>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708A04EC-5C21-451A-A900-BAA5941243EB}"/>
    <cellStyle name="40% - Accent4 3 2 2 2 3" xfId="12250" xr:uid="{FD8AA10C-2522-4590-A15E-C278A0290DBB}"/>
    <cellStyle name="40% - Accent4 3 2 2 3" xfId="4996" xr:uid="{00000000-0005-0000-0000-0000F7050000}"/>
    <cellStyle name="40% - Accent4 3 2 2 3 2" xfId="14322" xr:uid="{A8B58521-8600-4C2E-BAD5-5B57F5E1AF04}"/>
    <cellStyle name="40% - Accent4 3 2 2 4" xfId="9500" xr:uid="{EAAAC99F-A3A1-40FB-B78D-6862EF121B7A}"/>
    <cellStyle name="40% - Accent4 3 2 2 5" xfId="10105" xr:uid="{C05424BC-86D2-4C09-89F0-09887CE1ADEC}"/>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E99E72E1-3B4C-4EC7-84D2-6ABD39AEA038}"/>
    <cellStyle name="40% - Accent4 3 2 3 2 3" xfId="12663" xr:uid="{35958D58-0830-40E5-BF70-B6C6B0F45E13}"/>
    <cellStyle name="40% - Accent4 3 2 3 3" xfId="5409" xr:uid="{00000000-0005-0000-0000-0000FB050000}"/>
    <cellStyle name="40% - Accent4 3 2 3 3 2" xfId="14735" xr:uid="{AB442442-2DF6-4BBE-8381-CA58FC557AE0}"/>
    <cellStyle name="40% - Accent4 3 2 3 4" xfId="10518" xr:uid="{4A48E1EE-A2E5-4FB6-BEB1-4A729B92CB6D}"/>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4EFA38D2-F1B5-427C-A97B-C85F020B333D}"/>
    <cellStyle name="40% - Accent4 3 2 4 2 3" xfId="13076" xr:uid="{5A6C1B52-2F82-4287-9EC4-6675345DCFB2}"/>
    <cellStyle name="40% - Accent4 3 2 4 3" xfId="5822" xr:uid="{00000000-0005-0000-0000-0000FF050000}"/>
    <cellStyle name="40% - Accent4 3 2 4 3 2" xfId="15148" xr:uid="{457F5E59-8BD5-4D70-9DD9-66ADBC0F489E}"/>
    <cellStyle name="40% - Accent4 3 2 4 4" xfId="10931" xr:uid="{062C665D-66CF-48BA-97BE-5FB4F4B7D678}"/>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FE5A014E-6632-400E-8ECB-A31BFC2055D5}"/>
    <cellStyle name="40% - Accent4 3 2 5 2 3" xfId="13489" xr:uid="{ADC3F735-4C22-4206-9988-1759042D6DAE}"/>
    <cellStyle name="40% - Accent4 3 2 5 3" xfId="6235" xr:uid="{00000000-0005-0000-0000-000003060000}"/>
    <cellStyle name="40% - Accent4 3 2 5 3 2" xfId="15561" xr:uid="{D0A8516A-4DED-4C26-AC24-F7430AB9F71F}"/>
    <cellStyle name="40% - Accent4 3 2 5 4" xfId="11344" xr:uid="{20934D82-28FF-49D1-AA24-7799AFD18B12}"/>
    <cellStyle name="40% - Accent4 3 2 6" xfId="2342" xr:uid="{00000000-0005-0000-0000-000004060000}"/>
    <cellStyle name="40% - Accent4 3 2 6 2" xfId="6648" xr:uid="{00000000-0005-0000-0000-000005060000}"/>
    <cellStyle name="40% - Accent4 3 2 6 2 2" xfId="15974" xr:uid="{8651C8FE-60D7-4524-B988-63D8FFAB769C}"/>
    <cellStyle name="40% - Accent4 3 2 6 3" xfId="11757" xr:uid="{CB76610F-3D0B-4250-892A-74DBB770FE02}"/>
    <cellStyle name="40% - Accent4 3 2 7" xfId="4582" xr:uid="{00000000-0005-0000-0000-000006060000}"/>
    <cellStyle name="40% - Accent4 3 2 7 2" xfId="13908" xr:uid="{6BEC8061-9243-447B-A51C-41C03D514DC5}"/>
    <cellStyle name="40% - Accent4 3 2 8" xfId="9075" xr:uid="{6C51FF47-5618-4E1E-BC97-01FFF287A6C3}"/>
    <cellStyle name="40% - Accent4 3 2 9" xfId="9691" xr:uid="{655A2FE8-3916-4933-A7D7-955D56C0BACB}"/>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B1F0EC10-F1A9-4D0F-AB3B-4B2EF79F2B7E}"/>
    <cellStyle name="40% - Accent4 3 3 2 3" xfId="12249" xr:uid="{03164857-1A4F-4D9E-A199-BE39F8298B4F}"/>
    <cellStyle name="40% - Accent4 3 3 3" xfId="4995" xr:uid="{00000000-0005-0000-0000-00000A060000}"/>
    <cellStyle name="40% - Accent4 3 3 3 2" xfId="14321" xr:uid="{161DCCEE-069F-4143-8103-2BDB014220AF}"/>
    <cellStyle name="40% - Accent4 3 3 4" xfId="9293" xr:uid="{4A28D7F5-3617-45DC-A350-6C6596CDA765}"/>
    <cellStyle name="40% - Accent4 3 3 5" xfId="10104" xr:uid="{77CFC9D1-7AF3-4815-958B-4A326734EE47}"/>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6353A7FF-93E5-41C4-9F77-1D8F66E5E504}"/>
    <cellStyle name="40% - Accent4 3 4 2 3" xfId="12662" xr:uid="{9D8C87BA-093C-4492-AAD5-9A5A71D7591E}"/>
    <cellStyle name="40% - Accent4 3 4 3" xfId="5408" xr:uid="{00000000-0005-0000-0000-00000E060000}"/>
    <cellStyle name="40% - Accent4 3 4 3 2" xfId="14734" xr:uid="{21F75285-DEA5-4449-8533-8291241DE92C}"/>
    <cellStyle name="40% - Accent4 3 4 4" xfId="10517" xr:uid="{4A5CA7D0-183A-4D91-87C4-B96E0448DA0B}"/>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EBEFD0BA-BA23-4EA0-B50E-73CF7DC5039B}"/>
    <cellStyle name="40% - Accent4 3 5 2 3" xfId="13075" xr:uid="{F1879339-8328-43FB-96FB-1F9330979C17}"/>
    <cellStyle name="40% - Accent4 3 5 3" xfId="5821" xr:uid="{00000000-0005-0000-0000-000012060000}"/>
    <cellStyle name="40% - Accent4 3 5 3 2" xfId="15147" xr:uid="{BFC71E24-F58A-47CD-9CE0-BE864775EDCB}"/>
    <cellStyle name="40% - Accent4 3 5 4" xfId="10930" xr:uid="{578EC251-A033-4083-A712-5CAC10711737}"/>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66695C2C-25A0-4452-BFE0-79542D36A9B5}"/>
    <cellStyle name="40% - Accent4 3 6 2 3" xfId="13488" xr:uid="{D0F46850-2FF0-4498-8922-AFD97CBD1592}"/>
    <cellStyle name="40% - Accent4 3 6 3" xfId="6234" xr:uid="{00000000-0005-0000-0000-000016060000}"/>
    <cellStyle name="40% - Accent4 3 6 3 2" xfId="15560" xr:uid="{28EB391B-0BDA-4EC4-9A4D-A0E48E696CE5}"/>
    <cellStyle name="40% - Accent4 3 6 4" xfId="11343" xr:uid="{8A69CE66-29D2-4B18-B5DE-2DEBC10DBB99}"/>
    <cellStyle name="40% - Accent4 3 7" xfId="2341" xr:uid="{00000000-0005-0000-0000-000017060000}"/>
    <cellStyle name="40% - Accent4 3 7 2" xfId="6647" xr:uid="{00000000-0005-0000-0000-000018060000}"/>
    <cellStyle name="40% - Accent4 3 7 2 2" xfId="15973" xr:uid="{2B7AF389-22CD-4749-9D7C-137AE31C62DE}"/>
    <cellStyle name="40% - Accent4 3 7 3" xfId="11756" xr:uid="{12F234BB-BE4B-4CDE-B516-1C86F1BF1031}"/>
    <cellStyle name="40% - Accent4 3 8" xfId="4581" xr:uid="{00000000-0005-0000-0000-000019060000}"/>
    <cellStyle name="40% - Accent4 3 8 2" xfId="13907" xr:uid="{41AC5A79-9F5E-4390-AE83-1AFDAFC04B66}"/>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A89F3372-5FC5-41E6-8968-86625171CDA0}"/>
    <cellStyle name="40% - Accent4 4 2 2 3" xfId="12251" xr:uid="{0C1DCA29-A88E-439D-9C27-68C8EE829F99}"/>
    <cellStyle name="40% - Accent4 4 2 3" xfId="4997" xr:uid="{00000000-0005-0000-0000-00001E060000}"/>
    <cellStyle name="40% - Accent4 4 2 3 2" xfId="14323" xr:uid="{4DBB5290-FA29-49C8-A125-3341DAB844AB}"/>
    <cellStyle name="40% - Accent4 4 2 4" xfId="9379" xr:uid="{EE31EAE0-1741-4D6E-B7B4-C5DB59044F55}"/>
    <cellStyle name="40% - Accent4 4 2 5" xfId="10106" xr:uid="{A9B32FF2-09B7-4885-B7A2-4CB2B1400F4A}"/>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8464A80B-89B8-4316-9B17-DD0FE762786F}"/>
    <cellStyle name="40% - Accent4 4 3 2 3" xfId="12664" xr:uid="{F1EEAB97-FE4A-41AA-BBF6-790BDF773CEE}"/>
    <cellStyle name="40% - Accent4 4 3 3" xfId="5410" xr:uid="{00000000-0005-0000-0000-000022060000}"/>
    <cellStyle name="40% - Accent4 4 3 3 2" xfId="14736" xr:uid="{52229D42-7980-4611-B03F-B904C37A5D74}"/>
    <cellStyle name="40% - Accent4 4 3 4" xfId="10519" xr:uid="{16BF7429-4590-4F42-92B2-4C0497C6D5A3}"/>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0500CD17-126F-49B4-9191-A12697E21BEC}"/>
    <cellStyle name="40% - Accent4 4 4 2 3" xfId="13077" xr:uid="{4347B1D9-6FF9-47D4-90DB-071ECF2046EB}"/>
    <cellStyle name="40% - Accent4 4 4 3" xfId="5823" xr:uid="{00000000-0005-0000-0000-000026060000}"/>
    <cellStyle name="40% - Accent4 4 4 3 2" xfId="15149" xr:uid="{9D1BDEE2-6476-4FCA-9E72-5232F71FF5F4}"/>
    <cellStyle name="40% - Accent4 4 4 4" xfId="10932" xr:uid="{6C29CDEB-8EB5-481A-A5DE-194E51F502D7}"/>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3E59091E-8E06-4558-AD6E-DBDC85C9CA6B}"/>
    <cellStyle name="40% - Accent4 4 5 2 3" xfId="13490" xr:uid="{AFC403BD-EC8E-4A0D-9094-C7EDFC48F09F}"/>
    <cellStyle name="40% - Accent4 4 5 3" xfId="6236" xr:uid="{00000000-0005-0000-0000-00002A060000}"/>
    <cellStyle name="40% - Accent4 4 5 3 2" xfId="15562" xr:uid="{5D1B20E1-7F32-4D2B-8FA7-2463FE17E4CF}"/>
    <cellStyle name="40% - Accent4 4 5 4" xfId="11345" xr:uid="{19833A52-EC21-4F6E-8BAD-0CDB79321D6A}"/>
    <cellStyle name="40% - Accent4 4 6" xfId="2343" xr:uid="{00000000-0005-0000-0000-00002B060000}"/>
    <cellStyle name="40% - Accent4 4 6 2" xfId="6649" xr:uid="{00000000-0005-0000-0000-00002C060000}"/>
    <cellStyle name="40% - Accent4 4 6 2 2" xfId="15975" xr:uid="{6192AA2A-8CC5-4525-A28E-B0E621C05225}"/>
    <cellStyle name="40% - Accent4 4 6 3" xfId="11758" xr:uid="{379F2C91-6543-4956-8276-3EEF2AA79C39}"/>
    <cellStyle name="40% - Accent4 4 7" xfId="4583" xr:uid="{00000000-0005-0000-0000-00002D060000}"/>
    <cellStyle name="40% - Accent4 4 7 2" xfId="13909" xr:uid="{0A3E2121-3933-449C-BF1D-DD6039619B79}"/>
    <cellStyle name="40% - Accent4 4 8" xfId="8954" xr:uid="{2C178683-58B3-4513-85E7-15FAC3AC035D}"/>
    <cellStyle name="40% - Accent4 4 9" xfId="9692" xr:uid="{1E07D76F-439C-4152-8323-97281D2CB00E}"/>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911A989B-E881-477D-B596-B51A27ADAF35}"/>
    <cellStyle name="40% - Accent4 5 2 3" xfId="12244" xr:uid="{C34A94E4-4AD2-4E56-A5CD-8A8617573F22}"/>
    <cellStyle name="40% - Accent4 5 3" xfId="4990" xr:uid="{00000000-0005-0000-0000-000031060000}"/>
    <cellStyle name="40% - Accent4 5 3 2" xfId="14316" xr:uid="{F100053E-B0DE-4CA8-A7BB-6A78058DA0F6}"/>
    <cellStyle name="40% - Accent4 5 4" xfId="9187" xr:uid="{33022C89-0CDD-4091-8005-358F63FF8F46}"/>
    <cellStyle name="40% - Accent4 5 5" xfId="10099" xr:uid="{007BB8D2-3DBD-47A9-93EA-FBDB310AAAD7}"/>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50DA202B-24AA-44C4-ACA8-73A432DED375}"/>
    <cellStyle name="40% - Accent4 6 2 3" xfId="12657" xr:uid="{31D5FAAC-EE70-43CC-BE98-0BD9CD097FEE}"/>
    <cellStyle name="40% - Accent4 6 3" xfId="5403" xr:uid="{00000000-0005-0000-0000-000035060000}"/>
    <cellStyle name="40% - Accent4 6 3 2" xfId="14729" xr:uid="{47E0B72E-A059-476F-997C-6ABA8936F882}"/>
    <cellStyle name="40% - Accent4 6 4" xfId="10512" xr:uid="{74CDE14C-BEB2-4AF6-880E-ABEB62797108}"/>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1C7B545C-36EE-446D-955C-946999583773}"/>
    <cellStyle name="40% - Accent4 7 2 3" xfId="13070" xr:uid="{12406C53-4FCB-4892-8825-D4F17319E880}"/>
    <cellStyle name="40% - Accent4 7 3" xfId="5816" xr:uid="{00000000-0005-0000-0000-000039060000}"/>
    <cellStyle name="40% - Accent4 7 3 2" xfId="15142" xr:uid="{65C3F6FC-8C8E-41AA-8E00-641D8675B8F3}"/>
    <cellStyle name="40% - Accent4 7 4" xfId="10925" xr:uid="{5836911F-6FE6-49B4-90D8-08D56596E1F0}"/>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0249AE9C-8CF2-4DEC-A9A8-ACEEED04B650}"/>
    <cellStyle name="40% - Accent4 8 2 3" xfId="13483" xr:uid="{3B280F91-51A8-4D44-8BBC-909902A91DC1}"/>
    <cellStyle name="40% - Accent4 8 3" xfId="6229" xr:uid="{00000000-0005-0000-0000-00003D060000}"/>
    <cellStyle name="40% - Accent4 8 3 2" xfId="15555" xr:uid="{B7C3F6F9-E044-4696-BE05-214AB67F04CF}"/>
    <cellStyle name="40% - Accent4 8 4" xfId="11338" xr:uid="{CA35D42E-F121-4883-AA53-344F62240484}"/>
    <cellStyle name="40% - Accent4 9" xfId="2336" xr:uid="{00000000-0005-0000-0000-00003E060000}"/>
    <cellStyle name="40% - Accent4 9 2" xfId="6642" xr:uid="{00000000-0005-0000-0000-00003F060000}"/>
    <cellStyle name="40% - Accent4 9 2 2" xfId="15968" xr:uid="{11C9146E-EB8B-45AE-A41D-66817777414E}"/>
    <cellStyle name="40% - Accent4 9 3" xfId="11751" xr:uid="{83265FE2-9D49-4D65-9B7F-15171E1A0E8A}"/>
    <cellStyle name="40% - Accent5" xfId="81" builtinId="47" customBuiltin="1"/>
    <cellStyle name="40% - Accent5 10" xfId="4584" xr:uid="{00000000-0005-0000-0000-000041060000}"/>
    <cellStyle name="40% - Accent5 10 2" xfId="13910" xr:uid="{3140109B-13CE-49C7-A992-22EC9ECC4D1D}"/>
    <cellStyle name="40% - Accent5 11" xfId="8767" xr:uid="{7A46ADF8-3420-4D4A-A3FE-8E96F0FA38E7}"/>
    <cellStyle name="40% - Accent5 12" xfId="9693" xr:uid="{A9FF01F4-7F41-4D21-9AA7-C32C8311114B}"/>
    <cellStyle name="40% - Accent5 2" xfId="82" xr:uid="{00000000-0005-0000-0000-000042060000}"/>
    <cellStyle name="40% - Accent5 2 10" xfId="8802" xr:uid="{CF9BFF45-99AC-47A3-8B01-051C55FBB24D}"/>
    <cellStyle name="40% - Accent5 2 11" xfId="9694" xr:uid="{00E8BA8B-CCA7-43AC-B4A9-8F4B29DF574F}"/>
    <cellStyle name="40% - Accent5 2 2" xfId="83" xr:uid="{00000000-0005-0000-0000-000043060000}"/>
    <cellStyle name="40% - Accent5 2 2 10" xfId="9695" xr:uid="{7E79B146-F0FD-4279-A4D5-E0D10C1A0235}"/>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E70E1527-C1DB-47D2-A72F-4C86FB13D911}"/>
    <cellStyle name="40% - Accent5 2 2 2 2 2 3" xfId="12255" xr:uid="{16F4039A-3FBF-428A-A57B-4DF33359B375}"/>
    <cellStyle name="40% - Accent5 2 2 2 2 3" xfId="5001" xr:uid="{00000000-0005-0000-0000-000048060000}"/>
    <cellStyle name="40% - Accent5 2 2 2 2 3 2" xfId="14327" xr:uid="{BDE4125E-12F6-4BAC-90A0-AA9B4E699AF9}"/>
    <cellStyle name="40% - Accent5 2 2 2 2 4" xfId="9537" xr:uid="{83834145-5D3F-4083-A609-6DB90651C4CE}"/>
    <cellStyle name="40% - Accent5 2 2 2 2 5" xfId="10110" xr:uid="{D0F90AAD-E4E8-4F31-97A2-D84165D658EC}"/>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A14BBC65-ABF4-4D5E-906D-C82974849082}"/>
    <cellStyle name="40% - Accent5 2 2 2 3 2 3" xfId="12668" xr:uid="{F6F4934A-8F3C-44D5-B704-73C405997AF2}"/>
    <cellStyle name="40% - Accent5 2 2 2 3 3" xfId="5414" xr:uid="{00000000-0005-0000-0000-00004C060000}"/>
    <cellStyle name="40% - Accent5 2 2 2 3 3 2" xfId="14740" xr:uid="{9822448D-CEA8-45B3-A09C-714C5733025E}"/>
    <cellStyle name="40% - Accent5 2 2 2 3 4" xfId="10523" xr:uid="{5E31AAB7-2350-4B0F-8F51-7A288E773206}"/>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ADB42426-9DBD-4873-B39F-0C5ED373F48D}"/>
    <cellStyle name="40% - Accent5 2 2 2 4 2 3" xfId="13081" xr:uid="{00C663F6-E81A-466B-B51E-4067047DEED1}"/>
    <cellStyle name="40% - Accent5 2 2 2 4 3" xfId="5827" xr:uid="{00000000-0005-0000-0000-000050060000}"/>
    <cellStyle name="40% - Accent5 2 2 2 4 3 2" xfId="15153" xr:uid="{6E8E5267-4577-40C3-8481-4BA58B267A89}"/>
    <cellStyle name="40% - Accent5 2 2 2 4 4" xfId="10936" xr:uid="{6F401969-5356-454B-BF14-5A773D977C0F}"/>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B46DAE6D-3712-44F6-A1C0-6F249B0E8CF3}"/>
    <cellStyle name="40% - Accent5 2 2 2 5 2 3" xfId="13494" xr:uid="{C0F5DB1F-0EC0-494E-A148-7A2350B293C6}"/>
    <cellStyle name="40% - Accent5 2 2 2 5 3" xfId="6240" xr:uid="{00000000-0005-0000-0000-000054060000}"/>
    <cellStyle name="40% - Accent5 2 2 2 5 3 2" xfId="15566" xr:uid="{795F840C-6C2F-4D46-B142-7B041AB03F7D}"/>
    <cellStyle name="40% - Accent5 2 2 2 5 4" xfId="11349" xr:uid="{8ECAFF1E-4257-4E99-A3C0-5E27B0AD02B1}"/>
    <cellStyle name="40% - Accent5 2 2 2 6" xfId="2347" xr:uid="{00000000-0005-0000-0000-000055060000}"/>
    <cellStyle name="40% - Accent5 2 2 2 6 2" xfId="6653" xr:uid="{00000000-0005-0000-0000-000056060000}"/>
    <cellStyle name="40% - Accent5 2 2 2 6 2 2" xfId="15979" xr:uid="{32167990-1FA3-4522-BD08-03954E03473D}"/>
    <cellStyle name="40% - Accent5 2 2 2 6 3" xfId="11762" xr:uid="{AF16B764-9493-485E-9866-77FDB0E1EFA9}"/>
    <cellStyle name="40% - Accent5 2 2 2 7" xfId="4587" xr:uid="{00000000-0005-0000-0000-000057060000}"/>
    <cellStyle name="40% - Accent5 2 2 2 7 2" xfId="13913" xr:uid="{244C6571-F914-46A0-BF16-422467C9015E}"/>
    <cellStyle name="40% - Accent5 2 2 2 8" xfId="9112" xr:uid="{65D0CC40-E9D0-4CE3-B684-8DE4A2C7BCD7}"/>
    <cellStyle name="40% - Accent5 2 2 2 9" xfId="9696" xr:uid="{08817258-7A4A-4B8E-A938-294EA02E5281}"/>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F39CB9E4-3C93-4151-83AF-797A8C49B4F3}"/>
    <cellStyle name="40% - Accent5 2 2 3 2 3" xfId="12254" xr:uid="{122AC80F-4FB7-47D5-997B-35626852D0FE}"/>
    <cellStyle name="40% - Accent5 2 2 3 3" xfId="5000" xr:uid="{00000000-0005-0000-0000-00005B060000}"/>
    <cellStyle name="40% - Accent5 2 2 3 3 2" xfId="14326" xr:uid="{73E98DB8-C7F8-487F-8E2B-CE1A7834EEF7}"/>
    <cellStyle name="40% - Accent5 2 2 3 4" xfId="9330" xr:uid="{75959B30-FD84-42A5-95AE-69048CCC8361}"/>
    <cellStyle name="40% - Accent5 2 2 3 5" xfId="10109" xr:uid="{2C1F7F1F-23FD-4243-988A-38F022176D5C}"/>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C1CD7F20-1135-4576-B687-1312268BBF92}"/>
    <cellStyle name="40% - Accent5 2 2 4 2 3" xfId="12667" xr:uid="{6089DD83-303D-4FBE-9254-AB7A57C7F240}"/>
    <cellStyle name="40% - Accent5 2 2 4 3" xfId="5413" xr:uid="{00000000-0005-0000-0000-00005F060000}"/>
    <cellStyle name="40% - Accent5 2 2 4 3 2" xfId="14739" xr:uid="{2B30C6E6-20E8-4BB3-B01B-FC431EA5DCAE}"/>
    <cellStyle name="40% - Accent5 2 2 4 4" xfId="10522" xr:uid="{29009483-EC4A-4FA2-A030-7D922F15302B}"/>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4657CFCA-2AF6-47C9-97B1-508D97E1938A}"/>
    <cellStyle name="40% - Accent5 2 2 5 2 3" xfId="13080" xr:uid="{F2FFED51-ABED-4E4B-B90E-4EB27C728E7F}"/>
    <cellStyle name="40% - Accent5 2 2 5 3" xfId="5826" xr:uid="{00000000-0005-0000-0000-000063060000}"/>
    <cellStyle name="40% - Accent5 2 2 5 3 2" xfId="15152" xr:uid="{E54BB90D-878B-4AD6-B47B-D0EF53B30DA8}"/>
    <cellStyle name="40% - Accent5 2 2 5 4" xfId="10935" xr:uid="{1555505F-7D3D-4444-A550-DE2A2BE403E8}"/>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66A57521-0A42-42BA-ADF3-07BB5C44AA74}"/>
    <cellStyle name="40% - Accent5 2 2 6 2 3" xfId="13493" xr:uid="{4753E34C-190C-430D-8225-F395AEEA67B9}"/>
    <cellStyle name="40% - Accent5 2 2 6 3" xfId="6239" xr:uid="{00000000-0005-0000-0000-000067060000}"/>
    <cellStyle name="40% - Accent5 2 2 6 3 2" xfId="15565" xr:uid="{7A713592-7CAA-4E06-A763-6F5F5C1622D1}"/>
    <cellStyle name="40% - Accent5 2 2 6 4" xfId="11348" xr:uid="{11E85CF2-C1FA-42AA-865D-C1E70BD5C124}"/>
    <cellStyle name="40% - Accent5 2 2 7" xfId="2346" xr:uid="{00000000-0005-0000-0000-000068060000}"/>
    <cellStyle name="40% - Accent5 2 2 7 2" xfId="6652" xr:uid="{00000000-0005-0000-0000-000069060000}"/>
    <cellStyle name="40% - Accent5 2 2 7 2 2" xfId="15978" xr:uid="{E1ADE136-D50D-48FB-A14A-C0DF21EC3D4D}"/>
    <cellStyle name="40% - Accent5 2 2 7 3" xfId="11761" xr:uid="{F8CB739D-78DC-4998-A916-7BCD080513B7}"/>
    <cellStyle name="40% - Accent5 2 2 8" xfId="4586" xr:uid="{00000000-0005-0000-0000-00006A060000}"/>
    <cellStyle name="40% - Accent5 2 2 8 2" xfId="13912" xr:uid="{D57FF719-31ED-444D-87E2-73767D7915A6}"/>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28B2D98F-F761-4A7A-B6A4-BB90D1E954E5}"/>
    <cellStyle name="40% - Accent5 2 3 2 2 3" xfId="12256" xr:uid="{69DC2DA2-923F-4AC0-A60C-62431F785E74}"/>
    <cellStyle name="40% - Accent5 2 3 2 3" xfId="5002" xr:uid="{00000000-0005-0000-0000-00006F060000}"/>
    <cellStyle name="40% - Accent5 2 3 2 3 2" xfId="14328" xr:uid="{33D545A9-9EB4-429D-9081-7E010DEDA070}"/>
    <cellStyle name="40% - Accent5 2 3 2 4" xfId="9434" xr:uid="{512EAA64-F150-4B15-8534-EB34D6D41408}"/>
    <cellStyle name="40% - Accent5 2 3 2 5" xfId="10111" xr:uid="{8BED2AAA-BB0A-4BB2-8D84-D3CED8899205}"/>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72A355E3-D1F3-45DF-9EFE-160802A85D4F}"/>
    <cellStyle name="40% - Accent5 2 3 3 2 3" xfId="12669" xr:uid="{D767CCB2-0432-4793-A107-023C4D240DA2}"/>
    <cellStyle name="40% - Accent5 2 3 3 3" xfId="5415" xr:uid="{00000000-0005-0000-0000-000073060000}"/>
    <cellStyle name="40% - Accent5 2 3 3 3 2" xfId="14741" xr:uid="{BAD8B09D-F096-49A5-998B-4B8CC4627F71}"/>
    <cellStyle name="40% - Accent5 2 3 3 4" xfId="10524" xr:uid="{5D45A0F7-4011-40B0-9C4A-4F57985BC307}"/>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A1BE5E95-D6AD-43D0-A36D-4586EB0EA313}"/>
    <cellStyle name="40% - Accent5 2 3 4 2 3" xfId="13082" xr:uid="{0ED2A7A9-128B-4C25-B8EF-33C7FDEA6894}"/>
    <cellStyle name="40% - Accent5 2 3 4 3" xfId="5828" xr:uid="{00000000-0005-0000-0000-000077060000}"/>
    <cellStyle name="40% - Accent5 2 3 4 3 2" xfId="15154" xr:uid="{B8131585-0286-4E82-9FA7-25C04CFFEF15}"/>
    <cellStyle name="40% - Accent5 2 3 4 4" xfId="10937" xr:uid="{744CF8DC-35CA-4D26-9518-ACAB8B977558}"/>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E5122428-7F63-4A0E-BD30-366039728778}"/>
    <cellStyle name="40% - Accent5 2 3 5 2 3" xfId="13495" xr:uid="{44DF2A0A-D5F4-46C3-9581-3B255F6CAEB4}"/>
    <cellStyle name="40% - Accent5 2 3 5 3" xfId="6241" xr:uid="{00000000-0005-0000-0000-00007B060000}"/>
    <cellStyle name="40% - Accent5 2 3 5 3 2" xfId="15567" xr:uid="{BD366011-E72A-4E04-A800-8E9CC7B74B7D}"/>
    <cellStyle name="40% - Accent5 2 3 5 4" xfId="11350" xr:uid="{F6BEF11D-3DDC-467A-9D43-79295A8B44BE}"/>
    <cellStyle name="40% - Accent5 2 3 6" xfId="2348" xr:uid="{00000000-0005-0000-0000-00007C060000}"/>
    <cellStyle name="40% - Accent5 2 3 6 2" xfId="6654" xr:uid="{00000000-0005-0000-0000-00007D060000}"/>
    <cellStyle name="40% - Accent5 2 3 6 2 2" xfId="15980" xr:uid="{8E6F7D1A-3794-45EF-9A20-36FF239CD9DF}"/>
    <cellStyle name="40% - Accent5 2 3 6 3" xfId="11763" xr:uid="{383E3478-4840-4014-A2B6-C0AAC36392BE}"/>
    <cellStyle name="40% - Accent5 2 3 7" xfId="4588" xr:uid="{00000000-0005-0000-0000-00007E060000}"/>
    <cellStyle name="40% - Accent5 2 3 7 2" xfId="13914" xr:uid="{263D7785-2AA8-43DE-9634-F09227413726}"/>
    <cellStyle name="40% - Accent5 2 3 8" xfId="9009" xr:uid="{DE8B6E41-761F-4ED0-BA8A-00A6A898A2FC}"/>
    <cellStyle name="40% - Accent5 2 3 9" xfId="9697" xr:uid="{B8ADCE20-994C-46D4-9C97-6965A17DED15}"/>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1A3ADF66-9D2C-48BA-A52D-5DAFD90C7FB4}"/>
    <cellStyle name="40% - Accent5 2 4 2 3" xfId="12253" xr:uid="{C23CFE2A-D9FB-4BE1-8F5A-F4672FCC50B7}"/>
    <cellStyle name="40% - Accent5 2 4 3" xfId="4999" xr:uid="{00000000-0005-0000-0000-000082060000}"/>
    <cellStyle name="40% - Accent5 2 4 3 2" xfId="14325" xr:uid="{526D20E1-9699-4A89-8760-CD448C289A32}"/>
    <cellStyle name="40% - Accent5 2 4 4" xfId="9226" xr:uid="{6A688709-D29B-458C-973B-231279FAFEF5}"/>
    <cellStyle name="40% - Accent5 2 4 5" xfId="10108" xr:uid="{5D26BEE0-F488-4452-AD88-2559044CB705}"/>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637CA4DC-B378-4A25-9529-3501765FE27A}"/>
    <cellStyle name="40% - Accent5 2 5 2 3" xfId="12666" xr:uid="{7734D2D4-373D-4733-9A8E-DE53543685E2}"/>
    <cellStyle name="40% - Accent5 2 5 3" xfId="5412" xr:uid="{00000000-0005-0000-0000-000086060000}"/>
    <cellStyle name="40% - Accent5 2 5 3 2" xfId="14738" xr:uid="{6131E335-E312-46E4-8B90-84D1DB69D9BF}"/>
    <cellStyle name="40% - Accent5 2 5 4" xfId="10521" xr:uid="{28526A84-4FA2-4B17-9098-6C73D5C299EF}"/>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EE1C1759-FBF8-43F9-B1D7-5F5C5CD70DF0}"/>
    <cellStyle name="40% - Accent5 2 6 2 3" xfId="13079" xr:uid="{CF5F3B8D-DAFA-43F0-94F5-DE0A98A8C11D}"/>
    <cellStyle name="40% - Accent5 2 6 3" xfId="5825" xr:uid="{00000000-0005-0000-0000-00008A060000}"/>
    <cellStyle name="40% - Accent5 2 6 3 2" xfId="15151" xr:uid="{A1565B3B-3D53-4454-B6BC-C1ADA990C406}"/>
    <cellStyle name="40% - Accent5 2 6 4" xfId="10934" xr:uid="{820BFA2E-156D-4679-A4D0-1E5C59809321}"/>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998AC65F-39D0-4A95-8545-914DB1DA07FA}"/>
    <cellStyle name="40% - Accent5 2 7 2 3" xfId="13492" xr:uid="{5A3D4526-5E93-472D-BAD0-E68F87A2F718}"/>
    <cellStyle name="40% - Accent5 2 7 3" xfId="6238" xr:uid="{00000000-0005-0000-0000-00008E060000}"/>
    <cellStyle name="40% - Accent5 2 7 3 2" xfId="15564" xr:uid="{0040A326-1658-43E0-A019-483CEDDD28ED}"/>
    <cellStyle name="40% - Accent5 2 7 4" xfId="11347" xr:uid="{06B304FC-4582-46A0-B341-36949E88D18E}"/>
    <cellStyle name="40% - Accent5 2 8" xfId="2345" xr:uid="{00000000-0005-0000-0000-00008F060000}"/>
    <cellStyle name="40% - Accent5 2 8 2" xfId="6651" xr:uid="{00000000-0005-0000-0000-000090060000}"/>
    <cellStyle name="40% - Accent5 2 8 2 2" xfId="15977" xr:uid="{E1292B92-72CE-40EA-B58D-DB0BC61C67AA}"/>
    <cellStyle name="40% - Accent5 2 8 3" xfId="11760" xr:uid="{CE4AE461-DBCF-4647-A303-3B6C6D74EAFA}"/>
    <cellStyle name="40% - Accent5 2 9" xfId="4585" xr:uid="{00000000-0005-0000-0000-000091060000}"/>
    <cellStyle name="40% - Accent5 2 9 2" xfId="13911" xr:uid="{3D39D5A9-73F3-41EA-BAF6-9D9AB4B3CD3F}"/>
    <cellStyle name="40% - Accent5 3" xfId="86" xr:uid="{00000000-0005-0000-0000-000092060000}"/>
    <cellStyle name="40% - Accent5 3 10" xfId="9698" xr:uid="{F8907373-B3C3-4007-8ED0-65547C458DA2}"/>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19EFA85F-0B2F-4B9E-BA4C-CC9A8DAE98DE}"/>
    <cellStyle name="40% - Accent5 3 2 2 2 3" xfId="12258" xr:uid="{76B77686-CD66-4433-9B41-0667D3422193}"/>
    <cellStyle name="40% - Accent5 3 2 2 3" xfId="5004" xr:uid="{00000000-0005-0000-0000-000097060000}"/>
    <cellStyle name="40% - Accent5 3 2 2 3 2" xfId="14330" xr:uid="{4992CD62-2DF6-4ABC-9A07-9943B5094698}"/>
    <cellStyle name="40% - Accent5 3 2 2 4" xfId="9502" xr:uid="{96903B0D-DCFE-4149-8088-461BCB03A73B}"/>
    <cellStyle name="40% - Accent5 3 2 2 5" xfId="10113" xr:uid="{B4040895-144D-4C9F-AEBF-46BC3EF1BD43}"/>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5E28AC89-F018-42A9-A72A-0C85C6B90664}"/>
    <cellStyle name="40% - Accent5 3 2 3 2 3" xfId="12671" xr:uid="{12237574-C12D-4505-A937-A99CAC4B3A0B}"/>
    <cellStyle name="40% - Accent5 3 2 3 3" xfId="5417" xr:uid="{00000000-0005-0000-0000-00009B060000}"/>
    <cellStyle name="40% - Accent5 3 2 3 3 2" xfId="14743" xr:uid="{6E3C32EA-33BB-4A42-BFC7-77753590C6D0}"/>
    <cellStyle name="40% - Accent5 3 2 3 4" xfId="10526" xr:uid="{E8A3DC9E-17A0-438E-91D4-170569AD187D}"/>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E625232D-AA17-49D8-86BE-F739EB86076F}"/>
    <cellStyle name="40% - Accent5 3 2 4 2 3" xfId="13084" xr:uid="{7D6C162C-0690-4304-AC6E-A0F20C2A456F}"/>
    <cellStyle name="40% - Accent5 3 2 4 3" xfId="5830" xr:uid="{00000000-0005-0000-0000-00009F060000}"/>
    <cellStyle name="40% - Accent5 3 2 4 3 2" xfId="15156" xr:uid="{9E8AB9FC-973F-4686-B1A2-409CEE6561B8}"/>
    <cellStyle name="40% - Accent5 3 2 4 4" xfId="10939" xr:uid="{48D2D307-8DF6-4D3A-8B3F-3C610312AAAA}"/>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7F2AE553-42F1-4E86-A098-74FC151C43AC}"/>
    <cellStyle name="40% - Accent5 3 2 5 2 3" xfId="13497" xr:uid="{9E79343A-ECE9-4E8B-9711-349546A2A686}"/>
    <cellStyle name="40% - Accent5 3 2 5 3" xfId="6243" xr:uid="{00000000-0005-0000-0000-0000A3060000}"/>
    <cellStyle name="40% - Accent5 3 2 5 3 2" xfId="15569" xr:uid="{66BA722E-65C4-4D48-8514-3C45830A6F93}"/>
    <cellStyle name="40% - Accent5 3 2 5 4" xfId="11352" xr:uid="{447B22D6-5083-428E-A9E8-10FD8017DB4C}"/>
    <cellStyle name="40% - Accent5 3 2 6" xfId="2350" xr:uid="{00000000-0005-0000-0000-0000A4060000}"/>
    <cellStyle name="40% - Accent5 3 2 6 2" xfId="6656" xr:uid="{00000000-0005-0000-0000-0000A5060000}"/>
    <cellStyle name="40% - Accent5 3 2 6 2 2" xfId="15982" xr:uid="{3793C5E8-8DF7-48C0-8272-71637A2217B2}"/>
    <cellStyle name="40% - Accent5 3 2 6 3" xfId="11765" xr:uid="{B81FD651-5A49-43BE-8F42-CF246FFA84F6}"/>
    <cellStyle name="40% - Accent5 3 2 7" xfId="4590" xr:uid="{00000000-0005-0000-0000-0000A6060000}"/>
    <cellStyle name="40% - Accent5 3 2 7 2" xfId="13916" xr:uid="{E7E3EE99-D586-45E8-9237-8EA9A2F74A45}"/>
    <cellStyle name="40% - Accent5 3 2 8" xfId="9077" xr:uid="{8842DD15-54E4-487D-B492-3A505722387C}"/>
    <cellStyle name="40% - Accent5 3 2 9" xfId="9699" xr:uid="{6D677843-00CE-4553-B7EF-F3C6BA608ED5}"/>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D8053E7A-1C81-44FE-BCBE-B0426E8616A9}"/>
    <cellStyle name="40% - Accent5 3 3 2 3" xfId="12257" xr:uid="{E8D8F296-E83F-4DEE-9BCD-C2173CAFEE41}"/>
    <cellStyle name="40% - Accent5 3 3 3" xfId="5003" xr:uid="{00000000-0005-0000-0000-0000AA060000}"/>
    <cellStyle name="40% - Accent5 3 3 3 2" xfId="14329" xr:uid="{7504C251-EDED-4AB9-B3BD-55D967BB432C}"/>
    <cellStyle name="40% - Accent5 3 3 4" xfId="9295" xr:uid="{0D42C89E-252E-426A-8E1F-7D3AD6B9FE55}"/>
    <cellStyle name="40% - Accent5 3 3 5" xfId="10112" xr:uid="{E85C40D1-C349-4CF7-9A3C-10D7B1B64729}"/>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0E0D5623-15EC-4FE4-9423-E28D76862A8E}"/>
    <cellStyle name="40% - Accent5 3 4 2 3" xfId="12670" xr:uid="{C7463858-2428-499B-A7A2-28BC54FDF5A1}"/>
    <cellStyle name="40% - Accent5 3 4 3" xfId="5416" xr:uid="{00000000-0005-0000-0000-0000AE060000}"/>
    <cellStyle name="40% - Accent5 3 4 3 2" xfId="14742" xr:uid="{4FBA423E-302D-48D8-A66A-BBD6B845F1FC}"/>
    <cellStyle name="40% - Accent5 3 4 4" xfId="10525" xr:uid="{B167D95D-2168-4AD5-BC0A-1DC4B9A102CC}"/>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7C344C14-27EA-460A-BD59-56318C0C4640}"/>
    <cellStyle name="40% - Accent5 3 5 2 3" xfId="13083" xr:uid="{C7031DA3-C27D-4428-BBB3-83D8E407C430}"/>
    <cellStyle name="40% - Accent5 3 5 3" xfId="5829" xr:uid="{00000000-0005-0000-0000-0000B2060000}"/>
    <cellStyle name="40% - Accent5 3 5 3 2" xfId="15155" xr:uid="{F6FA3800-3D03-4EA2-B638-000B73D37F03}"/>
    <cellStyle name="40% - Accent5 3 5 4" xfId="10938" xr:uid="{4B8217DC-36E4-4B2A-A21B-3BF5BE98EB5B}"/>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CC259359-9C7D-4B49-985E-41C82D5EE94A}"/>
    <cellStyle name="40% - Accent5 3 6 2 3" xfId="13496" xr:uid="{2EE2F188-348F-40B6-B054-EB546D80339B}"/>
    <cellStyle name="40% - Accent5 3 6 3" xfId="6242" xr:uid="{00000000-0005-0000-0000-0000B6060000}"/>
    <cellStyle name="40% - Accent5 3 6 3 2" xfId="15568" xr:uid="{34CA4548-EC68-4F15-93DB-9A032C52A6CF}"/>
    <cellStyle name="40% - Accent5 3 6 4" xfId="11351" xr:uid="{B26AAA56-677F-4916-A2A3-517F137EFB67}"/>
    <cellStyle name="40% - Accent5 3 7" xfId="2349" xr:uid="{00000000-0005-0000-0000-0000B7060000}"/>
    <cellStyle name="40% - Accent5 3 7 2" xfId="6655" xr:uid="{00000000-0005-0000-0000-0000B8060000}"/>
    <cellStyle name="40% - Accent5 3 7 2 2" xfId="15981" xr:uid="{85ECC4B7-67FA-410A-9D8E-4BC728404DBB}"/>
    <cellStyle name="40% - Accent5 3 7 3" xfId="11764" xr:uid="{79BB966E-8860-4DF1-8534-25CA61297F6C}"/>
    <cellStyle name="40% - Accent5 3 8" xfId="4589" xr:uid="{00000000-0005-0000-0000-0000B9060000}"/>
    <cellStyle name="40% - Accent5 3 8 2" xfId="13915" xr:uid="{9C512047-03B2-4D2F-A60F-B8BC22AA7EB3}"/>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3C5871BA-55D0-474D-B7BF-EFB7B296118B}"/>
    <cellStyle name="40% - Accent5 4 2 2 3" xfId="12259" xr:uid="{A87F50DC-A0E4-4608-AC87-5C8297B4B239}"/>
    <cellStyle name="40% - Accent5 4 2 3" xfId="5005" xr:uid="{00000000-0005-0000-0000-0000BE060000}"/>
    <cellStyle name="40% - Accent5 4 2 3 2" xfId="14331" xr:uid="{01E1920E-1E60-4D60-BAC0-B713BE605371}"/>
    <cellStyle name="40% - Accent5 4 2 4" xfId="9381" xr:uid="{6D86932C-AFC4-4FF0-967D-0F56E90E02E1}"/>
    <cellStyle name="40% - Accent5 4 2 5" xfId="10114" xr:uid="{9A45BF69-541F-40ED-9333-25FCAF9AE0EF}"/>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5B6CE508-465D-41D6-913F-8DD284A5FA68}"/>
    <cellStyle name="40% - Accent5 4 3 2 3" xfId="12672" xr:uid="{9FD89EF4-6FF4-4416-AE5D-F63002A7FF47}"/>
    <cellStyle name="40% - Accent5 4 3 3" xfId="5418" xr:uid="{00000000-0005-0000-0000-0000C2060000}"/>
    <cellStyle name="40% - Accent5 4 3 3 2" xfId="14744" xr:uid="{5150CAFE-1C0F-493F-8F52-A7E1098A0765}"/>
    <cellStyle name="40% - Accent5 4 3 4" xfId="10527" xr:uid="{E48D7985-7981-45AE-B9EA-78C4A15D737E}"/>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997E02EF-03DC-4EF6-920E-2DCFC29AC7E6}"/>
    <cellStyle name="40% - Accent5 4 4 2 3" xfId="13085" xr:uid="{7378490F-5BC1-4F72-A401-9E4604CCE7F3}"/>
    <cellStyle name="40% - Accent5 4 4 3" xfId="5831" xr:uid="{00000000-0005-0000-0000-0000C6060000}"/>
    <cellStyle name="40% - Accent5 4 4 3 2" xfId="15157" xr:uid="{CCF3E746-FB2A-4065-A2BA-7260258E2F5D}"/>
    <cellStyle name="40% - Accent5 4 4 4" xfId="10940" xr:uid="{6E07D227-A3AD-4AF8-95F4-CFD044BCEB0D}"/>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E716B6AD-C043-447A-B554-6D79E6772B67}"/>
    <cellStyle name="40% - Accent5 4 5 2 3" xfId="13498" xr:uid="{ABDAE06A-114F-420F-A578-1AD0451563F7}"/>
    <cellStyle name="40% - Accent5 4 5 3" xfId="6244" xr:uid="{00000000-0005-0000-0000-0000CA060000}"/>
    <cellStyle name="40% - Accent5 4 5 3 2" xfId="15570" xr:uid="{CE7209D5-9D55-4F72-845A-0DC9A00B8FCF}"/>
    <cellStyle name="40% - Accent5 4 5 4" xfId="11353" xr:uid="{E2EFD47B-7E8B-4840-940B-3DB4B18B5928}"/>
    <cellStyle name="40% - Accent5 4 6" xfId="2351" xr:uid="{00000000-0005-0000-0000-0000CB060000}"/>
    <cellStyle name="40% - Accent5 4 6 2" xfId="6657" xr:uid="{00000000-0005-0000-0000-0000CC060000}"/>
    <cellStyle name="40% - Accent5 4 6 2 2" xfId="15983" xr:uid="{59A68316-85CE-4431-AAAD-289E138CE532}"/>
    <cellStyle name="40% - Accent5 4 6 3" xfId="11766" xr:uid="{21E21BD9-2469-49D6-8FB2-F8A5879C81CB}"/>
    <cellStyle name="40% - Accent5 4 7" xfId="4591" xr:uid="{00000000-0005-0000-0000-0000CD060000}"/>
    <cellStyle name="40% - Accent5 4 7 2" xfId="13917" xr:uid="{FFB56F52-ED37-4D75-B256-52434A081A7D}"/>
    <cellStyle name="40% - Accent5 4 8" xfId="8956" xr:uid="{20EBAEFE-DF5E-4B38-878B-CDA5BD3DABC1}"/>
    <cellStyle name="40% - Accent5 4 9" xfId="9700" xr:uid="{38A07885-6172-4276-B91F-52D14C26FC13}"/>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62EAF1A5-6036-4615-971A-DFE26EC844B3}"/>
    <cellStyle name="40% - Accent5 5 2 3" xfId="12252" xr:uid="{F66796D7-1811-47CB-872E-C0E8766B3708}"/>
    <cellStyle name="40% - Accent5 5 3" xfId="4998" xr:uid="{00000000-0005-0000-0000-0000D1060000}"/>
    <cellStyle name="40% - Accent5 5 3 2" xfId="14324" xr:uid="{7608A563-4AFB-47B3-AA07-0896FE4B4884}"/>
    <cellStyle name="40% - Accent5 5 4" xfId="9189" xr:uid="{AE9A155E-B06B-4FF1-8984-8F7810581B15}"/>
    <cellStyle name="40% - Accent5 5 5" xfId="10107" xr:uid="{6BF36CA2-D5E1-445C-9DC8-AC1FCC5B7C52}"/>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8B078C54-7D50-4454-9375-9271AD89FA5F}"/>
    <cellStyle name="40% - Accent5 6 2 3" xfId="12665" xr:uid="{9E5D7455-EE97-4AFC-8FC5-540535587F02}"/>
    <cellStyle name="40% - Accent5 6 3" xfId="5411" xr:uid="{00000000-0005-0000-0000-0000D5060000}"/>
    <cellStyle name="40% - Accent5 6 3 2" xfId="14737" xr:uid="{7C03C126-3FCB-43F4-9CCD-6C0C4275378F}"/>
    <cellStyle name="40% - Accent5 6 4" xfId="10520" xr:uid="{7EA75248-AA88-43BE-9BA8-00FD65E40914}"/>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B6492797-9CE3-4F75-B8DC-E1C1DAE716C7}"/>
    <cellStyle name="40% - Accent5 7 2 3" xfId="13078" xr:uid="{48E25772-1597-4847-9C6C-B6A96A79B51F}"/>
    <cellStyle name="40% - Accent5 7 3" xfId="5824" xr:uid="{00000000-0005-0000-0000-0000D9060000}"/>
    <cellStyle name="40% - Accent5 7 3 2" xfId="15150" xr:uid="{CA939BF6-FF04-4156-8390-86500B2AD477}"/>
    <cellStyle name="40% - Accent5 7 4" xfId="10933" xr:uid="{841F060B-17DD-4C08-BE34-54FBA62F15D8}"/>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1010BAE7-074C-4B23-A79E-F9DFEAC60608}"/>
    <cellStyle name="40% - Accent5 8 2 3" xfId="13491" xr:uid="{F83C6255-FE29-4893-9B4A-8D46B5438B67}"/>
    <cellStyle name="40% - Accent5 8 3" xfId="6237" xr:uid="{00000000-0005-0000-0000-0000DD060000}"/>
    <cellStyle name="40% - Accent5 8 3 2" xfId="15563" xr:uid="{4FF3DE47-9AA0-4DE9-A4D7-3A895BFA1D0B}"/>
    <cellStyle name="40% - Accent5 8 4" xfId="11346" xr:uid="{C61F6864-595D-4A25-9F2A-E407534FC29E}"/>
    <cellStyle name="40% - Accent5 9" xfId="2344" xr:uid="{00000000-0005-0000-0000-0000DE060000}"/>
    <cellStyle name="40% - Accent5 9 2" xfId="6650" xr:uid="{00000000-0005-0000-0000-0000DF060000}"/>
    <cellStyle name="40% - Accent5 9 2 2" xfId="15976" xr:uid="{7F99CDC4-77A3-42D6-89D9-4424921F325E}"/>
    <cellStyle name="40% - Accent5 9 3" xfId="11759" xr:uid="{6AAF75E1-970D-4A4B-A7EE-F924F2C39FD7}"/>
    <cellStyle name="40% - Accent6" xfId="89" builtinId="51" customBuiltin="1"/>
    <cellStyle name="40% - Accent6 10" xfId="4592" xr:uid="{00000000-0005-0000-0000-0000E1060000}"/>
    <cellStyle name="40% - Accent6 10 2" xfId="13918" xr:uid="{02AD9622-0666-43E7-853B-CB8B8EE9885F}"/>
    <cellStyle name="40% - Accent6 11" xfId="8769" xr:uid="{8369FE49-3815-490F-BF3A-3BEB88E35DFA}"/>
    <cellStyle name="40% - Accent6 12" xfId="9701" xr:uid="{9CF5FDF1-BC5A-49A7-AFC4-E72F04CCD1A8}"/>
    <cellStyle name="40% - Accent6 2" xfId="90" xr:uid="{00000000-0005-0000-0000-0000E2060000}"/>
    <cellStyle name="40% - Accent6 2 10" xfId="8803" xr:uid="{3530B69D-EB1D-41EA-A6FB-440FE4FE29AB}"/>
    <cellStyle name="40% - Accent6 2 11" xfId="9702" xr:uid="{3B13056D-0D3B-4B13-8EA2-33A99618D3C3}"/>
    <cellStyle name="40% - Accent6 2 2" xfId="91" xr:uid="{00000000-0005-0000-0000-0000E3060000}"/>
    <cellStyle name="40% - Accent6 2 2 10" xfId="9703" xr:uid="{F4422512-AE71-4FB0-9545-868527D47F8F}"/>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83CD2D36-44F5-4EF0-AD0C-08F7387D984F}"/>
    <cellStyle name="40% - Accent6 2 2 2 2 2 3" xfId="12263" xr:uid="{ED4D986F-5F26-44E3-BD40-F094EDFFB39E}"/>
    <cellStyle name="40% - Accent6 2 2 2 2 3" xfId="5009" xr:uid="{00000000-0005-0000-0000-0000E8060000}"/>
    <cellStyle name="40% - Accent6 2 2 2 2 3 2" xfId="14335" xr:uid="{28ED836E-CA57-40DE-87E9-D501DAD59C06}"/>
    <cellStyle name="40% - Accent6 2 2 2 2 4" xfId="9538" xr:uid="{D1801D0B-FDF1-4C59-8DE2-DEC53081BC5D}"/>
    <cellStyle name="40% - Accent6 2 2 2 2 5" xfId="10118" xr:uid="{4211B408-0464-462F-A331-B4D7C51DD2F1}"/>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429F0496-647E-4C55-B2F0-DB10465384F1}"/>
    <cellStyle name="40% - Accent6 2 2 2 3 2 3" xfId="12676" xr:uid="{D5552C54-0596-4077-A90F-998897830329}"/>
    <cellStyle name="40% - Accent6 2 2 2 3 3" xfId="5422" xr:uid="{00000000-0005-0000-0000-0000EC060000}"/>
    <cellStyle name="40% - Accent6 2 2 2 3 3 2" xfId="14748" xr:uid="{509E69A8-46D0-40AF-90C5-87D6795B3318}"/>
    <cellStyle name="40% - Accent6 2 2 2 3 4" xfId="10531" xr:uid="{54289BCD-7CE2-43C4-828B-B3C8B743C679}"/>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5F8728F0-9332-4D42-8D22-5735B235419C}"/>
    <cellStyle name="40% - Accent6 2 2 2 4 2 3" xfId="13089" xr:uid="{ADCF5B52-08EC-4771-B5EB-E86524D01948}"/>
    <cellStyle name="40% - Accent6 2 2 2 4 3" xfId="5835" xr:uid="{00000000-0005-0000-0000-0000F0060000}"/>
    <cellStyle name="40% - Accent6 2 2 2 4 3 2" xfId="15161" xr:uid="{52BD54CB-E84F-4E30-B684-3EAF36CDC523}"/>
    <cellStyle name="40% - Accent6 2 2 2 4 4" xfId="10944" xr:uid="{4067D241-2259-4CE0-986D-1154B40FE8F3}"/>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AE876C1B-753C-461C-9593-3323D95329A9}"/>
    <cellStyle name="40% - Accent6 2 2 2 5 2 3" xfId="13502" xr:uid="{38998767-DBE8-4DF3-ACAE-4BF76D50306F}"/>
    <cellStyle name="40% - Accent6 2 2 2 5 3" xfId="6248" xr:uid="{00000000-0005-0000-0000-0000F4060000}"/>
    <cellStyle name="40% - Accent6 2 2 2 5 3 2" xfId="15574" xr:uid="{CA76F88C-ADA0-4C1C-9C4C-BC3E9DC13778}"/>
    <cellStyle name="40% - Accent6 2 2 2 5 4" xfId="11357" xr:uid="{CBEC2F82-7CF0-470D-BB73-00A3EACCC56E}"/>
    <cellStyle name="40% - Accent6 2 2 2 6" xfId="2355" xr:uid="{00000000-0005-0000-0000-0000F5060000}"/>
    <cellStyle name="40% - Accent6 2 2 2 6 2" xfId="6661" xr:uid="{00000000-0005-0000-0000-0000F6060000}"/>
    <cellStyle name="40% - Accent6 2 2 2 6 2 2" xfId="15987" xr:uid="{A9716E5F-3FB7-45DB-9D1E-F5DDD4EA2D01}"/>
    <cellStyle name="40% - Accent6 2 2 2 6 3" xfId="11770" xr:uid="{0A491226-67A5-4F00-AB41-3D766A4DDEAD}"/>
    <cellStyle name="40% - Accent6 2 2 2 7" xfId="4595" xr:uid="{00000000-0005-0000-0000-0000F7060000}"/>
    <cellStyle name="40% - Accent6 2 2 2 7 2" xfId="13921" xr:uid="{4CB55C6A-3B0D-4414-BB40-A12010512722}"/>
    <cellStyle name="40% - Accent6 2 2 2 8" xfId="9113" xr:uid="{D9373B4A-E1DA-437A-874A-FCE4D00708EB}"/>
    <cellStyle name="40% - Accent6 2 2 2 9" xfId="9704" xr:uid="{F30BF959-6691-4BB4-B700-53A3C8DD7E66}"/>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8985AF55-9795-48DA-9D6B-17430C6B2635}"/>
    <cellStyle name="40% - Accent6 2 2 3 2 3" xfId="12262" xr:uid="{ED287CFC-2EDD-428A-ACE4-13D66FA8175F}"/>
    <cellStyle name="40% - Accent6 2 2 3 3" xfId="5008" xr:uid="{00000000-0005-0000-0000-0000FB060000}"/>
    <cellStyle name="40% - Accent6 2 2 3 3 2" xfId="14334" xr:uid="{773559EC-5CBB-4A1A-9BED-BF0423EB133C}"/>
    <cellStyle name="40% - Accent6 2 2 3 4" xfId="9331" xr:uid="{223B62DA-AA8A-4703-B6D5-D6AA8918B034}"/>
    <cellStyle name="40% - Accent6 2 2 3 5" xfId="10117" xr:uid="{D9F8ECB2-BE8C-44AE-8183-F7336614E69E}"/>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F9718476-1A2C-4623-83B8-0A18D69BFC04}"/>
    <cellStyle name="40% - Accent6 2 2 4 2 3" xfId="12675" xr:uid="{06097366-CCD2-4D37-8230-B302269D8842}"/>
    <cellStyle name="40% - Accent6 2 2 4 3" xfId="5421" xr:uid="{00000000-0005-0000-0000-0000FF060000}"/>
    <cellStyle name="40% - Accent6 2 2 4 3 2" xfId="14747" xr:uid="{27F03F39-1F79-4F88-9279-F3E8BF864381}"/>
    <cellStyle name="40% - Accent6 2 2 4 4" xfId="10530" xr:uid="{EC7799EF-D401-4486-8623-50E7C9024D00}"/>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373B575C-AAB0-4BF4-A560-9B3AC98A2BBD}"/>
    <cellStyle name="40% - Accent6 2 2 5 2 3" xfId="13088" xr:uid="{FC6FE49E-1EFE-487D-B6B4-614CBE65E0D6}"/>
    <cellStyle name="40% - Accent6 2 2 5 3" xfId="5834" xr:uid="{00000000-0005-0000-0000-000003070000}"/>
    <cellStyle name="40% - Accent6 2 2 5 3 2" xfId="15160" xr:uid="{0660E6E6-0E31-40BF-8A90-35B280D2EABC}"/>
    <cellStyle name="40% - Accent6 2 2 5 4" xfId="10943" xr:uid="{47234C7D-5A67-4FF7-9785-E5BFF5B5D6B6}"/>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A98D1EA2-7FDA-4069-BC76-DFCF7D414854}"/>
    <cellStyle name="40% - Accent6 2 2 6 2 3" xfId="13501" xr:uid="{2381FC29-9DAE-4CF6-8641-8BAAE8697C0E}"/>
    <cellStyle name="40% - Accent6 2 2 6 3" xfId="6247" xr:uid="{00000000-0005-0000-0000-000007070000}"/>
    <cellStyle name="40% - Accent6 2 2 6 3 2" xfId="15573" xr:uid="{3800FEA8-E311-4829-8874-2A9999ADDC78}"/>
    <cellStyle name="40% - Accent6 2 2 6 4" xfId="11356" xr:uid="{499276EB-3380-4338-98B5-812302571FD6}"/>
    <cellStyle name="40% - Accent6 2 2 7" xfId="2354" xr:uid="{00000000-0005-0000-0000-000008070000}"/>
    <cellStyle name="40% - Accent6 2 2 7 2" xfId="6660" xr:uid="{00000000-0005-0000-0000-000009070000}"/>
    <cellStyle name="40% - Accent6 2 2 7 2 2" xfId="15986" xr:uid="{2D03E216-4C5A-4986-989A-DC85D2A9A93C}"/>
    <cellStyle name="40% - Accent6 2 2 7 3" xfId="11769" xr:uid="{0389D400-69E5-475F-B8EC-75A2D6E5CACE}"/>
    <cellStyle name="40% - Accent6 2 2 8" xfId="4594" xr:uid="{00000000-0005-0000-0000-00000A070000}"/>
    <cellStyle name="40% - Accent6 2 2 8 2" xfId="13920" xr:uid="{8A6E5905-489E-47CA-A4E9-45C22915305E}"/>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C3304ED4-1CCE-48ED-8E3F-19CD96E133CB}"/>
    <cellStyle name="40% - Accent6 2 3 2 2 3" xfId="12264" xr:uid="{1A0868DA-4394-495A-9C24-1990FF9D1A62}"/>
    <cellStyle name="40% - Accent6 2 3 2 3" xfId="5010" xr:uid="{00000000-0005-0000-0000-00000F070000}"/>
    <cellStyle name="40% - Accent6 2 3 2 3 2" xfId="14336" xr:uid="{3E10B0C1-51DE-41DA-A0FE-835DD8AE5B20}"/>
    <cellStyle name="40% - Accent6 2 3 2 4" xfId="9435" xr:uid="{36535681-1736-4584-8CB6-F8F38C9E0E5B}"/>
    <cellStyle name="40% - Accent6 2 3 2 5" xfId="10119" xr:uid="{ED7096A2-85FC-4862-A0A6-4DD0958E009C}"/>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DE5B9C8D-1D76-45BF-BDC1-96308A85F5A1}"/>
    <cellStyle name="40% - Accent6 2 3 3 2 3" xfId="12677" xr:uid="{10A2BC5F-3FF8-4C0B-85DB-F6D58557A5CE}"/>
    <cellStyle name="40% - Accent6 2 3 3 3" xfId="5423" xr:uid="{00000000-0005-0000-0000-000013070000}"/>
    <cellStyle name="40% - Accent6 2 3 3 3 2" xfId="14749" xr:uid="{FD277EB4-FA10-4606-8064-1286CD2E77AA}"/>
    <cellStyle name="40% - Accent6 2 3 3 4" xfId="10532" xr:uid="{0F2FE71D-E4AD-46B5-A523-133175F64F28}"/>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4AE6F41D-7BDC-4726-BF56-5365508843B5}"/>
    <cellStyle name="40% - Accent6 2 3 4 2 3" xfId="13090" xr:uid="{A9F3A1B8-2224-45B1-A916-0385A0768E4B}"/>
    <cellStyle name="40% - Accent6 2 3 4 3" xfId="5836" xr:uid="{00000000-0005-0000-0000-000017070000}"/>
    <cellStyle name="40% - Accent6 2 3 4 3 2" xfId="15162" xr:uid="{86728AF7-8F99-4280-8D19-BE9F82E21C58}"/>
    <cellStyle name="40% - Accent6 2 3 4 4" xfId="10945" xr:uid="{AA8EE196-AF7C-4639-A8F7-350ED2D1D3FE}"/>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175562CA-36DD-4B75-8A3D-3D4506746935}"/>
    <cellStyle name="40% - Accent6 2 3 5 2 3" xfId="13503" xr:uid="{C284750E-FFD1-4796-AF0F-44ACB803A9DB}"/>
    <cellStyle name="40% - Accent6 2 3 5 3" xfId="6249" xr:uid="{00000000-0005-0000-0000-00001B070000}"/>
    <cellStyle name="40% - Accent6 2 3 5 3 2" xfId="15575" xr:uid="{581AE1E2-B8EE-4045-BA29-970918F0B9E2}"/>
    <cellStyle name="40% - Accent6 2 3 5 4" xfId="11358" xr:uid="{3E92961D-4317-4DC2-BC28-F9BE510B1D46}"/>
    <cellStyle name="40% - Accent6 2 3 6" xfId="2356" xr:uid="{00000000-0005-0000-0000-00001C070000}"/>
    <cellStyle name="40% - Accent6 2 3 6 2" xfId="6662" xr:uid="{00000000-0005-0000-0000-00001D070000}"/>
    <cellStyle name="40% - Accent6 2 3 6 2 2" xfId="15988" xr:uid="{7AC2E8E7-7A33-4B67-AF00-C1FDD6C2CA73}"/>
    <cellStyle name="40% - Accent6 2 3 6 3" xfId="11771" xr:uid="{CDA87C8C-52F0-402C-854B-5380D169CE38}"/>
    <cellStyle name="40% - Accent6 2 3 7" xfId="4596" xr:uid="{00000000-0005-0000-0000-00001E070000}"/>
    <cellStyle name="40% - Accent6 2 3 7 2" xfId="13922" xr:uid="{480582B4-CCC7-4434-806F-E4C793ECF262}"/>
    <cellStyle name="40% - Accent6 2 3 8" xfId="9010" xr:uid="{63E1B5F8-FE5F-441F-B768-94B1D98CB2B1}"/>
    <cellStyle name="40% - Accent6 2 3 9" xfId="9705" xr:uid="{08243ACE-7A64-43C5-8800-27994D453719}"/>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AEC46B73-BD5D-4288-B0E1-8393D62ED3B2}"/>
    <cellStyle name="40% - Accent6 2 4 2 3" xfId="12261" xr:uid="{B0EE9374-13D2-4F66-A8C2-10FB0C1EB13B}"/>
    <cellStyle name="40% - Accent6 2 4 3" xfId="5007" xr:uid="{00000000-0005-0000-0000-000022070000}"/>
    <cellStyle name="40% - Accent6 2 4 3 2" xfId="14333" xr:uid="{191F77D9-97C7-491E-B073-AF0B035F5120}"/>
    <cellStyle name="40% - Accent6 2 4 4" xfId="9227" xr:uid="{61BC3AC1-FAE9-47DF-8143-7EECE05FF8D3}"/>
    <cellStyle name="40% - Accent6 2 4 5" xfId="10116" xr:uid="{0870DD1C-A597-4017-892C-3BF6A5B5DE90}"/>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B9A38C78-785A-4B6D-8727-4E95718BF06A}"/>
    <cellStyle name="40% - Accent6 2 5 2 3" xfId="12674" xr:uid="{5F44C9F6-5A46-4BA6-989E-DAFF5D5D6D88}"/>
    <cellStyle name="40% - Accent6 2 5 3" xfId="5420" xr:uid="{00000000-0005-0000-0000-000026070000}"/>
    <cellStyle name="40% - Accent6 2 5 3 2" xfId="14746" xr:uid="{DD15D194-5A7C-4B67-884A-E90B746035D4}"/>
    <cellStyle name="40% - Accent6 2 5 4" xfId="10529" xr:uid="{B70AF643-93D8-4706-81A8-EA8EAD958BFB}"/>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C5E0F6B3-897B-475F-8512-BACD398A5D6A}"/>
    <cellStyle name="40% - Accent6 2 6 2 3" xfId="13087" xr:uid="{3DF38660-7F95-4481-B496-E1825B85C29C}"/>
    <cellStyle name="40% - Accent6 2 6 3" xfId="5833" xr:uid="{00000000-0005-0000-0000-00002A070000}"/>
    <cellStyle name="40% - Accent6 2 6 3 2" xfId="15159" xr:uid="{BB4A758C-2A2D-4F40-A5FE-49487A4E8159}"/>
    <cellStyle name="40% - Accent6 2 6 4" xfId="10942" xr:uid="{46C7FD52-F319-47A9-9703-C64E7C8389F3}"/>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538401E1-7536-4C8E-914A-BD0C8E3C6F66}"/>
    <cellStyle name="40% - Accent6 2 7 2 3" xfId="13500" xr:uid="{62E985AC-533A-4FC2-A059-827EC35F64EF}"/>
    <cellStyle name="40% - Accent6 2 7 3" xfId="6246" xr:uid="{00000000-0005-0000-0000-00002E070000}"/>
    <cellStyle name="40% - Accent6 2 7 3 2" xfId="15572" xr:uid="{C80E9540-4945-4C6E-8031-138052B1852E}"/>
    <cellStyle name="40% - Accent6 2 7 4" xfId="11355" xr:uid="{2788E1EE-A190-440D-97F7-8F26B07556EF}"/>
    <cellStyle name="40% - Accent6 2 8" xfId="2353" xr:uid="{00000000-0005-0000-0000-00002F070000}"/>
    <cellStyle name="40% - Accent6 2 8 2" xfId="6659" xr:uid="{00000000-0005-0000-0000-000030070000}"/>
    <cellStyle name="40% - Accent6 2 8 2 2" xfId="15985" xr:uid="{08070478-61DE-4326-9646-C961646BDDF7}"/>
    <cellStyle name="40% - Accent6 2 8 3" xfId="11768" xr:uid="{C0C967BD-CD10-47DA-AA39-6853280B758D}"/>
    <cellStyle name="40% - Accent6 2 9" xfId="4593" xr:uid="{00000000-0005-0000-0000-000031070000}"/>
    <cellStyle name="40% - Accent6 2 9 2" xfId="13919" xr:uid="{E9B79EC3-4AF9-423D-8239-AC07BF1567F6}"/>
    <cellStyle name="40% - Accent6 3" xfId="94" xr:uid="{00000000-0005-0000-0000-000032070000}"/>
    <cellStyle name="40% - Accent6 3 10" xfId="9706" xr:uid="{874C5390-E60F-424D-9A04-3FE0CF0DE105}"/>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7F35D6CD-3D71-4BFB-9E41-2A300AC2E241}"/>
    <cellStyle name="40% - Accent6 3 2 2 2 3" xfId="12266" xr:uid="{DE788168-7A5E-4D2A-96AC-E806E4EECFF8}"/>
    <cellStyle name="40% - Accent6 3 2 2 3" xfId="5012" xr:uid="{00000000-0005-0000-0000-000037070000}"/>
    <cellStyle name="40% - Accent6 3 2 2 3 2" xfId="14338" xr:uid="{2C1341A8-DF1C-4511-B04A-D86784CCDE39}"/>
    <cellStyle name="40% - Accent6 3 2 2 4" xfId="9504" xr:uid="{23E46585-FD8F-4BA3-8B65-284D6884E4FD}"/>
    <cellStyle name="40% - Accent6 3 2 2 5" xfId="10121" xr:uid="{DB6A587C-EDFE-455A-9806-119C293652EB}"/>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C1A32A20-CD96-48E5-85AA-BB01C2DDDD81}"/>
    <cellStyle name="40% - Accent6 3 2 3 2 3" xfId="12679" xr:uid="{1550D94F-4BB3-4289-A887-F71574BA76BD}"/>
    <cellStyle name="40% - Accent6 3 2 3 3" xfId="5425" xr:uid="{00000000-0005-0000-0000-00003B070000}"/>
    <cellStyle name="40% - Accent6 3 2 3 3 2" xfId="14751" xr:uid="{0A58C6E8-0FDB-4C25-BDA2-FCE7310D1DB1}"/>
    <cellStyle name="40% - Accent6 3 2 3 4" xfId="10534" xr:uid="{13E5B9DE-2810-4908-A6A8-4BC1FB9B77D3}"/>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2C9C49B2-1B42-4B70-9807-F42CE6DDBE26}"/>
    <cellStyle name="40% - Accent6 3 2 4 2 3" xfId="13092" xr:uid="{5414EBC0-C151-4D7A-9537-125C2863576B}"/>
    <cellStyle name="40% - Accent6 3 2 4 3" xfId="5838" xr:uid="{00000000-0005-0000-0000-00003F070000}"/>
    <cellStyle name="40% - Accent6 3 2 4 3 2" xfId="15164" xr:uid="{5FB153DC-180C-4541-B74B-12C2D77C553F}"/>
    <cellStyle name="40% - Accent6 3 2 4 4" xfId="10947" xr:uid="{6B1C64FF-E5AB-4682-8C4E-A4D8ED3E9A33}"/>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B0B3EC57-0384-4ED0-A420-15277B0D2694}"/>
    <cellStyle name="40% - Accent6 3 2 5 2 3" xfId="13505" xr:uid="{EC2FA2DB-7340-426A-AC9F-A8333B6BB086}"/>
    <cellStyle name="40% - Accent6 3 2 5 3" xfId="6251" xr:uid="{00000000-0005-0000-0000-000043070000}"/>
    <cellStyle name="40% - Accent6 3 2 5 3 2" xfId="15577" xr:uid="{D4DFBF39-9F14-4523-BE0C-FCF784E439D1}"/>
    <cellStyle name="40% - Accent6 3 2 5 4" xfId="11360" xr:uid="{8274075C-0115-42F1-9FBE-60BE54589B80}"/>
    <cellStyle name="40% - Accent6 3 2 6" xfId="2358" xr:uid="{00000000-0005-0000-0000-000044070000}"/>
    <cellStyle name="40% - Accent6 3 2 6 2" xfId="6664" xr:uid="{00000000-0005-0000-0000-000045070000}"/>
    <cellStyle name="40% - Accent6 3 2 6 2 2" xfId="15990" xr:uid="{B442B875-ACCF-4E4D-B5A7-F6273C9394E4}"/>
    <cellStyle name="40% - Accent6 3 2 6 3" xfId="11773" xr:uid="{65F84689-57BE-40CE-A1B8-DAD9DF3265F5}"/>
    <cellStyle name="40% - Accent6 3 2 7" xfId="4598" xr:uid="{00000000-0005-0000-0000-000046070000}"/>
    <cellStyle name="40% - Accent6 3 2 7 2" xfId="13924" xr:uid="{9D96751D-5076-44F6-823C-6FCF7E0D1318}"/>
    <cellStyle name="40% - Accent6 3 2 8" xfId="9079" xr:uid="{7FA93E2E-699F-4676-8533-A3CC5F80D807}"/>
    <cellStyle name="40% - Accent6 3 2 9" xfId="9707" xr:uid="{56F2186E-81B0-4B5F-8B61-9A7E2D0A00DE}"/>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8281972E-6F5F-4EC8-8CC4-F0314926B613}"/>
    <cellStyle name="40% - Accent6 3 3 2 3" xfId="12265" xr:uid="{5E18A2BF-4A9B-43EE-BF59-1C509679E055}"/>
    <cellStyle name="40% - Accent6 3 3 3" xfId="5011" xr:uid="{00000000-0005-0000-0000-00004A070000}"/>
    <cellStyle name="40% - Accent6 3 3 3 2" xfId="14337" xr:uid="{21FFD050-A754-4178-B4C2-578A4EDA3774}"/>
    <cellStyle name="40% - Accent6 3 3 4" xfId="9297" xr:uid="{1226E28F-09E7-4580-8D19-7F14AC1CB4B3}"/>
    <cellStyle name="40% - Accent6 3 3 5" xfId="10120" xr:uid="{F9D8C56D-F4E9-419D-9D2D-CF75B0726011}"/>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3B56CB6D-EE89-45AD-9423-84FDFDAF2F85}"/>
    <cellStyle name="40% - Accent6 3 4 2 3" xfId="12678" xr:uid="{799028B5-BB33-494D-88B5-AE5A72FC6258}"/>
    <cellStyle name="40% - Accent6 3 4 3" xfId="5424" xr:uid="{00000000-0005-0000-0000-00004E070000}"/>
    <cellStyle name="40% - Accent6 3 4 3 2" xfId="14750" xr:uid="{2EC3CC7F-F845-4F46-BE05-2F4457530D64}"/>
    <cellStyle name="40% - Accent6 3 4 4" xfId="10533" xr:uid="{4FFC0394-D416-4FBC-BFD6-1FFA44A08C7D}"/>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B95C6ACB-947B-44C8-AAB2-E1E8BE7C6C92}"/>
    <cellStyle name="40% - Accent6 3 5 2 3" xfId="13091" xr:uid="{164603F0-43B0-46DF-B082-14310ACA31C7}"/>
    <cellStyle name="40% - Accent6 3 5 3" xfId="5837" xr:uid="{00000000-0005-0000-0000-000052070000}"/>
    <cellStyle name="40% - Accent6 3 5 3 2" xfId="15163" xr:uid="{58209977-EF59-4148-8F6C-66DDD8E9695C}"/>
    <cellStyle name="40% - Accent6 3 5 4" xfId="10946" xr:uid="{333D33E4-0161-4C7E-A0C8-223FFEBC938E}"/>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1A158979-649E-4589-90B6-2C315617EEFB}"/>
    <cellStyle name="40% - Accent6 3 6 2 3" xfId="13504" xr:uid="{60C8E5F6-6AA7-447D-AAA6-C62162A071F3}"/>
    <cellStyle name="40% - Accent6 3 6 3" xfId="6250" xr:uid="{00000000-0005-0000-0000-000056070000}"/>
    <cellStyle name="40% - Accent6 3 6 3 2" xfId="15576" xr:uid="{DA2EB047-4A6F-4BC2-8CA4-9500F6479670}"/>
    <cellStyle name="40% - Accent6 3 6 4" xfId="11359" xr:uid="{C7B48837-1625-4E13-9F23-7C78446989DE}"/>
    <cellStyle name="40% - Accent6 3 7" xfId="2357" xr:uid="{00000000-0005-0000-0000-000057070000}"/>
    <cellStyle name="40% - Accent6 3 7 2" xfId="6663" xr:uid="{00000000-0005-0000-0000-000058070000}"/>
    <cellStyle name="40% - Accent6 3 7 2 2" xfId="15989" xr:uid="{E7E54495-F70E-4868-8F66-4590F6A68447}"/>
    <cellStyle name="40% - Accent6 3 7 3" xfId="11772" xr:uid="{17E30602-4ACD-4C37-9B29-E7FBCF6D596A}"/>
    <cellStyle name="40% - Accent6 3 8" xfId="4597" xr:uid="{00000000-0005-0000-0000-000059070000}"/>
    <cellStyle name="40% - Accent6 3 8 2" xfId="13923" xr:uid="{CC761FFA-098F-46AD-854C-1C145434A8EB}"/>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DD115568-DA4A-43F8-8757-8D68C9283288}"/>
    <cellStyle name="40% - Accent6 4 2 2 3" xfId="12267" xr:uid="{E476E38A-C166-46BB-A812-709E630A5F2F}"/>
    <cellStyle name="40% - Accent6 4 2 3" xfId="5013" xr:uid="{00000000-0005-0000-0000-00005E070000}"/>
    <cellStyle name="40% - Accent6 4 2 3 2" xfId="14339" xr:uid="{49F3390E-4C71-4557-A6E5-B2C0FEFEF412}"/>
    <cellStyle name="40% - Accent6 4 2 4" xfId="9383" xr:uid="{07C7426F-B517-4815-A0BF-2BAE02B26B53}"/>
    <cellStyle name="40% - Accent6 4 2 5" xfId="10122" xr:uid="{ED9694F4-7EDB-4195-97BF-A6380E07893F}"/>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180B18C5-2ABC-4A20-B30A-9515375FFDFE}"/>
    <cellStyle name="40% - Accent6 4 3 2 3" xfId="12680" xr:uid="{CA65A293-0C0E-498E-A17A-29F3EF494DD0}"/>
    <cellStyle name="40% - Accent6 4 3 3" xfId="5426" xr:uid="{00000000-0005-0000-0000-000062070000}"/>
    <cellStyle name="40% - Accent6 4 3 3 2" xfId="14752" xr:uid="{A66E3AD6-07CA-4CDC-9A0A-98598039F57C}"/>
    <cellStyle name="40% - Accent6 4 3 4" xfId="10535" xr:uid="{BA3F811E-C36B-4AF1-A5CF-C00777E7B2E9}"/>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D3B75A12-9C08-4A1C-A334-B23B9CB538B9}"/>
    <cellStyle name="40% - Accent6 4 4 2 3" xfId="13093" xr:uid="{9ED91E05-69EC-4E0C-84EB-A646E04A85CB}"/>
    <cellStyle name="40% - Accent6 4 4 3" xfId="5839" xr:uid="{00000000-0005-0000-0000-000066070000}"/>
    <cellStyle name="40% - Accent6 4 4 3 2" xfId="15165" xr:uid="{3D216E0E-9C91-4A7A-9F4B-4B23FE4390E7}"/>
    <cellStyle name="40% - Accent6 4 4 4" xfId="10948" xr:uid="{D7AE5682-CAFF-436F-86CB-A610DF9AE25D}"/>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C6726BC9-4DF9-4923-9167-E7896A84CCD8}"/>
    <cellStyle name="40% - Accent6 4 5 2 3" xfId="13506" xr:uid="{91C772A7-5092-422E-8075-EA4573E63938}"/>
    <cellStyle name="40% - Accent6 4 5 3" xfId="6252" xr:uid="{00000000-0005-0000-0000-00006A070000}"/>
    <cellStyle name="40% - Accent6 4 5 3 2" xfId="15578" xr:uid="{51EB8479-707F-40D1-8BD8-346D2E4DF36D}"/>
    <cellStyle name="40% - Accent6 4 5 4" xfId="11361" xr:uid="{549EDC3A-4EB7-415C-B660-AE697ACB09F9}"/>
    <cellStyle name="40% - Accent6 4 6" xfId="2359" xr:uid="{00000000-0005-0000-0000-00006B070000}"/>
    <cellStyle name="40% - Accent6 4 6 2" xfId="6665" xr:uid="{00000000-0005-0000-0000-00006C070000}"/>
    <cellStyle name="40% - Accent6 4 6 2 2" xfId="15991" xr:uid="{FAB83474-F436-47A4-BD53-5573D0DC3330}"/>
    <cellStyle name="40% - Accent6 4 6 3" xfId="11774" xr:uid="{3F1DB8E7-B622-4244-9A9E-FC84711B9C29}"/>
    <cellStyle name="40% - Accent6 4 7" xfId="4599" xr:uid="{00000000-0005-0000-0000-00006D070000}"/>
    <cellStyle name="40% - Accent6 4 7 2" xfId="13925" xr:uid="{CC05BBEA-152E-4E0B-8668-16C6EAE1C26A}"/>
    <cellStyle name="40% - Accent6 4 8" xfId="8958" xr:uid="{058203D5-6D6D-4106-8D68-93F66B236239}"/>
    <cellStyle name="40% - Accent6 4 9" xfId="9708" xr:uid="{4F84D3DD-56A5-4934-8B08-08DE826789F1}"/>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268D2072-3105-4360-BD99-6AE45A3F36CB}"/>
    <cellStyle name="40% - Accent6 5 2 3" xfId="12260" xr:uid="{ABC4F655-76C2-4657-8EA0-72B6A642CDF8}"/>
    <cellStyle name="40% - Accent6 5 3" xfId="5006" xr:uid="{00000000-0005-0000-0000-000071070000}"/>
    <cellStyle name="40% - Accent6 5 3 2" xfId="14332" xr:uid="{B24EE564-C128-41A2-9082-C52ECC4B47EF}"/>
    <cellStyle name="40% - Accent6 5 4" xfId="9192" xr:uid="{19661A88-B46A-4EF9-A9F3-4BCF8E242108}"/>
    <cellStyle name="40% - Accent6 5 5" xfId="10115" xr:uid="{B94E7DD7-2115-4FA0-AAC6-DC3513953EED}"/>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076C5039-471B-48C9-91B6-E2000527686B}"/>
    <cellStyle name="40% - Accent6 6 2 3" xfId="12673" xr:uid="{D431E0FE-0995-4481-945A-08739736902E}"/>
    <cellStyle name="40% - Accent6 6 3" xfId="5419" xr:uid="{00000000-0005-0000-0000-000075070000}"/>
    <cellStyle name="40% - Accent6 6 3 2" xfId="14745" xr:uid="{EC76F9E2-CD93-44CA-8F2F-969996F6EF15}"/>
    <cellStyle name="40% - Accent6 6 4" xfId="10528" xr:uid="{16C230F2-03CB-4B91-BA50-82ED96612F7B}"/>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B3A161E6-F1E0-4991-832C-A6429071E070}"/>
    <cellStyle name="40% - Accent6 7 2 3" xfId="13086" xr:uid="{36E7650F-7104-412C-A16D-0BB419A23F5E}"/>
    <cellStyle name="40% - Accent6 7 3" xfId="5832" xr:uid="{00000000-0005-0000-0000-000079070000}"/>
    <cellStyle name="40% - Accent6 7 3 2" xfId="15158" xr:uid="{CDBFCA3A-B0BB-47DC-B2A0-C88A55E87AA8}"/>
    <cellStyle name="40% - Accent6 7 4" xfId="10941" xr:uid="{8163E8DF-5891-4ECE-A7E1-90223BE15352}"/>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BFCBFA48-89CD-4F10-B378-4DD668D06D65}"/>
    <cellStyle name="40% - Accent6 8 2 3" xfId="13499" xr:uid="{12D9F017-51CD-4A7C-B2C6-F1CB6D70329F}"/>
    <cellStyle name="40% - Accent6 8 3" xfId="6245" xr:uid="{00000000-0005-0000-0000-00007D070000}"/>
    <cellStyle name="40% - Accent6 8 3 2" xfId="15571" xr:uid="{8A2547D8-55D8-414B-AA8D-D3F829DF976B}"/>
    <cellStyle name="40% - Accent6 8 4" xfId="11354" xr:uid="{D823FC0D-7307-4B0B-8878-0AC946473846}"/>
    <cellStyle name="40% - Accent6 9" xfId="2352" xr:uid="{00000000-0005-0000-0000-00007E070000}"/>
    <cellStyle name="40% - Accent6 9 2" xfId="6658" xr:uid="{00000000-0005-0000-0000-00007F070000}"/>
    <cellStyle name="40% - Accent6 9 2 2" xfId="15984" xr:uid="{E20FF2BF-0E2D-46A8-967B-6DD0E9D8980F}"/>
    <cellStyle name="40% - Accent6 9 3" xfId="11767" xr:uid="{DD301E2C-6864-471E-B910-06DC4DC40BF8}"/>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AC159ED0-4CD1-4DB3-A0FE-154B86059356}"/>
    <cellStyle name="Comma 4 2 2 2 10 3" xfId="12092" xr:uid="{0982D25A-540E-430F-8C0F-8641B5182FDD}"/>
    <cellStyle name="Comma 4 2 2 2 11" xfId="4600" xr:uid="{00000000-0005-0000-0000-0000A3070000}"/>
    <cellStyle name="Comma 4 2 2 2 11 2" xfId="13926" xr:uid="{15993822-C88D-488E-8851-35E0944D15D7}"/>
    <cellStyle name="Comma 4 2 2 2 12" xfId="8806" xr:uid="{6C773D0B-D2E3-4A8C-B041-8DA2843B9E25}"/>
    <cellStyle name="Comma 4 2 2 2 13" xfId="9709" xr:uid="{B1DA758D-53A0-4EDA-9C2A-3A871FEBC9A8}"/>
    <cellStyle name="Comma 4 2 2 2 2" xfId="129" xr:uid="{00000000-0005-0000-0000-0000A4070000}"/>
    <cellStyle name="Comma 4 2 2 2 2 10" xfId="4601" xr:uid="{00000000-0005-0000-0000-0000A5070000}"/>
    <cellStyle name="Comma 4 2 2 2 2 10 2" xfId="13927" xr:uid="{6611F993-6785-4E48-B821-144F944EE277}"/>
    <cellStyle name="Comma 4 2 2 2 2 11" xfId="8909" xr:uid="{477FCE05-1F49-4658-A03C-A8A5E7983C47}"/>
    <cellStyle name="Comma 4 2 2 2 2 12" xfId="9710" xr:uid="{9A64E8E5-D757-4633-A059-507156BDB2D4}"/>
    <cellStyle name="Comma 4 2 2 2 2 2" xfId="130" xr:uid="{00000000-0005-0000-0000-0000A6070000}"/>
    <cellStyle name="Comma 4 2 2 2 2 2 10" xfId="9116" xr:uid="{7A07505D-6B4C-4086-90B5-B5D345FB7611}"/>
    <cellStyle name="Comma 4 2 2 2 2 2 11" xfId="9711" xr:uid="{6BC0CC38-A3C3-4EA7-A72C-21E4691DE0DE}"/>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F05AF96E-AAE8-40C8-B120-F34F723FAA6E}"/>
    <cellStyle name="Comma 4 2 2 2 2 2 2 2 3" xfId="12270" xr:uid="{25A8AC35-6C21-4ABC-AA81-C578A46B9488}"/>
    <cellStyle name="Comma 4 2 2 2 2 2 2 3" xfId="5016" xr:uid="{00000000-0005-0000-0000-0000AA070000}"/>
    <cellStyle name="Comma 4 2 2 2 2 2 2 3 2" xfId="14342" xr:uid="{B1D5D251-EDA7-427D-8881-4A8F8865DC43}"/>
    <cellStyle name="Comma 4 2 2 2 2 2 2 4" xfId="9541" xr:uid="{21DC771E-83A2-48BA-BE40-3E9E8454DE28}"/>
    <cellStyle name="Comma 4 2 2 2 2 2 2 5" xfId="10125" xr:uid="{E309E3D6-A5F9-443B-80B7-F1F320E1B312}"/>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66A570A5-36BA-470F-BC9F-619C6C1F2F31}"/>
    <cellStyle name="Comma 4 2 2 2 2 2 3 2 3" xfId="12683" xr:uid="{3145566E-1983-4669-808F-677A5A6C7E3C}"/>
    <cellStyle name="Comma 4 2 2 2 2 2 3 3" xfId="5429" xr:uid="{00000000-0005-0000-0000-0000AE070000}"/>
    <cellStyle name="Comma 4 2 2 2 2 2 3 3 2" xfId="14755" xr:uid="{EB73CE71-7D47-4F41-A782-121928AE2B2C}"/>
    <cellStyle name="Comma 4 2 2 2 2 2 3 4" xfId="10538" xr:uid="{A0C69AB4-97F6-4329-8F7E-8EA0E63FD18A}"/>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32A6FCFD-5FD1-4802-BCA1-B248D9272616}"/>
    <cellStyle name="Comma 4 2 2 2 2 2 4 2 3" xfId="13096" xr:uid="{D0AAF77C-334F-4C8A-AEC5-658897D3EE66}"/>
    <cellStyle name="Comma 4 2 2 2 2 2 4 3" xfId="5842" xr:uid="{00000000-0005-0000-0000-0000B2070000}"/>
    <cellStyle name="Comma 4 2 2 2 2 2 4 3 2" xfId="15168" xr:uid="{90B4C271-D75B-477D-B62B-58EF9F031947}"/>
    <cellStyle name="Comma 4 2 2 2 2 2 4 4" xfId="10951" xr:uid="{7AC1E666-D98C-458B-8779-7328D3A8000F}"/>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928E775C-C16D-4081-B036-FA2479BD0FCA}"/>
    <cellStyle name="Comma 4 2 2 2 2 2 5 2 3" xfId="13509" xr:uid="{8445B2CE-47F7-4DB9-B439-8291FE0863C0}"/>
    <cellStyle name="Comma 4 2 2 2 2 2 5 3" xfId="6255" xr:uid="{00000000-0005-0000-0000-0000B6070000}"/>
    <cellStyle name="Comma 4 2 2 2 2 2 5 3 2" xfId="15581" xr:uid="{436F40EC-0062-4CF0-AB0E-88F7DB42B2C9}"/>
    <cellStyle name="Comma 4 2 2 2 2 2 5 4" xfId="11364" xr:uid="{1C735BB6-2BD7-406A-9B9F-23EB5527F6C1}"/>
    <cellStyle name="Comma 4 2 2 2 2 2 6" xfId="2384" xr:uid="{00000000-0005-0000-0000-0000B7070000}"/>
    <cellStyle name="Comma 4 2 2 2 2 2 6 2" xfId="6668" xr:uid="{00000000-0005-0000-0000-0000B8070000}"/>
    <cellStyle name="Comma 4 2 2 2 2 2 6 2 2" xfId="15994" xr:uid="{3CBC1226-1EFE-4B32-B146-09BD937F5D4E}"/>
    <cellStyle name="Comma 4 2 2 2 2 2 6 3" xfId="11777" xr:uid="{4F377191-D8D0-4B3E-A4B9-DBDB0EB2350F}"/>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64194CE3-ED9B-4CF1-8B09-1F9980E686C7}"/>
    <cellStyle name="Comma 4 2 2 2 2 2 8 3" xfId="12094" xr:uid="{11443121-D604-4B76-8976-BB57637E1AAE}"/>
    <cellStyle name="Comma 4 2 2 2 2 2 9" xfId="4602" xr:uid="{00000000-0005-0000-0000-0000BC070000}"/>
    <cellStyle name="Comma 4 2 2 2 2 2 9 2" xfId="13928" xr:uid="{4E421FC8-85B3-4867-A6C9-03480D835310}"/>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F912E7A3-FF04-4F34-8CA3-F4B54E24DA0A}"/>
    <cellStyle name="Comma 4 2 2 2 2 3 2 3" xfId="12269" xr:uid="{E03F2CED-E0E9-4E8F-A998-B4EF0AC960E4}"/>
    <cellStyle name="Comma 4 2 2 2 2 3 3" xfId="5015" xr:uid="{00000000-0005-0000-0000-0000C0070000}"/>
    <cellStyle name="Comma 4 2 2 2 2 3 3 2" xfId="14341" xr:uid="{42D6569B-3E2A-4CEE-8263-035AFE6E27C5}"/>
    <cellStyle name="Comma 4 2 2 2 2 3 4" xfId="9334" xr:uid="{50E8807F-6450-4082-BD30-0A86C2E78D0E}"/>
    <cellStyle name="Comma 4 2 2 2 2 3 5" xfId="10124" xr:uid="{403D8E53-336F-4E34-899A-535A839DEB0F}"/>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6E21510E-3D5E-4E4F-BEC7-A4E016C8601A}"/>
    <cellStyle name="Comma 4 2 2 2 2 4 2 3" xfId="12682" xr:uid="{41BDEA0F-94EA-4D98-84AC-E0E504DCC5A4}"/>
    <cellStyle name="Comma 4 2 2 2 2 4 3" xfId="5428" xr:uid="{00000000-0005-0000-0000-0000C4070000}"/>
    <cellStyle name="Comma 4 2 2 2 2 4 3 2" xfId="14754" xr:uid="{400F11D7-8F88-450A-A3B7-B5263920CB9E}"/>
    <cellStyle name="Comma 4 2 2 2 2 4 4" xfId="10537" xr:uid="{590DA883-8CA5-48A8-A874-9C7916ECA703}"/>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4DC26A99-FCB6-42F9-AA13-8517361CBA67}"/>
    <cellStyle name="Comma 4 2 2 2 2 5 2 3" xfId="13095" xr:uid="{5A8F0B35-5804-4D29-A059-CFBAF8D5EC72}"/>
    <cellStyle name="Comma 4 2 2 2 2 5 3" xfId="5841" xr:uid="{00000000-0005-0000-0000-0000C8070000}"/>
    <cellStyle name="Comma 4 2 2 2 2 5 3 2" xfId="15167" xr:uid="{AE0FCB75-DD58-4D56-BBDE-B855DA5A8D3F}"/>
    <cellStyle name="Comma 4 2 2 2 2 5 4" xfId="10950" xr:uid="{4F49C7ED-D175-487A-AB02-DB24578F7E3C}"/>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171981C9-6B19-4BF8-BE5B-29B79CFE18B1}"/>
    <cellStyle name="Comma 4 2 2 2 2 6 2 3" xfId="13508" xr:uid="{6B0EDCCC-D841-4F60-BA20-08B166A9CC4B}"/>
    <cellStyle name="Comma 4 2 2 2 2 6 3" xfId="6254" xr:uid="{00000000-0005-0000-0000-0000CC070000}"/>
    <cellStyle name="Comma 4 2 2 2 2 6 3 2" xfId="15580" xr:uid="{40C09A24-75C1-4860-9C41-4AF30DC177E6}"/>
    <cellStyle name="Comma 4 2 2 2 2 6 4" xfId="11363" xr:uid="{9D0F5128-4D65-496C-B994-9670478C3F9E}"/>
    <cellStyle name="Comma 4 2 2 2 2 7" xfId="2383" xr:uid="{00000000-0005-0000-0000-0000CD070000}"/>
    <cellStyle name="Comma 4 2 2 2 2 7 2" xfId="6667" xr:uid="{00000000-0005-0000-0000-0000CE070000}"/>
    <cellStyle name="Comma 4 2 2 2 2 7 2 2" xfId="15993" xr:uid="{31CE608E-2FC6-4355-9831-ED8EB60A1FF2}"/>
    <cellStyle name="Comma 4 2 2 2 2 7 3" xfId="11776" xr:uid="{3E8AF08A-6C14-4FE0-9BD9-8EA85F5C42F5}"/>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FFC4ADC0-1730-45D2-A542-5B155957FC53}"/>
    <cellStyle name="Comma 4 2 2 2 2 9 3" xfId="12093" xr:uid="{A17A3A5D-FEF8-45C9-A6F2-6C67EF21A058}"/>
    <cellStyle name="Comma 4 2 2 2 3" xfId="131" xr:uid="{00000000-0005-0000-0000-0000D2070000}"/>
    <cellStyle name="Comma 4 2 2 2 3 10" xfId="9013" xr:uid="{D7491CA1-A7A0-4099-A659-9FB418CDDACA}"/>
    <cellStyle name="Comma 4 2 2 2 3 11" xfId="9712" xr:uid="{16FA83A8-8E5F-44E8-932D-C32252AB03A6}"/>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0DEF3181-BF4D-4765-8E84-29CDF4735038}"/>
    <cellStyle name="Comma 4 2 2 2 3 2 2 3" xfId="12271" xr:uid="{AF3C2F40-EE19-430F-8738-782B8D97B6D4}"/>
    <cellStyle name="Comma 4 2 2 2 3 2 3" xfId="5017" xr:uid="{00000000-0005-0000-0000-0000D6070000}"/>
    <cellStyle name="Comma 4 2 2 2 3 2 3 2" xfId="14343" xr:uid="{34B92CB3-2628-4C90-B410-F47B1657A3AE}"/>
    <cellStyle name="Comma 4 2 2 2 3 2 4" xfId="9438" xr:uid="{8E9C4341-814A-43D1-8D35-8CCC512A2E32}"/>
    <cellStyle name="Comma 4 2 2 2 3 2 5" xfId="10126" xr:uid="{109FD435-D538-4F2F-BC57-4C914EFC0113}"/>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7FD192D3-1126-4DC7-89D3-B4CC4A6FCA90}"/>
    <cellStyle name="Comma 4 2 2 2 3 3 2 3" xfId="12684" xr:uid="{94456159-4A5A-4E65-91D0-E8839707DAB7}"/>
    <cellStyle name="Comma 4 2 2 2 3 3 3" xfId="5430" xr:uid="{00000000-0005-0000-0000-0000DA070000}"/>
    <cellStyle name="Comma 4 2 2 2 3 3 3 2" xfId="14756" xr:uid="{6DD49098-7B10-4C87-80E2-55162EDFC72D}"/>
    <cellStyle name="Comma 4 2 2 2 3 3 4" xfId="10539" xr:uid="{5F477B68-0674-4D0E-BA8A-D95D11A09B3D}"/>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97BFE051-B687-40D7-B73D-A60F87C21C45}"/>
    <cellStyle name="Comma 4 2 2 2 3 4 2 3" xfId="13097" xr:uid="{53DE8062-8C24-4038-BC58-03B145155F2B}"/>
    <cellStyle name="Comma 4 2 2 2 3 4 3" xfId="5843" xr:uid="{00000000-0005-0000-0000-0000DE070000}"/>
    <cellStyle name="Comma 4 2 2 2 3 4 3 2" xfId="15169" xr:uid="{9CC4DE3F-A793-4428-9D44-FBC9A4F69745}"/>
    <cellStyle name="Comma 4 2 2 2 3 4 4" xfId="10952" xr:uid="{974620AD-E782-494A-89EA-1C8A71749FC2}"/>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519873F9-55FE-4526-97CD-607C0B685822}"/>
    <cellStyle name="Comma 4 2 2 2 3 5 2 3" xfId="13510" xr:uid="{4A0A572C-B74B-43B6-9F0E-6021A3B2210E}"/>
    <cellStyle name="Comma 4 2 2 2 3 5 3" xfId="6256" xr:uid="{00000000-0005-0000-0000-0000E2070000}"/>
    <cellStyle name="Comma 4 2 2 2 3 5 3 2" xfId="15582" xr:uid="{FB9D9A78-69B7-41B6-AAA9-A61F28004925}"/>
    <cellStyle name="Comma 4 2 2 2 3 5 4" xfId="11365" xr:uid="{2B23D455-4500-4C31-86BD-ECA39D812093}"/>
    <cellStyle name="Comma 4 2 2 2 3 6" xfId="2385" xr:uid="{00000000-0005-0000-0000-0000E3070000}"/>
    <cellStyle name="Comma 4 2 2 2 3 6 2" xfId="6669" xr:uid="{00000000-0005-0000-0000-0000E4070000}"/>
    <cellStyle name="Comma 4 2 2 2 3 6 2 2" xfId="15995" xr:uid="{8185C4EB-E204-4513-8C96-6BE6D6CC57D5}"/>
    <cellStyle name="Comma 4 2 2 2 3 6 3" xfId="11778" xr:uid="{0A34883E-7F45-47A0-8E60-6E024A2DC22A}"/>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C8EBC559-5ED6-4667-B789-C7BF5F90D4DB}"/>
    <cellStyle name="Comma 4 2 2 2 3 8 3" xfId="12095" xr:uid="{7B3D3A56-94BA-4885-A093-F3C11E37310F}"/>
    <cellStyle name="Comma 4 2 2 2 3 9" xfId="4603" xr:uid="{00000000-0005-0000-0000-0000E8070000}"/>
    <cellStyle name="Comma 4 2 2 2 3 9 2" xfId="13929" xr:uid="{051645DF-EEBD-4BE2-B24F-1BDB97C47A6F}"/>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12A4C0F4-A70A-4EBB-BEA4-E0B854A070E6}"/>
    <cellStyle name="Comma 4 2 2 2 4 2 3" xfId="12268" xr:uid="{6C5353DF-3CAA-41F8-9E23-0E8CD205B78B}"/>
    <cellStyle name="Comma 4 2 2 2 4 3" xfId="5014" xr:uid="{00000000-0005-0000-0000-0000EC070000}"/>
    <cellStyle name="Comma 4 2 2 2 4 3 2" xfId="14340" xr:uid="{F3EBA4ED-0742-4C85-BA33-859A403F7AD6}"/>
    <cellStyle name="Comma 4 2 2 2 4 4" xfId="9231" xr:uid="{31DAC97A-9492-467B-9850-183797A56FBE}"/>
    <cellStyle name="Comma 4 2 2 2 4 5" xfId="10123" xr:uid="{14B11667-F736-4A31-913B-53AC6CCA28B4}"/>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E923DC8C-B53A-478A-A578-77B08789F37B}"/>
    <cellStyle name="Comma 4 2 2 2 5 2 3" xfId="12681" xr:uid="{3B90E0AF-D4D6-4CD6-9B9A-68EFFFAE0B1F}"/>
    <cellStyle name="Comma 4 2 2 2 5 3" xfId="5427" xr:uid="{00000000-0005-0000-0000-0000F0070000}"/>
    <cellStyle name="Comma 4 2 2 2 5 3 2" xfId="14753" xr:uid="{6D954E97-FBFC-4750-9A10-A2F735F1D227}"/>
    <cellStyle name="Comma 4 2 2 2 5 4" xfId="10536" xr:uid="{D1C47C9D-323C-45CA-9709-911194D917C8}"/>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C8AF6F3E-D375-4738-BDCC-15F1598B4BCD}"/>
    <cellStyle name="Comma 4 2 2 2 6 2 3" xfId="13094" xr:uid="{3774DB35-E13F-4B7C-8697-9C236F7D8E46}"/>
    <cellStyle name="Comma 4 2 2 2 6 3" xfId="5840" xr:uid="{00000000-0005-0000-0000-0000F4070000}"/>
    <cellStyle name="Comma 4 2 2 2 6 3 2" xfId="15166" xr:uid="{8ABF41C5-A0B8-4323-AD08-12B96BE3BD9A}"/>
    <cellStyle name="Comma 4 2 2 2 6 4" xfId="10949" xr:uid="{B62EFDDB-215F-46DA-81B1-670ED7B185D5}"/>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BA39494C-71F4-4F85-898C-6865182FE51D}"/>
    <cellStyle name="Comma 4 2 2 2 7 2 3" xfId="13507" xr:uid="{7C6BDF37-5ABF-48ED-880A-0FA83DCBE2B7}"/>
    <cellStyle name="Comma 4 2 2 2 7 3" xfId="6253" xr:uid="{00000000-0005-0000-0000-0000F8070000}"/>
    <cellStyle name="Comma 4 2 2 2 7 3 2" xfId="15579" xr:uid="{0043F3B9-4F35-4C23-9835-FFBCB9124D44}"/>
    <cellStyle name="Comma 4 2 2 2 7 4" xfId="11362" xr:uid="{AEB1C23C-A444-428A-AD6F-04F49925B194}"/>
    <cellStyle name="Comma 4 2 2 2 8" xfId="2382" xr:uid="{00000000-0005-0000-0000-0000F9070000}"/>
    <cellStyle name="Comma 4 2 2 2 8 2" xfId="6666" xr:uid="{00000000-0005-0000-0000-0000FA070000}"/>
    <cellStyle name="Comma 4 2 2 2 8 2 2" xfId="15992" xr:uid="{12012DF3-4100-4E8B-9546-F71E7DE05986}"/>
    <cellStyle name="Comma 4 2 2 2 8 3" xfId="11775" xr:uid="{D8E26231-0670-4D7A-9BCA-233DEC950682}"/>
    <cellStyle name="Comma 4 2 2 2 9" xfId="2381" xr:uid="{00000000-0005-0000-0000-0000FB070000}"/>
    <cellStyle name="Comma 4 2 2 3" xfId="132" xr:uid="{00000000-0005-0000-0000-0000FC070000}"/>
    <cellStyle name="Comma 4 2 2 3 10" xfId="4604" xr:uid="{00000000-0005-0000-0000-0000FD070000}"/>
    <cellStyle name="Comma 4 2 2 3 10 2" xfId="13930" xr:uid="{7BE86FAA-8047-49EF-AF99-D48F21E84C5B}"/>
    <cellStyle name="Comma 4 2 2 3 11" xfId="8889" xr:uid="{93813409-C042-4436-8561-B0237A135E7D}"/>
    <cellStyle name="Comma 4 2 2 3 12" xfId="9713" xr:uid="{E8B75CCD-7AAC-4884-A143-FE7AC35E7E04}"/>
    <cellStyle name="Comma 4 2 2 3 2" xfId="133" xr:uid="{00000000-0005-0000-0000-0000FE070000}"/>
    <cellStyle name="Comma 4 2 2 3 2 10" xfId="9096" xr:uid="{C395B6CC-7E3E-452B-B5AB-BBF992A45CEB}"/>
    <cellStyle name="Comma 4 2 2 3 2 11" xfId="9714" xr:uid="{D0959894-9935-49B2-B8C2-2C67451D276C}"/>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A1761DCA-DEF4-44BA-A799-145A831F6ADB}"/>
    <cellStyle name="Comma 4 2 2 3 2 2 2 3" xfId="12273" xr:uid="{663A9B52-5135-4B10-B8A2-3C8A8EB66811}"/>
    <cellStyle name="Comma 4 2 2 3 2 2 3" xfId="5019" xr:uid="{00000000-0005-0000-0000-000002080000}"/>
    <cellStyle name="Comma 4 2 2 3 2 2 3 2" xfId="14345" xr:uid="{ACBE78D3-761B-4AEA-9E6E-9F6DD7A814D4}"/>
    <cellStyle name="Comma 4 2 2 3 2 2 4" xfId="9521" xr:uid="{8F14F654-C711-4E70-8A06-71F68E70E2E0}"/>
    <cellStyle name="Comma 4 2 2 3 2 2 5" xfId="10128" xr:uid="{4EB60E6F-B8E3-4C0D-BF39-47501D123426}"/>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6EC90195-35F1-46E7-BF05-A154826F2D99}"/>
    <cellStyle name="Comma 4 2 2 3 2 3 2 3" xfId="12686" xr:uid="{C274EF3D-7314-4846-9496-3FFBE86A5235}"/>
    <cellStyle name="Comma 4 2 2 3 2 3 3" xfId="5432" xr:uid="{00000000-0005-0000-0000-000006080000}"/>
    <cellStyle name="Comma 4 2 2 3 2 3 3 2" xfId="14758" xr:uid="{3D4117E7-D60E-433C-A693-9D078C76D1F9}"/>
    <cellStyle name="Comma 4 2 2 3 2 3 4" xfId="10541" xr:uid="{0E35A42D-E5CC-414D-ACB1-820B9E5304CC}"/>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69E31D29-2B6C-4985-B2A7-400B5475CCC6}"/>
    <cellStyle name="Comma 4 2 2 3 2 4 2 3" xfId="13099" xr:uid="{F53EF095-F2DE-4C9A-9306-1E0A0F1B53DD}"/>
    <cellStyle name="Comma 4 2 2 3 2 4 3" xfId="5845" xr:uid="{00000000-0005-0000-0000-00000A080000}"/>
    <cellStyle name="Comma 4 2 2 3 2 4 3 2" xfId="15171" xr:uid="{644C6D48-A856-43B5-AD3A-3A2347114B72}"/>
    <cellStyle name="Comma 4 2 2 3 2 4 4" xfId="10954" xr:uid="{26A4DBF3-E984-48A2-A605-CE13662A9A7B}"/>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EF0D3D01-5F76-4416-9150-595BF496587F}"/>
    <cellStyle name="Comma 4 2 2 3 2 5 2 3" xfId="13512" xr:uid="{E3426266-6336-495D-A269-EBF9902F9BAD}"/>
    <cellStyle name="Comma 4 2 2 3 2 5 3" xfId="6258" xr:uid="{00000000-0005-0000-0000-00000E080000}"/>
    <cellStyle name="Comma 4 2 2 3 2 5 3 2" xfId="15584" xr:uid="{B4AEA2EE-8E4F-4DE6-BC2D-95690E6070BA}"/>
    <cellStyle name="Comma 4 2 2 3 2 5 4" xfId="11367" xr:uid="{47BE70D5-EBD4-4283-9A07-7F9F1075771C}"/>
    <cellStyle name="Comma 4 2 2 3 2 6" xfId="2387" xr:uid="{00000000-0005-0000-0000-00000F080000}"/>
    <cellStyle name="Comma 4 2 2 3 2 6 2" xfId="6671" xr:uid="{00000000-0005-0000-0000-000010080000}"/>
    <cellStyle name="Comma 4 2 2 3 2 6 2 2" xfId="15997" xr:uid="{73420C5F-A9B6-41FC-A0D8-81457932D22B}"/>
    <cellStyle name="Comma 4 2 2 3 2 6 3" xfId="11780" xr:uid="{4685B6C4-094D-4B45-9B47-8EB8DC8C3BCD}"/>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D7259F12-FE80-49A4-BE58-48DEFF38433C}"/>
    <cellStyle name="Comma 4 2 2 3 2 8 3" xfId="12097" xr:uid="{6877CB15-1066-493B-A364-6E09DF103490}"/>
    <cellStyle name="Comma 4 2 2 3 2 9" xfId="4605" xr:uid="{00000000-0005-0000-0000-000014080000}"/>
    <cellStyle name="Comma 4 2 2 3 2 9 2" xfId="13931" xr:uid="{E1E9339D-4C36-4B15-8A7A-316F6BFE3343}"/>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71649D84-D454-4049-ADE6-89BA0AF69419}"/>
    <cellStyle name="Comma 4 2 2 3 3 2 3" xfId="12272" xr:uid="{CD5C8E73-9AC2-4318-87A4-0BBC48F5FA6D}"/>
    <cellStyle name="Comma 4 2 2 3 3 3" xfId="5018" xr:uid="{00000000-0005-0000-0000-000018080000}"/>
    <cellStyle name="Comma 4 2 2 3 3 3 2" xfId="14344" xr:uid="{0CC550B0-84DC-4D28-ACE5-5020B332EBBE}"/>
    <cellStyle name="Comma 4 2 2 3 3 4" xfId="9314" xr:uid="{A74197AE-1229-40FC-8212-8FB289D74FF6}"/>
    <cellStyle name="Comma 4 2 2 3 3 5" xfId="10127" xr:uid="{DF6D6679-738E-4DC2-93B2-B443266953F8}"/>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AA8E4218-6398-46EA-B560-8F7D205EF998}"/>
    <cellStyle name="Comma 4 2 2 3 4 2 3" xfId="12685" xr:uid="{CD6C8D87-0040-479F-85F2-C2AC25C1F7F0}"/>
    <cellStyle name="Comma 4 2 2 3 4 3" xfId="5431" xr:uid="{00000000-0005-0000-0000-00001C080000}"/>
    <cellStyle name="Comma 4 2 2 3 4 3 2" xfId="14757" xr:uid="{4D64E08F-1AD4-4C81-90AA-D4998ABBFCBA}"/>
    <cellStyle name="Comma 4 2 2 3 4 4" xfId="10540" xr:uid="{7DD655CE-BA69-416A-934C-C20573075C7F}"/>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2826BBB2-0260-4EF6-B36F-E9B76FAC4B1C}"/>
    <cellStyle name="Comma 4 2 2 3 5 2 3" xfId="13098" xr:uid="{BB3F8303-EDEE-465A-9660-92F8A4BE08D5}"/>
    <cellStyle name="Comma 4 2 2 3 5 3" xfId="5844" xr:uid="{00000000-0005-0000-0000-000020080000}"/>
    <cellStyle name="Comma 4 2 2 3 5 3 2" xfId="15170" xr:uid="{009874DD-A1CC-4634-8069-27B0F908C0AE}"/>
    <cellStyle name="Comma 4 2 2 3 5 4" xfId="10953" xr:uid="{CEB25BA1-E82C-4A4C-AD9D-89FD0A3BAEB4}"/>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BBDBD958-D019-4D06-8B31-CB2E5FB9DB8E}"/>
    <cellStyle name="Comma 4 2 2 3 6 2 3" xfId="13511" xr:uid="{7D7EBC56-BA25-43DD-BA72-9839AE36C936}"/>
    <cellStyle name="Comma 4 2 2 3 6 3" xfId="6257" xr:uid="{00000000-0005-0000-0000-000024080000}"/>
    <cellStyle name="Comma 4 2 2 3 6 3 2" xfId="15583" xr:uid="{D47EC5E2-234B-4C78-B90A-92B99067570D}"/>
    <cellStyle name="Comma 4 2 2 3 6 4" xfId="11366" xr:uid="{22345A26-DE00-45A0-BAC7-5104E2347CFA}"/>
    <cellStyle name="Comma 4 2 2 3 7" xfId="2386" xr:uid="{00000000-0005-0000-0000-000025080000}"/>
    <cellStyle name="Comma 4 2 2 3 7 2" xfId="6670" xr:uid="{00000000-0005-0000-0000-000026080000}"/>
    <cellStyle name="Comma 4 2 2 3 7 2 2" xfId="15996" xr:uid="{15CD73F5-EFE6-4A70-8483-B520F7B8B7F7}"/>
    <cellStyle name="Comma 4 2 2 3 7 3" xfId="11779" xr:uid="{B2AB6665-B1DA-46D1-A3AA-21D8DCF8B9D4}"/>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20AF4D4D-4CB7-4597-9B99-A0AD5AF073C9}"/>
    <cellStyle name="Comma 4 2 2 3 9 3" xfId="12096" xr:uid="{1673F737-3422-453C-8748-539A2ECBD9DF}"/>
    <cellStyle name="Comma 4 2 2 4" xfId="134" xr:uid="{00000000-0005-0000-0000-00002A080000}"/>
    <cellStyle name="Comma 4 2 2 4 10" xfId="8993" xr:uid="{2969CB69-37C4-4C43-BC9D-87F92556F829}"/>
    <cellStyle name="Comma 4 2 2 4 11" xfId="9715" xr:uid="{8342D842-A7A1-44BB-A441-3991CDB4D512}"/>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AEAAB571-DCA7-433B-A021-D8209BF73ED2}"/>
    <cellStyle name="Comma 4 2 2 4 2 2 3" xfId="12274" xr:uid="{E65911C7-6436-40B7-982F-53CE9A07F6AB}"/>
    <cellStyle name="Comma 4 2 2 4 2 3" xfId="5020" xr:uid="{00000000-0005-0000-0000-00002E080000}"/>
    <cellStyle name="Comma 4 2 2 4 2 3 2" xfId="14346" xr:uid="{0EA7FD7D-1F86-4255-9523-9AEE84251476}"/>
    <cellStyle name="Comma 4 2 2 4 2 4" xfId="9418" xr:uid="{F2EB07B7-2227-485D-9411-A8F75EC2F9DA}"/>
    <cellStyle name="Comma 4 2 2 4 2 5" xfId="10129" xr:uid="{3BE131DF-8305-4C50-9B6F-5E7CBA690199}"/>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0F2FCC4E-B849-43C1-A56F-0314057A9470}"/>
    <cellStyle name="Comma 4 2 2 4 3 2 3" xfId="12687" xr:uid="{FF83C534-6A8D-4D2F-BE77-A22054055A41}"/>
    <cellStyle name="Comma 4 2 2 4 3 3" xfId="5433" xr:uid="{00000000-0005-0000-0000-000032080000}"/>
    <cellStyle name="Comma 4 2 2 4 3 3 2" xfId="14759" xr:uid="{55B52D5E-2950-498D-AC9B-A0BB7DC9D264}"/>
    <cellStyle name="Comma 4 2 2 4 3 4" xfId="10542" xr:uid="{4A880996-1200-4C2E-930C-A421BADE91A6}"/>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F48DE037-B11D-4A89-AE75-850388BC952A}"/>
    <cellStyle name="Comma 4 2 2 4 4 2 3" xfId="13100" xr:uid="{C5FA1AD3-D985-49F0-808E-07563D9F6E83}"/>
    <cellStyle name="Comma 4 2 2 4 4 3" xfId="5846" xr:uid="{00000000-0005-0000-0000-000036080000}"/>
    <cellStyle name="Comma 4 2 2 4 4 3 2" xfId="15172" xr:uid="{E4162A63-70EB-424B-AE5D-E44BC05EFCDA}"/>
    <cellStyle name="Comma 4 2 2 4 4 4" xfId="10955" xr:uid="{D810334E-83F0-4DA8-AB14-7F7A587070A3}"/>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56C522A8-6ED1-4AF6-AB56-724639EA21F7}"/>
    <cellStyle name="Comma 4 2 2 4 5 2 3" xfId="13513" xr:uid="{9CAA6D85-65A6-4CF7-A476-09F244648010}"/>
    <cellStyle name="Comma 4 2 2 4 5 3" xfId="6259" xr:uid="{00000000-0005-0000-0000-00003A080000}"/>
    <cellStyle name="Comma 4 2 2 4 5 3 2" xfId="15585" xr:uid="{5D1C571F-E358-42A1-A048-A15B4C8754E0}"/>
    <cellStyle name="Comma 4 2 2 4 5 4" xfId="11368" xr:uid="{42BCA41F-B4F6-4DBC-A4CD-852A1867A86A}"/>
    <cellStyle name="Comma 4 2 2 4 6" xfId="2388" xr:uid="{00000000-0005-0000-0000-00003B080000}"/>
    <cellStyle name="Comma 4 2 2 4 6 2" xfId="6672" xr:uid="{00000000-0005-0000-0000-00003C080000}"/>
    <cellStyle name="Comma 4 2 2 4 6 2 2" xfId="15998" xr:uid="{76CE6878-04CD-43C3-A34E-611716FCBAD2}"/>
    <cellStyle name="Comma 4 2 2 4 6 3" xfId="11781" xr:uid="{EA0109D3-8492-4F55-B37B-738EBC6FA1C5}"/>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72DD10DC-6F37-4DA4-B05D-70224A66A75B}"/>
    <cellStyle name="Comma 4 2 2 4 8 3" xfId="12098" xr:uid="{68848FB7-E830-44C7-B071-9BC23FBB8DC7}"/>
    <cellStyle name="Comma 4 2 2 4 9" xfId="4606" xr:uid="{00000000-0005-0000-0000-000040080000}"/>
    <cellStyle name="Comma 4 2 2 4 9 2" xfId="13932" xr:uid="{1ADEBD84-2075-49AC-AC19-D455667A02B1}"/>
    <cellStyle name="Comma 4 2 2 5" xfId="135" xr:uid="{00000000-0005-0000-0000-000041080000}"/>
    <cellStyle name="Comma 4 2 2 5 10" xfId="9210" xr:uid="{C1F9418B-EF96-4063-883D-A983E131C6A4}"/>
    <cellStyle name="Comma 4 2 2 5 11" xfId="9716" xr:uid="{816A5B4D-5AE9-46C3-BF46-68513E18E6D0}"/>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B139E187-33B6-4E98-91FD-DD09FC049F59}"/>
    <cellStyle name="Comma 4 2 2 5 2 2 3" xfId="12275" xr:uid="{D02E384D-FF8E-457B-826F-F93570E3D0F1}"/>
    <cellStyle name="Comma 4 2 2 5 2 3" xfId="5021" xr:uid="{00000000-0005-0000-0000-000045080000}"/>
    <cellStyle name="Comma 4 2 2 5 2 3 2" xfId="14347" xr:uid="{95A406D6-80E5-405A-94B8-63CD1ADB3C20}"/>
    <cellStyle name="Comma 4 2 2 5 2 4" xfId="9593" xr:uid="{3B41C66E-2108-4CBE-9776-211459781E55}"/>
    <cellStyle name="Comma 4 2 2 5 2 5" xfId="10130" xr:uid="{92DA7AA5-6E55-484C-AAAE-D363B06B5CC5}"/>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A71B7166-F9C9-46A4-BF23-DA184C0B52A5}"/>
    <cellStyle name="Comma 4 2 2 5 3 2 3" xfId="12688" xr:uid="{1F89AAA4-F622-4F65-98F7-F57F33CAD783}"/>
    <cellStyle name="Comma 4 2 2 5 3 3" xfId="5434" xr:uid="{00000000-0005-0000-0000-000049080000}"/>
    <cellStyle name="Comma 4 2 2 5 3 3 2" xfId="14760" xr:uid="{C8604CF3-9395-4197-A747-1979AB303825}"/>
    <cellStyle name="Comma 4 2 2 5 3 4" xfId="10543" xr:uid="{D695ADBB-30BC-4FA5-B463-55450644656C}"/>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FD7F9C2F-6175-4DBF-9B46-3F1E5E62A3B4}"/>
    <cellStyle name="Comma 4 2 2 5 4 2 3" xfId="13101" xr:uid="{3818E3D6-4B36-4156-81DD-B8E9D01D20FD}"/>
    <cellStyle name="Comma 4 2 2 5 4 3" xfId="5847" xr:uid="{00000000-0005-0000-0000-00004D080000}"/>
    <cellStyle name="Comma 4 2 2 5 4 3 2" xfId="15173" xr:uid="{64954A9C-9199-40A3-9D33-E0F95FBBBE44}"/>
    <cellStyle name="Comma 4 2 2 5 4 4" xfId="10956" xr:uid="{41EDFA4C-E1CE-4A15-96DE-AEEF233FC38D}"/>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E6B59B26-914F-47E4-81E4-FE0649DD8552}"/>
    <cellStyle name="Comma 4 2 2 5 5 2 3" xfId="13514" xr:uid="{A8CDCBFE-E483-4F3B-83FD-7ACB7CD01BDC}"/>
    <cellStyle name="Comma 4 2 2 5 5 3" xfId="6260" xr:uid="{00000000-0005-0000-0000-000051080000}"/>
    <cellStyle name="Comma 4 2 2 5 5 3 2" xfId="15586" xr:uid="{67261354-D1AF-4390-B019-E266E272FEEA}"/>
    <cellStyle name="Comma 4 2 2 5 5 4" xfId="11369" xr:uid="{5A2C634A-E7BE-4FC5-993E-FD49835CC79D}"/>
    <cellStyle name="Comma 4 2 2 5 6" xfId="2389" xr:uid="{00000000-0005-0000-0000-000052080000}"/>
    <cellStyle name="Comma 4 2 2 5 6 2" xfId="6673" xr:uid="{00000000-0005-0000-0000-000053080000}"/>
    <cellStyle name="Comma 4 2 2 5 6 2 2" xfId="15999" xr:uid="{9ED5C60D-47A7-4FD6-A698-1E5000B1DC84}"/>
    <cellStyle name="Comma 4 2 2 5 6 3" xfId="11782" xr:uid="{D4EE8EF5-E38F-468C-8B18-DF0C9E49A49D}"/>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9828CD4B-09AF-4621-8E3D-269F6885575E}"/>
    <cellStyle name="Comma 4 2 2 5 8 3" xfId="12099" xr:uid="{E7293F33-072B-4766-9A26-CB3B40FCBFB2}"/>
    <cellStyle name="Comma 4 2 2 5 9" xfId="4607" xr:uid="{00000000-0005-0000-0000-000057080000}"/>
    <cellStyle name="Comma 4 2 2 5 9 2" xfId="13933" xr:uid="{1F2D462D-DDFD-4332-80D5-F5D8BA88D8B6}"/>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6317" xr:uid="{D3748354-E1E7-497B-AA6B-AA026465A915}"/>
    <cellStyle name="Comma 4 2 3 10 3" xfId="12100" xr:uid="{A8215E8C-9511-45E6-A5ED-A6AECBABE946}"/>
    <cellStyle name="Comma 4 2 3 11" xfId="4608" xr:uid="{00000000-0005-0000-0000-00005B080000}"/>
    <cellStyle name="Comma 4 2 3 11 2" xfId="13934" xr:uid="{20BC8A89-E1D7-4ABB-85C4-CE1ED2CC02A8}"/>
    <cellStyle name="Comma 4 2 3 12" xfId="8805" xr:uid="{C45527F6-07B7-4887-BAF3-A6424444BA3B}"/>
    <cellStyle name="Comma 4 2 3 13" xfId="9717" xr:uid="{54D90566-2D71-4863-AC15-AE88982485B9}"/>
    <cellStyle name="Comma 4 2 3 2" xfId="137" xr:uid="{00000000-0005-0000-0000-00005C080000}"/>
    <cellStyle name="Comma 4 2 3 2 10" xfId="4609" xr:uid="{00000000-0005-0000-0000-00005D080000}"/>
    <cellStyle name="Comma 4 2 3 2 10 2" xfId="13935" xr:uid="{603E9CF7-5C5E-40B8-9481-447637583AA4}"/>
    <cellStyle name="Comma 4 2 3 2 11" xfId="8908" xr:uid="{E7021C11-E6EB-4392-A0AD-2A78F42B4BB7}"/>
    <cellStyle name="Comma 4 2 3 2 12" xfId="9718" xr:uid="{B173CFA3-3BD4-45C7-9437-054FAA8C0649}"/>
    <cellStyle name="Comma 4 2 3 2 2" xfId="138" xr:uid="{00000000-0005-0000-0000-00005E080000}"/>
    <cellStyle name="Comma 4 2 3 2 2 10" xfId="9115" xr:uid="{1A31CCC4-B2C0-4E0C-B714-855521500FE8}"/>
    <cellStyle name="Comma 4 2 3 2 2 11" xfId="9719" xr:uid="{0AD4A8AD-D887-43AD-8BDE-53639C9D1870}"/>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FEC7BD0D-CA06-4E98-B00B-C7E4DC96517D}"/>
    <cellStyle name="Comma 4 2 3 2 2 2 2 3" xfId="12278" xr:uid="{7F7C2022-D2AC-4B1C-8EC9-B74C1562F9D1}"/>
    <cellStyle name="Comma 4 2 3 2 2 2 3" xfId="5024" xr:uid="{00000000-0005-0000-0000-000062080000}"/>
    <cellStyle name="Comma 4 2 3 2 2 2 3 2" xfId="14350" xr:uid="{DE0E50F2-9E38-4632-9715-03CEEEA095AE}"/>
    <cellStyle name="Comma 4 2 3 2 2 2 4" xfId="9540" xr:uid="{F922DD27-FEAE-4DB6-894F-26CD58815668}"/>
    <cellStyle name="Comma 4 2 3 2 2 2 5" xfId="10133" xr:uid="{AD870D60-673A-4C24-80A8-16D87441FA0B}"/>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E574DECB-D6F5-409A-B046-7164EA82A93C}"/>
    <cellStyle name="Comma 4 2 3 2 2 3 2 3" xfId="12691" xr:uid="{FCD95BB8-5610-4934-B4F8-70DA3630C581}"/>
    <cellStyle name="Comma 4 2 3 2 2 3 3" xfId="5437" xr:uid="{00000000-0005-0000-0000-000066080000}"/>
    <cellStyle name="Comma 4 2 3 2 2 3 3 2" xfId="14763" xr:uid="{0F672831-BEBA-4DC3-B740-9A11CCD7FA77}"/>
    <cellStyle name="Comma 4 2 3 2 2 3 4" xfId="10546" xr:uid="{79C57BFB-C8A3-4EEE-B2D4-6FE434825DC7}"/>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BBA95ED1-555C-4E8E-9D0D-622C12AEEBF5}"/>
    <cellStyle name="Comma 4 2 3 2 2 4 2 3" xfId="13104" xr:uid="{C7D14738-3066-44F9-8A12-965A69789AAF}"/>
    <cellStyle name="Comma 4 2 3 2 2 4 3" xfId="5850" xr:uid="{00000000-0005-0000-0000-00006A080000}"/>
    <cellStyle name="Comma 4 2 3 2 2 4 3 2" xfId="15176" xr:uid="{1DA67478-5421-4696-9ADF-039EC475DE5F}"/>
    <cellStyle name="Comma 4 2 3 2 2 4 4" xfId="10959" xr:uid="{B0C2B8B0-B427-4CB2-99C9-E448A6765F67}"/>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D4A5B0B2-7B96-4FB8-B673-2ACB11F93FC3}"/>
    <cellStyle name="Comma 4 2 3 2 2 5 2 3" xfId="13517" xr:uid="{EC29BC4B-BA98-440E-92F5-00D7C35046A2}"/>
    <cellStyle name="Comma 4 2 3 2 2 5 3" xfId="6263" xr:uid="{00000000-0005-0000-0000-00006E080000}"/>
    <cellStyle name="Comma 4 2 3 2 2 5 3 2" xfId="15589" xr:uid="{A2AA494F-D0C9-4326-AED1-860B22EDDD9B}"/>
    <cellStyle name="Comma 4 2 3 2 2 5 4" xfId="11372" xr:uid="{EFBBB527-C781-4E03-958B-250817469A7A}"/>
    <cellStyle name="Comma 4 2 3 2 2 6" xfId="2392" xr:uid="{00000000-0005-0000-0000-00006F080000}"/>
    <cellStyle name="Comma 4 2 3 2 2 6 2" xfId="6676" xr:uid="{00000000-0005-0000-0000-000070080000}"/>
    <cellStyle name="Comma 4 2 3 2 2 6 2 2" xfId="16002" xr:uid="{A7CB1F0D-0B9A-4D36-B247-7814D71A8D2C}"/>
    <cellStyle name="Comma 4 2 3 2 2 6 3" xfId="11785" xr:uid="{34153153-538C-4037-9446-F7A2356C6EE2}"/>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FA34A51A-06A6-4989-94C9-520CE5EDD959}"/>
    <cellStyle name="Comma 4 2 3 2 2 8 3" xfId="12102" xr:uid="{B42F2381-9403-42FF-AE74-E00F3ABDAD74}"/>
    <cellStyle name="Comma 4 2 3 2 2 9" xfId="4610" xr:uid="{00000000-0005-0000-0000-000074080000}"/>
    <cellStyle name="Comma 4 2 3 2 2 9 2" xfId="13936" xr:uid="{55E6038A-1188-407A-A3B6-E27E95509E6F}"/>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9D84CFEF-7BEB-455B-A6A1-FC18C6D68B0C}"/>
    <cellStyle name="Comma 4 2 3 2 3 2 3" xfId="12277" xr:uid="{824B09FA-3D21-4AFE-AA64-CF55DB081637}"/>
    <cellStyle name="Comma 4 2 3 2 3 3" xfId="5023" xr:uid="{00000000-0005-0000-0000-000078080000}"/>
    <cellStyle name="Comma 4 2 3 2 3 3 2" xfId="14349" xr:uid="{CA7A3698-7040-4C12-B58B-491064381D63}"/>
    <cellStyle name="Comma 4 2 3 2 3 4" xfId="9333" xr:uid="{5C974796-1B06-4FA8-AB2A-F6B34628ACD4}"/>
    <cellStyle name="Comma 4 2 3 2 3 5" xfId="10132" xr:uid="{50774085-7429-4E44-89A4-58F0EE6CE513}"/>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AFFC4DF3-40B2-4A15-8735-925C1B31003C}"/>
    <cellStyle name="Comma 4 2 3 2 4 2 3" xfId="12690" xr:uid="{1798D60B-830F-4064-8889-7D498255716A}"/>
    <cellStyle name="Comma 4 2 3 2 4 3" xfId="5436" xr:uid="{00000000-0005-0000-0000-00007C080000}"/>
    <cellStyle name="Comma 4 2 3 2 4 3 2" xfId="14762" xr:uid="{E09E6670-54BC-4203-9BAE-EFC4D6FC12EB}"/>
    <cellStyle name="Comma 4 2 3 2 4 4" xfId="10545" xr:uid="{625A368D-4DAE-482F-B913-1AB5A31C5509}"/>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8124F79D-A2E3-410F-AD0E-6199B769A75D}"/>
    <cellStyle name="Comma 4 2 3 2 5 2 3" xfId="13103" xr:uid="{AF04DFE6-CE0A-4198-8257-08FCB5BF71D1}"/>
    <cellStyle name="Comma 4 2 3 2 5 3" xfId="5849" xr:uid="{00000000-0005-0000-0000-000080080000}"/>
    <cellStyle name="Comma 4 2 3 2 5 3 2" xfId="15175" xr:uid="{23FC2C43-6FCB-4727-A507-B4B9D111FE62}"/>
    <cellStyle name="Comma 4 2 3 2 5 4" xfId="10958" xr:uid="{3009EFEF-9AFD-4A3E-9CE4-FFC1E69ED8A8}"/>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6F7AE4D0-C9F3-4361-A5AB-23BCFC5F2C3C}"/>
    <cellStyle name="Comma 4 2 3 2 6 2 3" xfId="13516" xr:uid="{82D3A1D0-66A0-4E54-A846-DE98F26D870F}"/>
    <cellStyle name="Comma 4 2 3 2 6 3" xfId="6262" xr:uid="{00000000-0005-0000-0000-000084080000}"/>
    <cellStyle name="Comma 4 2 3 2 6 3 2" xfId="15588" xr:uid="{57FD8CF5-5839-4ACC-B2AD-1EAA94F46E5F}"/>
    <cellStyle name="Comma 4 2 3 2 6 4" xfId="11371" xr:uid="{EB4BDA15-A0A2-4B4B-B582-741805BDFABD}"/>
    <cellStyle name="Comma 4 2 3 2 7" xfId="2391" xr:uid="{00000000-0005-0000-0000-000085080000}"/>
    <cellStyle name="Comma 4 2 3 2 7 2" xfId="6675" xr:uid="{00000000-0005-0000-0000-000086080000}"/>
    <cellStyle name="Comma 4 2 3 2 7 2 2" xfId="16001" xr:uid="{865A9F0A-BB5F-4C69-93CF-F03BA95EEEE7}"/>
    <cellStyle name="Comma 4 2 3 2 7 3" xfId="11784" xr:uid="{A9BA3334-83D6-45F8-94C4-8F2494415838}"/>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757E9972-0603-49DB-9A0C-0D5705C52C3E}"/>
    <cellStyle name="Comma 4 2 3 2 9 3" xfId="12101" xr:uid="{06F53150-D50E-4014-ACB8-E9CB0CF502D7}"/>
    <cellStyle name="Comma 4 2 3 3" xfId="139" xr:uid="{00000000-0005-0000-0000-00008A080000}"/>
    <cellStyle name="Comma 4 2 3 3 10" xfId="9012" xr:uid="{61C0F117-76A9-43CA-B381-88B2CFF6294C}"/>
    <cellStyle name="Comma 4 2 3 3 11" xfId="9720" xr:uid="{32366D00-7BD6-4ACC-ABF0-63E10E7F6333}"/>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53D5469A-2718-44D0-8DBC-1707238DB275}"/>
    <cellStyle name="Comma 4 2 3 3 2 2 3" xfId="12279" xr:uid="{D994E066-0264-4290-B719-1C526F2B7F8E}"/>
    <cellStyle name="Comma 4 2 3 3 2 3" xfId="5025" xr:uid="{00000000-0005-0000-0000-00008E080000}"/>
    <cellStyle name="Comma 4 2 3 3 2 3 2" xfId="14351" xr:uid="{07010D11-FB47-4023-A828-59749C5A33A8}"/>
    <cellStyle name="Comma 4 2 3 3 2 4" xfId="9437" xr:uid="{35C6809B-E49F-4A7F-8CB1-650474E72B0A}"/>
    <cellStyle name="Comma 4 2 3 3 2 5" xfId="10134" xr:uid="{93EEE992-064B-4FEA-94DF-2DF2224385F3}"/>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9C0A3480-FC09-4CD1-9945-CCE095F982CA}"/>
    <cellStyle name="Comma 4 2 3 3 3 2 3" xfId="12692" xr:uid="{BAB042B2-46B0-4E0F-9D35-DFA0D4E23B1C}"/>
    <cellStyle name="Comma 4 2 3 3 3 3" xfId="5438" xr:uid="{00000000-0005-0000-0000-000092080000}"/>
    <cellStyle name="Comma 4 2 3 3 3 3 2" xfId="14764" xr:uid="{1270B1F8-FEDD-4B72-9D2E-D820E26322F4}"/>
    <cellStyle name="Comma 4 2 3 3 3 4" xfId="10547" xr:uid="{5B25F6C0-13F1-49A3-9271-E53B2A6D8DB8}"/>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06EBE600-818E-4F6E-9E5D-6D22C01C3512}"/>
    <cellStyle name="Comma 4 2 3 3 4 2 3" xfId="13105" xr:uid="{299811D2-62D6-49C4-B062-1F15975B4B11}"/>
    <cellStyle name="Comma 4 2 3 3 4 3" xfId="5851" xr:uid="{00000000-0005-0000-0000-000096080000}"/>
    <cellStyle name="Comma 4 2 3 3 4 3 2" xfId="15177" xr:uid="{5974724B-57DF-4032-BEC0-C9EE2BDC6527}"/>
    <cellStyle name="Comma 4 2 3 3 4 4" xfId="10960" xr:uid="{590D6BA0-CDE3-4D94-A976-92AA4A6834B6}"/>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C7A355BD-17CB-469F-8430-FF3EF5292CE6}"/>
    <cellStyle name="Comma 4 2 3 3 5 2 3" xfId="13518" xr:uid="{3005368B-7768-4BD9-B7AB-EB7F98AA3B0A}"/>
    <cellStyle name="Comma 4 2 3 3 5 3" xfId="6264" xr:uid="{00000000-0005-0000-0000-00009A080000}"/>
    <cellStyle name="Comma 4 2 3 3 5 3 2" xfId="15590" xr:uid="{72288DE8-088A-441A-8146-7F83B37F0A76}"/>
    <cellStyle name="Comma 4 2 3 3 5 4" xfId="11373" xr:uid="{72CE613A-6CB3-4865-AC21-E06DB2528555}"/>
    <cellStyle name="Comma 4 2 3 3 6" xfId="2393" xr:uid="{00000000-0005-0000-0000-00009B080000}"/>
    <cellStyle name="Comma 4 2 3 3 6 2" xfId="6677" xr:uid="{00000000-0005-0000-0000-00009C080000}"/>
    <cellStyle name="Comma 4 2 3 3 6 2 2" xfId="16003" xr:uid="{BB1CB53D-9FC2-4F60-84AC-268E7D078E4E}"/>
    <cellStyle name="Comma 4 2 3 3 6 3" xfId="11786" xr:uid="{3D4A811A-C89B-4127-9441-2D30CBED4B1B}"/>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8AECFEE8-096D-4008-B6FF-009CFC803616}"/>
    <cellStyle name="Comma 4 2 3 3 8 3" xfId="12103" xr:uid="{2F664889-B163-4253-B2F6-F7D7ACE93962}"/>
    <cellStyle name="Comma 4 2 3 3 9" xfId="4611" xr:uid="{00000000-0005-0000-0000-0000A0080000}"/>
    <cellStyle name="Comma 4 2 3 3 9 2" xfId="13937" xr:uid="{86C11C65-47D1-40D4-8E05-9C9D2B1CB0A7}"/>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AF449D5B-9B99-47E0-BCE7-22946FCF48B5}"/>
    <cellStyle name="Comma 4 2 3 4 2 3" xfId="12276" xr:uid="{B43B2712-A23C-4E69-A77F-17CF78074457}"/>
    <cellStyle name="Comma 4 2 3 4 3" xfId="5022" xr:uid="{00000000-0005-0000-0000-0000A4080000}"/>
    <cellStyle name="Comma 4 2 3 4 3 2" xfId="14348" xr:uid="{07F1558B-A896-4490-BE00-47EB7AF81F1C}"/>
    <cellStyle name="Comma 4 2 3 4 4" xfId="9230" xr:uid="{24B6B749-023F-4009-8785-C6CFE1098E24}"/>
    <cellStyle name="Comma 4 2 3 4 5" xfId="10131" xr:uid="{EF5623C3-4F4B-4AC6-BD42-12277C7BEF96}"/>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C9415AED-DB04-424E-BAA0-B34F9C4ABC0C}"/>
    <cellStyle name="Comma 4 2 3 5 2 3" xfId="12689" xr:uid="{B5D27FB5-A310-4700-B72F-BAB55C47F7ED}"/>
    <cellStyle name="Comma 4 2 3 5 3" xfId="5435" xr:uid="{00000000-0005-0000-0000-0000A8080000}"/>
    <cellStyle name="Comma 4 2 3 5 3 2" xfId="14761" xr:uid="{1C2C1600-ED3E-40C2-B13E-A069AF984024}"/>
    <cellStyle name="Comma 4 2 3 5 4" xfId="10544" xr:uid="{E506651A-6E75-4E67-BC36-4FD5850ABB2C}"/>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050D2273-1739-4E31-929B-09BCC4A0DD98}"/>
    <cellStyle name="Comma 4 2 3 6 2 3" xfId="13102" xr:uid="{3279712B-6032-426B-906D-DBE4CC7A62A8}"/>
    <cellStyle name="Comma 4 2 3 6 3" xfId="5848" xr:uid="{00000000-0005-0000-0000-0000AC080000}"/>
    <cellStyle name="Comma 4 2 3 6 3 2" xfId="15174" xr:uid="{AC389CC9-7709-49DF-A666-C8490F0E711F}"/>
    <cellStyle name="Comma 4 2 3 6 4" xfId="10957" xr:uid="{541908F3-E2AF-44B0-AF89-58254A1CAB27}"/>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8F4780DC-748F-4D60-AB42-05AE7C063503}"/>
    <cellStyle name="Comma 4 2 3 7 2 3" xfId="13515" xr:uid="{05A12428-56F3-41F4-8D47-09C5091A2A6A}"/>
    <cellStyle name="Comma 4 2 3 7 3" xfId="6261" xr:uid="{00000000-0005-0000-0000-0000B0080000}"/>
    <cellStyle name="Comma 4 2 3 7 3 2" xfId="15587" xr:uid="{C7D73625-7D1E-4AE2-A55B-EBB2A7CD65C4}"/>
    <cellStyle name="Comma 4 2 3 7 4" xfId="11370" xr:uid="{88CEBA34-D8FE-4D73-92D3-176B4EE7F423}"/>
    <cellStyle name="Comma 4 2 3 8" xfId="2390" xr:uid="{00000000-0005-0000-0000-0000B1080000}"/>
    <cellStyle name="Comma 4 2 3 8 2" xfId="6674" xr:uid="{00000000-0005-0000-0000-0000B2080000}"/>
    <cellStyle name="Comma 4 2 3 8 2 2" xfId="16000" xr:uid="{A34525E6-43D6-46B9-8C1A-9965E5C75965}"/>
    <cellStyle name="Comma 4 2 3 8 3" xfId="11783" xr:uid="{A45E6A6E-BF74-49B0-B85C-5C24A00D4C67}"/>
    <cellStyle name="Comma 4 2 3 9" xfId="2373" xr:uid="{00000000-0005-0000-0000-0000B3080000}"/>
    <cellStyle name="Comma 4 2 4" xfId="140" xr:uid="{00000000-0005-0000-0000-0000B4080000}"/>
    <cellStyle name="Comma 4 2 4 10" xfId="4612" xr:uid="{00000000-0005-0000-0000-0000B5080000}"/>
    <cellStyle name="Comma 4 2 4 10 2" xfId="13938" xr:uid="{E44081C6-51AA-4E22-A839-FF9AD8493641}"/>
    <cellStyle name="Comma 4 2 4 11" xfId="8858" xr:uid="{B6A00C95-D04C-44B2-B8AF-67540882256C}"/>
    <cellStyle name="Comma 4 2 4 12" xfId="9721" xr:uid="{6590E5D9-2795-4D28-92CC-B1A299694D79}"/>
    <cellStyle name="Comma 4 2 4 2" xfId="141" xr:uid="{00000000-0005-0000-0000-0000B6080000}"/>
    <cellStyle name="Comma 4 2 4 2 10" xfId="9065" xr:uid="{961AA06A-D943-447E-AADB-49B440E7E7CE}"/>
    <cellStyle name="Comma 4 2 4 2 11" xfId="9722" xr:uid="{89F413A6-807A-46D6-94B9-29CDFAC1E6B3}"/>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368C259F-C564-4951-A4DF-88661C4DFEC5}"/>
    <cellStyle name="Comma 4 2 4 2 2 2 3" xfId="12281" xr:uid="{57331F25-0840-410B-9504-DC48D72A58BA}"/>
    <cellStyle name="Comma 4 2 4 2 2 3" xfId="5027" xr:uid="{00000000-0005-0000-0000-0000BA080000}"/>
    <cellStyle name="Comma 4 2 4 2 2 3 2" xfId="14353" xr:uid="{F21D4F24-4256-48E2-9D5E-78780F39956B}"/>
    <cellStyle name="Comma 4 2 4 2 2 4" xfId="9490" xr:uid="{2FAEB1E6-7B41-437B-B2A9-4352AB4F4B98}"/>
    <cellStyle name="Comma 4 2 4 2 2 5" xfId="10136" xr:uid="{DB3B7489-EC63-4C3E-B6CB-82923DF5B85A}"/>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424A1733-984B-408E-92CF-98B2E118A640}"/>
    <cellStyle name="Comma 4 2 4 2 3 2 3" xfId="12694" xr:uid="{28085A47-681B-47AD-9C6C-ADCCD1F192B0}"/>
    <cellStyle name="Comma 4 2 4 2 3 3" xfId="5440" xr:uid="{00000000-0005-0000-0000-0000BE080000}"/>
    <cellStyle name="Comma 4 2 4 2 3 3 2" xfId="14766" xr:uid="{6C1FA92C-14F3-4010-A8D5-3201DEC7733F}"/>
    <cellStyle name="Comma 4 2 4 2 3 4" xfId="10549" xr:uid="{66421255-F87C-45B3-8AB3-FC67D182B082}"/>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E9A5CBC6-E7FE-4FAE-887E-476A1EBAE919}"/>
    <cellStyle name="Comma 4 2 4 2 4 2 3" xfId="13107" xr:uid="{0FD50580-0174-423F-B5B8-A5EA728AA038}"/>
    <cellStyle name="Comma 4 2 4 2 4 3" xfId="5853" xr:uid="{00000000-0005-0000-0000-0000C2080000}"/>
    <cellStyle name="Comma 4 2 4 2 4 3 2" xfId="15179" xr:uid="{236C3D08-BA6A-44E0-B0DA-0795C97FB818}"/>
    <cellStyle name="Comma 4 2 4 2 4 4" xfId="10962" xr:uid="{F7E3FFD6-28B4-41A5-8131-9A51039BE9B6}"/>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9EE579AD-EE88-4075-A2CE-0B8391CEC4A4}"/>
    <cellStyle name="Comma 4 2 4 2 5 2 3" xfId="13520" xr:uid="{5FF4BC0D-7F06-4935-8CAB-6CA18B69ABF6}"/>
    <cellStyle name="Comma 4 2 4 2 5 3" xfId="6266" xr:uid="{00000000-0005-0000-0000-0000C6080000}"/>
    <cellStyle name="Comma 4 2 4 2 5 3 2" xfId="15592" xr:uid="{41176D73-4719-4094-9C42-A526CC09AC69}"/>
    <cellStyle name="Comma 4 2 4 2 5 4" xfId="11375" xr:uid="{FA4C863E-5904-4788-A390-72F8C931316E}"/>
    <cellStyle name="Comma 4 2 4 2 6" xfId="2395" xr:uid="{00000000-0005-0000-0000-0000C7080000}"/>
    <cellStyle name="Comma 4 2 4 2 6 2" xfId="6679" xr:uid="{00000000-0005-0000-0000-0000C8080000}"/>
    <cellStyle name="Comma 4 2 4 2 6 2 2" xfId="16005" xr:uid="{49311E4E-51C5-44D7-A2D0-CA61F4C5375F}"/>
    <cellStyle name="Comma 4 2 4 2 6 3" xfId="11788" xr:uid="{00CF7D6F-FCB7-439B-9D8A-D9845139F452}"/>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5F8DE889-A3C2-4F42-8C57-6159682C481E}"/>
    <cellStyle name="Comma 4 2 4 2 8 3" xfId="12105" xr:uid="{D1C2400C-FFC7-4CB6-843D-309A812A5BC9}"/>
    <cellStyle name="Comma 4 2 4 2 9" xfId="4613" xr:uid="{00000000-0005-0000-0000-0000CC080000}"/>
    <cellStyle name="Comma 4 2 4 2 9 2" xfId="13939" xr:uid="{B4D51E80-8E59-424A-8BB2-4C107938BF00}"/>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7AC6C551-DC98-4B33-B8CC-9B03A6BD64D1}"/>
    <cellStyle name="Comma 4 2 4 3 2 3" xfId="12280" xr:uid="{335B0810-791C-44CD-89B5-859CB558FF66}"/>
    <cellStyle name="Comma 4 2 4 3 3" xfId="5026" xr:uid="{00000000-0005-0000-0000-0000D0080000}"/>
    <cellStyle name="Comma 4 2 4 3 3 2" xfId="14352" xr:uid="{E8E4752D-843E-4583-A3E0-F175A995A0FF}"/>
    <cellStyle name="Comma 4 2 4 3 4" xfId="9283" xr:uid="{7E46ED3C-A8F4-4512-93D9-5F41F1AC397C}"/>
    <cellStyle name="Comma 4 2 4 3 5" xfId="10135" xr:uid="{E05FFB87-2471-4178-AEEE-2570E064F7DF}"/>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FE308B3F-FDD6-49BD-87A8-50B7FF6F6F34}"/>
    <cellStyle name="Comma 4 2 4 4 2 3" xfId="12693" xr:uid="{35D8E925-BC6C-4FED-B77B-E910A08E3767}"/>
    <cellStyle name="Comma 4 2 4 4 3" xfId="5439" xr:uid="{00000000-0005-0000-0000-0000D4080000}"/>
    <cellStyle name="Comma 4 2 4 4 3 2" xfId="14765" xr:uid="{6C021985-B08B-4879-AEA1-99732C4FA712}"/>
    <cellStyle name="Comma 4 2 4 4 4" xfId="10548" xr:uid="{BEFB5AC7-38B6-4012-8C51-2A0D4A65EA13}"/>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A73F8199-05B4-4727-9418-63D8CE5764A5}"/>
    <cellStyle name="Comma 4 2 4 5 2 3" xfId="13106" xr:uid="{7A662BE1-0A2E-42BE-85E8-1D1D03B49E43}"/>
    <cellStyle name="Comma 4 2 4 5 3" xfId="5852" xr:uid="{00000000-0005-0000-0000-0000D8080000}"/>
    <cellStyle name="Comma 4 2 4 5 3 2" xfId="15178" xr:uid="{2587B44D-7890-47B5-AF20-0DCFACF49772}"/>
    <cellStyle name="Comma 4 2 4 5 4" xfId="10961" xr:uid="{CD9688D0-D30E-415B-B403-8EAFF1595253}"/>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6B398AF3-450F-43C1-B6E0-8B4E17485445}"/>
    <cellStyle name="Comma 4 2 4 6 2 3" xfId="13519" xr:uid="{5E660385-F248-4386-87C7-E2C460B074B1}"/>
    <cellStyle name="Comma 4 2 4 6 3" xfId="6265" xr:uid="{00000000-0005-0000-0000-0000DC080000}"/>
    <cellStyle name="Comma 4 2 4 6 3 2" xfId="15591" xr:uid="{02BB5F3E-89D0-4D16-91EB-0C6679738700}"/>
    <cellStyle name="Comma 4 2 4 6 4" xfId="11374" xr:uid="{BB488F9F-42F5-4602-A657-312CC1B85DEE}"/>
    <cellStyle name="Comma 4 2 4 7" xfId="2394" xr:uid="{00000000-0005-0000-0000-0000DD080000}"/>
    <cellStyle name="Comma 4 2 4 7 2" xfId="6678" xr:uid="{00000000-0005-0000-0000-0000DE080000}"/>
    <cellStyle name="Comma 4 2 4 7 2 2" xfId="16004" xr:uid="{43528736-9731-4C8B-897D-8D63C0D19A20}"/>
    <cellStyle name="Comma 4 2 4 7 3" xfId="11787" xr:uid="{DC9E8CAE-A86F-4674-BB6F-780D47EF79C4}"/>
    <cellStyle name="Comma 4 2 4 8" xfId="2369" xr:uid="{00000000-0005-0000-0000-0000DF080000}"/>
    <cellStyle name="Comma 4 2 4 9" xfId="2772" xr:uid="{00000000-0005-0000-0000-0000E0080000}"/>
    <cellStyle name="Comma 4 2 4 9 2" xfId="6995" xr:uid="{00000000-0005-0000-0000-0000E1080000}"/>
    <cellStyle name="Comma 4 2 4 9 2 2" xfId="16321" xr:uid="{9CDB4F58-2760-4C00-B50D-2D4F372A3FFE}"/>
    <cellStyle name="Comma 4 2 4 9 3" xfId="12104" xr:uid="{126D007B-D719-4ABE-848B-AB2E5BE6E557}"/>
    <cellStyle name="Comma 4 2 5" xfId="142" xr:uid="{00000000-0005-0000-0000-0000E2080000}"/>
    <cellStyle name="Comma 4 2 5 10" xfId="8974" xr:uid="{86B0C89A-8A2D-4755-B15D-84E412E1D380}"/>
    <cellStyle name="Comma 4 2 5 11" xfId="9723" xr:uid="{B84E19F8-AB6D-4126-8FFE-FB60C552E8B1}"/>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202EA278-4708-4C7F-9DBD-A1AA69F994F2}"/>
    <cellStyle name="Comma 4 2 5 2 2 3" xfId="12282" xr:uid="{403C36D2-6C32-4F86-A45E-393DA7267A44}"/>
    <cellStyle name="Comma 4 2 5 2 3" xfId="5028" xr:uid="{00000000-0005-0000-0000-0000E6080000}"/>
    <cellStyle name="Comma 4 2 5 2 3 2" xfId="14354" xr:uid="{A749EDCF-3AF8-4D89-BDDE-DE72F76645D4}"/>
    <cellStyle name="Comma 4 2 5 2 4" xfId="9399" xr:uid="{1B388BC7-1FC6-4DC3-B345-755F61B57864}"/>
    <cellStyle name="Comma 4 2 5 2 5" xfId="10137" xr:uid="{A49786B7-9F95-4600-AA78-5F616CCD6837}"/>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BE028465-2972-4701-9FDD-11B330FE8505}"/>
    <cellStyle name="Comma 4 2 5 3 2 3" xfId="12695" xr:uid="{4524813E-A1DA-49DB-A233-CAF61C9A078C}"/>
    <cellStyle name="Comma 4 2 5 3 3" xfId="5441" xr:uid="{00000000-0005-0000-0000-0000EA080000}"/>
    <cellStyle name="Comma 4 2 5 3 3 2" xfId="14767" xr:uid="{2A7BD179-B280-426F-B756-F7D26FB81FE8}"/>
    <cellStyle name="Comma 4 2 5 3 4" xfId="10550" xr:uid="{9ED4AC82-591E-4382-BD89-1DCA2A5B48E6}"/>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2FAE030A-8B15-43E8-B167-18B31F09FBE4}"/>
    <cellStyle name="Comma 4 2 5 4 2 3" xfId="13108" xr:uid="{C8E97B9E-6AFD-48BD-8AF1-A4852AA6312C}"/>
    <cellStyle name="Comma 4 2 5 4 3" xfId="5854" xr:uid="{00000000-0005-0000-0000-0000EE080000}"/>
    <cellStyle name="Comma 4 2 5 4 3 2" xfId="15180" xr:uid="{B92EC5C3-E6E2-4F0D-8950-47A1232031F1}"/>
    <cellStyle name="Comma 4 2 5 4 4" xfId="10963" xr:uid="{35DE9E09-D89E-4DC7-8BD2-54447AEF3C0A}"/>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E1B48584-7347-496F-A7E5-CA6647A41EC3}"/>
    <cellStyle name="Comma 4 2 5 5 2 3" xfId="13521" xr:uid="{E5CFD085-640D-4367-A303-1B9578CE7EA9}"/>
    <cellStyle name="Comma 4 2 5 5 3" xfId="6267" xr:uid="{00000000-0005-0000-0000-0000F2080000}"/>
    <cellStyle name="Comma 4 2 5 5 3 2" xfId="15593" xr:uid="{B600382D-0304-46F8-A944-E849B0CB11A5}"/>
    <cellStyle name="Comma 4 2 5 5 4" xfId="11376" xr:uid="{6B76097A-E38C-41FE-9A2B-1D71FE3CD815}"/>
    <cellStyle name="Comma 4 2 5 6" xfId="2396" xr:uid="{00000000-0005-0000-0000-0000F3080000}"/>
    <cellStyle name="Comma 4 2 5 6 2" xfId="6680" xr:uid="{00000000-0005-0000-0000-0000F4080000}"/>
    <cellStyle name="Comma 4 2 5 6 2 2" xfId="16006" xr:uid="{E3D0BCEF-FDDD-4253-8328-1541DADF66BE}"/>
    <cellStyle name="Comma 4 2 5 6 3" xfId="11789" xr:uid="{68A2946B-4683-401A-A7AD-41D5D0DCF5A9}"/>
    <cellStyle name="Comma 4 2 5 7" xfId="2367" xr:uid="{00000000-0005-0000-0000-0000F5080000}"/>
    <cellStyle name="Comma 4 2 5 8" xfId="2774" xr:uid="{00000000-0005-0000-0000-0000F6080000}"/>
    <cellStyle name="Comma 4 2 5 8 2" xfId="6997" xr:uid="{00000000-0005-0000-0000-0000F7080000}"/>
    <cellStyle name="Comma 4 2 5 8 2 2" xfId="16323" xr:uid="{9A8622F1-BC54-420B-81C8-5FA12DCDE7BD}"/>
    <cellStyle name="Comma 4 2 5 8 3" xfId="12106" xr:uid="{597E1839-5ABF-4584-AEDA-33ECA6CD4B35}"/>
    <cellStyle name="Comma 4 2 5 9" xfId="4614" xr:uid="{00000000-0005-0000-0000-0000F8080000}"/>
    <cellStyle name="Comma 4 2 5 9 2" xfId="13940" xr:uid="{B21C4AD2-95BF-41C5-9667-8B624453217A}"/>
    <cellStyle name="Comma 4 2 6" xfId="143" xr:uid="{00000000-0005-0000-0000-0000F9080000}"/>
    <cellStyle name="Comma 4 2 6 10" xfId="9177" xr:uid="{A20A3B72-7630-464F-8E57-DA2B9D6E44FB}"/>
    <cellStyle name="Comma 4 2 6 11" xfId="9724" xr:uid="{F8534D1E-C80F-459E-A02D-AB947A236858}"/>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79D19B23-D154-49FD-9990-EB58FBABDAD7}"/>
    <cellStyle name="Comma 4 2 6 2 2 3" xfId="12283" xr:uid="{378AB4FF-637A-49C0-81B3-2AE78C197454}"/>
    <cellStyle name="Comma 4 2 6 2 3" xfId="5029" xr:uid="{00000000-0005-0000-0000-0000FD080000}"/>
    <cellStyle name="Comma 4 2 6 2 3 2" xfId="14355" xr:uid="{D4D36974-F89F-440A-B891-3DEA381E7A20}"/>
    <cellStyle name="Comma 4 2 6 2 4" xfId="9594" xr:uid="{CCB8D3FE-19FC-4F7F-9966-44FD23A1A32A}"/>
    <cellStyle name="Comma 4 2 6 2 5" xfId="10138" xr:uid="{2C15D8CC-E7F0-466E-8765-BCE87364B760}"/>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5A51D012-4FE6-4AC9-88B8-7E0670E568A1}"/>
    <cellStyle name="Comma 4 2 6 3 2 3" xfId="12696" xr:uid="{16F937B3-E8BE-4CC1-B781-05C36AB76B62}"/>
    <cellStyle name="Comma 4 2 6 3 3" xfId="5442" xr:uid="{00000000-0005-0000-0000-000001090000}"/>
    <cellStyle name="Comma 4 2 6 3 3 2" xfId="14768" xr:uid="{71DE7EBB-E8A6-4CA8-A0D0-27E45A7E2FF9}"/>
    <cellStyle name="Comma 4 2 6 3 4" xfId="10551" xr:uid="{11682E4A-6ADC-4AB7-A4AA-FB8F5237D03B}"/>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EEFC2598-78E4-4AAF-BBBC-885E49AA43AA}"/>
    <cellStyle name="Comma 4 2 6 4 2 3" xfId="13109" xr:uid="{0C8DFE95-433F-45B9-8BB9-445A21F55AEC}"/>
    <cellStyle name="Comma 4 2 6 4 3" xfId="5855" xr:uid="{00000000-0005-0000-0000-000005090000}"/>
    <cellStyle name="Comma 4 2 6 4 3 2" xfId="15181" xr:uid="{D17C2EF6-DD05-4F2F-B83E-AA1E1FDC1B8D}"/>
    <cellStyle name="Comma 4 2 6 4 4" xfId="10964" xr:uid="{1020956B-99AD-4A80-A20B-DE387FEED490}"/>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629B44EF-7829-4895-AB9B-8D7D489D83E0}"/>
    <cellStyle name="Comma 4 2 6 5 2 3" xfId="13522" xr:uid="{1930F03A-E964-4CE2-995F-483C7FEDCF84}"/>
    <cellStyle name="Comma 4 2 6 5 3" xfId="6268" xr:uid="{00000000-0005-0000-0000-000009090000}"/>
    <cellStyle name="Comma 4 2 6 5 3 2" xfId="15594" xr:uid="{56B40C3C-BF9B-4E0F-AB55-6437131CD3A0}"/>
    <cellStyle name="Comma 4 2 6 5 4" xfId="11377" xr:uid="{78B5E297-E321-4936-BA64-B1F87F015604}"/>
    <cellStyle name="Comma 4 2 6 6" xfId="2397" xr:uid="{00000000-0005-0000-0000-00000A090000}"/>
    <cellStyle name="Comma 4 2 6 6 2" xfId="6681" xr:uid="{00000000-0005-0000-0000-00000B090000}"/>
    <cellStyle name="Comma 4 2 6 6 2 2" xfId="16007" xr:uid="{9978BF15-AA8D-44A3-9C74-9F555A492FD5}"/>
    <cellStyle name="Comma 4 2 6 6 3" xfId="11790" xr:uid="{107C8BE3-4359-4866-BB3E-6EDE7F6084B5}"/>
    <cellStyle name="Comma 4 2 6 7" xfId="2366" xr:uid="{00000000-0005-0000-0000-00000C090000}"/>
    <cellStyle name="Comma 4 2 6 8" xfId="2775" xr:uid="{00000000-0005-0000-0000-00000D090000}"/>
    <cellStyle name="Comma 4 2 6 8 2" xfId="6998" xr:uid="{00000000-0005-0000-0000-00000E090000}"/>
    <cellStyle name="Comma 4 2 6 8 2 2" xfId="16324" xr:uid="{30A347A7-C143-4A8F-BE0A-6ACD9E024D08}"/>
    <cellStyle name="Comma 4 2 6 8 3" xfId="12107" xr:uid="{F33A34C4-8C8D-4523-8EF4-F6150A88ED5D}"/>
    <cellStyle name="Comma 4 2 6 9" xfId="4615" xr:uid="{00000000-0005-0000-0000-00000F090000}"/>
    <cellStyle name="Comma 4 2 6 9 2" xfId="13941" xr:uid="{6D2A2A7E-6D34-47AD-850E-FEFB4789CF03}"/>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E475B996-053B-4990-A0BE-CC6CDE9AB9DD}"/>
    <cellStyle name="Comma 4 3 2 10 3" xfId="12108" xr:uid="{16C7567E-0953-496F-9B1F-C94DA5BF61BE}"/>
    <cellStyle name="Comma 4 3 2 11" xfId="4616" xr:uid="{00000000-0005-0000-0000-000014090000}"/>
    <cellStyle name="Comma 4 3 2 11 2" xfId="13942" xr:uid="{35C1EC33-9ABE-48C0-B99A-1C384DE5AC80}"/>
    <cellStyle name="Comma 4 3 2 12" xfId="8807" xr:uid="{5C5EF314-D0DB-425B-AE7D-D52FEEE90EC1}"/>
    <cellStyle name="Comma 4 3 2 13" xfId="9725" xr:uid="{B2636643-4CFE-4097-82BA-8768E224D72B}"/>
    <cellStyle name="Comma 4 3 2 2" xfId="146" xr:uid="{00000000-0005-0000-0000-000015090000}"/>
    <cellStyle name="Comma 4 3 2 2 10" xfId="4617" xr:uid="{00000000-0005-0000-0000-000016090000}"/>
    <cellStyle name="Comma 4 3 2 2 10 2" xfId="13943" xr:uid="{4DB52580-6532-45A7-8397-98D635F2D5FC}"/>
    <cellStyle name="Comma 4 3 2 2 11" xfId="8910" xr:uid="{15019DD0-71A0-438D-B796-68DE42B22692}"/>
    <cellStyle name="Comma 4 3 2 2 12" xfId="9726" xr:uid="{F1EAA6CB-1BB7-4AED-9E1D-2A114A3AA648}"/>
    <cellStyle name="Comma 4 3 2 2 2" xfId="147" xr:uid="{00000000-0005-0000-0000-000017090000}"/>
    <cellStyle name="Comma 4 3 2 2 2 10" xfId="9117" xr:uid="{1409F531-DBF2-41E0-9C74-F9317358BA15}"/>
    <cellStyle name="Comma 4 3 2 2 2 11" xfId="9727" xr:uid="{52B3E453-0C1D-4B09-8642-24D213B2CCBC}"/>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842324B6-9C7B-4633-AA0D-09AB5EF32446}"/>
    <cellStyle name="Comma 4 3 2 2 2 2 2 3" xfId="12286" xr:uid="{9247C22A-9F61-42E1-8141-E01833798BD6}"/>
    <cellStyle name="Comma 4 3 2 2 2 2 3" xfId="5032" xr:uid="{00000000-0005-0000-0000-00001B090000}"/>
    <cellStyle name="Comma 4 3 2 2 2 2 3 2" xfId="14358" xr:uid="{A12DA190-6CA1-4735-B7B0-D96342748723}"/>
    <cellStyle name="Comma 4 3 2 2 2 2 4" xfId="9542" xr:uid="{26CD77CC-F017-4839-8245-BBF245D45E53}"/>
    <cellStyle name="Comma 4 3 2 2 2 2 5" xfId="10141" xr:uid="{950FCD9C-BC4A-42D2-8960-543760EA0E71}"/>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B5B29787-50B2-4E84-88AD-0F9CAF7B0EAE}"/>
    <cellStyle name="Comma 4 3 2 2 2 3 2 3" xfId="12699" xr:uid="{62BBFD65-6098-4931-9A81-24EF73DC6F07}"/>
    <cellStyle name="Comma 4 3 2 2 2 3 3" xfId="5445" xr:uid="{00000000-0005-0000-0000-00001F090000}"/>
    <cellStyle name="Comma 4 3 2 2 2 3 3 2" xfId="14771" xr:uid="{338B573E-A481-4D66-9838-C2CBC73F6D35}"/>
    <cellStyle name="Comma 4 3 2 2 2 3 4" xfId="10554" xr:uid="{2583D005-C5D0-46BB-A6C8-BD6628E83C85}"/>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725C49E1-D011-4D80-A8F0-7D0C3BA7F895}"/>
    <cellStyle name="Comma 4 3 2 2 2 4 2 3" xfId="13112" xr:uid="{6C72274D-D1F6-4B41-83FF-129EB4E641A2}"/>
    <cellStyle name="Comma 4 3 2 2 2 4 3" xfId="5858" xr:uid="{00000000-0005-0000-0000-000023090000}"/>
    <cellStyle name="Comma 4 3 2 2 2 4 3 2" xfId="15184" xr:uid="{A7158CC0-DE99-4FC6-9A61-76167BA9677A}"/>
    <cellStyle name="Comma 4 3 2 2 2 4 4" xfId="10967" xr:uid="{ABC9147E-1507-45D3-BFDF-35CB60A5399A}"/>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2A838F81-8DAB-44F9-879F-7FD4A6B1864F}"/>
    <cellStyle name="Comma 4 3 2 2 2 5 2 3" xfId="13525" xr:uid="{6AAEF839-92B5-4DDB-8DBA-C5FD1860D0DB}"/>
    <cellStyle name="Comma 4 3 2 2 2 5 3" xfId="6271" xr:uid="{00000000-0005-0000-0000-000027090000}"/>
    <cellStyle name="Comma 4 3 2 2 2 5 3 2" xfId="15597" xr:uid="{CECDC4AE-1C28-4AE3-B333-00A0AB1EB541}"/>
    <cellStyle name="Comma 4 3 2 2 2 5 4" xfId="11380" xr:uid="{8A15DE08-4D61-4641-B07D-842D573839B6}"/>
    <cellStyle name="Comma 4 3 2 2 2 6" xfId="2400" xr:uid="{00000000-0005-0000-0000-000028090000}"/>
    <cellStyle name="Comma 4 3 2 2 2 6 2" xfId="6684" xr:uid="{00000000-0005-0000-0000-000029090000}"/>
    <cellStyle name="Comma 4 3 2 2 2 6 2 2" xfId="16010" xr:uid="{BB59B8A8-C281-4A15-969D-BA25909A3D33}"/>
    <cellStyle name="Comma 4 3 2 2 2 6 3" xfId="11793" xr:uid="{84915438-F0E0-4540-AC17-B53B1DB39411}"/>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218E25A1-8938-4D33-A6A4-556C599D561A}"/>
    <cellStyle name="Comma 4 3 2 2 2 8 3" xfId="12110" xr:uid="{4D55F608-1975-40A9-999F-83A6339CFC8F}"/>
    <cellStyle name="Comma 4 3 2 2 2 9" xfId="4618" xr:uid="{00000000-0005-0000-0000-00002D090000}"/>
    <cellStyle name="Comma 4 3 2 2 2 9 2" xfId="13944" xr:uid="{EA980B26-D06A-4D60-A9A6-4FCC429CFE7A}"/>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0E710188-C5F0-41F3-AF67-278E4DD33312}"/>
    <cellStyle name="Comma 4 3 2 2 3 2 3" xfId="12285" xr:uid="{71CEB57D-9E35-4033-8DEB-7D70CF7C617F}"/>
    <cellStyle name="Comma 4 3 2 2 3 3" xfId="5031" xr:uid="{00000000-0005-0000-0000-000031090000}"/>
    <cellStyle name="Comma 4 3 2 2 3 3 2" xfId="14357" xr:uid="{E9CCD506-3ACA-46EB-96F5-D1F7297CDE07}"/>
    <cellStyle name="Comma 4 3 2 2 3 4" xfId="9335" xr:uid="{BACD532B-C811-4076-B107-03E74D1B7113}"/>
    <cellStyle name="Comma 4 3 2 2 3 5" xfId="10140" xr:uid="{FCB7CE24-DB8D-44FD-BAA0-E4F6B8E6ECE8}"/>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39F978BA-9DF2-4421-86DF-38F89FA9723A}"/>
    <cellStyle name="Comma 4 3 2 2 4 2 3" xfId="12698" xr:uid="{D5E888A6-7971-4BB4-BFFB-F637F10B7230}"/>
    <cellStyle name="Comma 4 3 2 2 4 3" xfId="5444" xr:uid="{00000000-0005-0000-0000-000035090000}"/>
    <cellStyle name="Comma 4 3 2 2 4 3 2" xfId="14770" xr:uid="{DBF6B900-AD04-43BA-B0E4-CECEF9DBC189}"/>
    <cellStyle name="Comma 4 3 2 2 4 4" xfId="10553" xr:uid="{1A9005B7-33CF-4FFA-B2AA-1362D8C6EAD4}"/>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F930FE75-7852-460B-8FEA-46E47745137A}"/>
    <cellStyle name="Comma 4 3 2 2 5 2 3" xfId="13111" xr:uid="{9D206CC8-1825-4F73-92BA-F2D66BBA3C83}"/>
    <cellStyle name="Comma 4 3 2 2 5 3" xfId="5857" xr:uid="{00000000-0005-0000-0000-000039090000}"/>
    <cellStyle name="Comma 4 3 2 2 5 3 2" xfId="15183" xr:uid="{359E9FB2-FC01-4CEB-AF99-F3CCF93EFF83}"/>
    <cellStyle name="Comma 4 3 2 2 5 4" xfId="10966" xr:uid="{3FF1C63A-FF0E-4D6A-8AB2-57108DE21A71}"/>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3050EFAB-45CA-42A1-B420-258D64278417}"/>
    <cellStyle name="Comma 4 3 2 2 6 2 3" xfId="13524" xr:uid="{4A7CD1DA-6E98-4059-9FEE-B1FA15551EFE}"/>
    <cellStyle name="Comma 4 3 2 2 6 3" xfId="6270" xr:uid="{00000000-0005-0000-0000-00003D090000}"/>
    <cellStyle name="Comma 4 3 2 2 6 3 2" xfId="15596" xr:uid="{9B9BA61B-8978-4D7C-A3A7-3F60814ECC77}"/>
    <cellStyle name="Comma 4 3 2 2 6 4" xfId="11379" xr:uid="{867ADBFC-65ED-4BBD-8208-D98C0F56CDE9}"/>
    <cellStyle name="Comma 4 3 2 2 7" xfId="2399" xr:uid="{00000000-0005-0000-0000-00003E090000}"/>
    <cellStyle name="Comma 4 3 2 2 7 2" xfId="6683" xr:uid="{00000000-0005-0000-0000-00003F090000}"/>
    <cellStyle name="Comma 4 3 2 2 7 2 2" xfId="16009" xr:uid="{FE12CDD7-47CD-4F09-B08B-65A65DFCED61}"/>
    <cellStyle name="Comma 4 3 2 2 7 3" xfId="11792" xr:uid="{5EBC5C28-0660-401B-A636-4CC7771B82B0}"/>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0AF3AE1E-6F29-4F87-8445-F4C0E4878083}"/>
    <cellStyle name="Comma 4 3 2 2 9 3" xfId="12109" xr:uid="{CF12AB09-9E4A-47C9-8F9F-547C771F5934}"/>
    <cellStyle name="Comma 4 3 2 3" xfId="148" xr:uid="{00000000-0005-0000-0000-000043090000}"/>
    <cellStyle name="Comma 4 3 2 3 10" xfId="9014" xr:uid="{46568903-2C47-4BC3-8E78-5A47F62B319C}"/>
    <cellStyle name="Comma 4 3 2 3 11" xfId="9728" xr:uid="{2AF1F47F-B4E7-4711-8CBD-A107CEB6DA7F}"/>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B7E2DB82-7715-4E7E-842B-F142915AF53D}"/>
    <cellStyle name="Comma 4 3 2 3 2 2 3" xfId="12287" xr:uid="{6AE25EE0-A991-4AFB-9C5C-5023B539963D}"/>
    <cellStyle name="Comma 4 3 2 3 2 3" xfId="5033" xr:uid="{00000000-0005-0000-0000-000047090000}"/>
    <cellStyle name="Comma 4 3 2 3 2 3 2" xfId="14359" xr:uid="{74ED93FF-A8C5-4E0A-AB03-3247F942BB12}"/>
    <cellStyle name="Comma 4 3 2 3 2 4" xfId="9439" xr:uid="{2FD116B5-6902-4630-AFC5-CC8B06C5F457}"/>
    <cellStyle name="Comma 4 3 2 3 2 5" xfId="10142" xr:uid="{B4C1A5A6-23FE-4B7A-85E7-F29C969DE920}"/>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6F71FB75-1F0D-42D2-B058-E664A5BEF81A}"/>
    <cellStyle name="Comma 4 3 2 3 3 2 3" xfId="12700" xr:uid="{1C70EC97-A26D-4322-BA0A-AAF74545945C}"/>
    <cellStyle name="Comma 4 3 2 3 3 3" xfId="5446" xr:uid="{00000000-0005-0000-0000-00004B090000}"/>
    <cellStyle name="Comma 4 3 2 3 3 3 2" xfId="14772" xr:uid="{3228E1D7-32F4-4493-8D97-299581B36B80}"/>
    <cellStyle name="Comma 4 3 2 3 3 4" xfId="10555" xr:uid="{0AF59DAD-5546-4F0B-82D0-44E15E0B2D89}"/>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62692B56-130E-4BA2-A748-B1A59DD6882C}"/>
    <cellStyle name="Comma 4 3 2 3 4 2 3" xfId="13113" xr:uid="{CEAA94FA-9D9F-42F1-929D-64B4F807990B}"/>
    <cellStyle name="Comma 4 3 2 3 4 3" xfId="5859" xr:uid="{00000000-0005-0000-0000-00004F090000}"/>
    <cellStyle name="Comma 4 3 2 3 4 3 2" xfId="15185" xr:uid="{3851BAEA-946E-4E28-90FC-C780D8B29ACA}"/>
    <cellStyle name="Comma 4 3 2 3 4 4" xfId="10968" xr:uid="{4E33D06B-8C4F-4DD8-AF19-6517E8AD4FC1}"/>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2E2A3FC3-2238-4A14-A87E-8F831834D544}"/>
    <cellStyle name="Comma 4 3 2 3 5 2 3" xfId="13526" xr:uid="{2944C6FA-FE0E-46AB-84F0-F7E82FBFA61A}"/>
    <cellStyle name="Comma 4 3 2 3 5 3" xfId="6272" xr:uid="{00000000-0005-0000-0000-000053090000}"/>
    <cellStyle name="Comma 4 3 2 3 5 3 2" xfId="15598" xr:uid="{606B210C-BBC4-4972-81B8-7E4C369C0431}"/>
    <cellStyle name="Comma 4 3 2 3 5 4" xfId="11381" xr:uid="{BC9F5A07-4643-434D-A8A7-F1DFEA9C4376}"/>
    <cellStyle name="Comma 4 3 2 3 6" xfId="2401" xr:uid="{00000000-0005-0000-0000-000054090000}"/>
    <cellStyle name="Comma 4 3 2 3 6 2" xfId="6685" xr:uid="{00000000-0005-0000-0000-000055090000}"/>
    <cellStyle name="Comma 4 3 2 3 6 2 2" xfId="16011" xr:uid="{86F37979-582E-44DB-A2EA-50CCD4886DB7}"/>
    <cellStyle name="Comma 4 3 2 3 6 3" xfId="11794" xr:uid="{F3E23442-90E5-485E-A751-DFA1FBD12654}"/>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AFBFD9DD-DA46-4D4F-A50C-8933DB61C34D}"/>
    <cellStyle name="Comma 4 3 2 3 8 3" xfId="12111" xr:uid="{8E6B993F-3063-4B0D-81CD-884E6FB3F7B7}"/>
    <cellStyle name="Comma 4 3 2 3 9" xfId="4619" xr:uid="{00000000-0005-0000-0000-000059090000}"/>
    <cellStyle name="Comma 4 3 2 3 9 2" xfId="13945" xr:uid="{1100977B-1205-4223-A315-6133B2533893}"/>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418F3FBB-4C51-46F4-8DA6-F2B3873A4B87}"/>
    <cellStyle name="Comma 4 3 2 4 2 3" xfId="12284" xr:uid="{ED7770E6-4189-4547-973F-420548677447}"/>
    <cellStyle name="Comma 4 3 2 4 3" xfId="5030" xr:uid="{00000000-0005-0000-0000-00005D090000}"/>
    <cellStyle name="Comma 4 3 2 4 3 2" xfId="14356" xr:uid="{843CA172-150E-4123-ADE6-081C3E1F531D}"/>
    <cellStyle name="Comma 4 3 2 4 4" xfId="9232" xr:uid="{8193451B-D8F0-40BD-91ED-34E7041117F6}"/>
    <cellStyle name="Comma 4 3 2 4 5" xfId="10139" xr:uid="{4BE5916C-38F3-4264-ACC4-13699CA41E9E}"/>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B87FADBF-2BAE-4F04-AEA0-B22A49DFFC82}"/>
    <cellStyle name="Comma 4 3 2 5 2 3" xfId="12697" xr:uid="{DCBB9078-5A6F-4025-B3A0-0886798C0FC2}"/>
    <cellStyle name="Comma 4 3 2 5 3" xfId="5443" xr:uid="{00000000-0005-0000-0000-000061090000}"/>
    <cellStyle name="Comma 4 3 2 5 3 2" xfId="14769" xr:uid="{77B0A07B-CE9E-4C4A-B401-DAB6541B9608}"/>
    <cellStyle name="Comma 4 3 2 5 4" xfId="10552" xr:uid="{D2C8922F-0D0B-46A9-905B-96F5BCBC5E88}"/>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EEFE01A8-C514-4D31-9CD4-7CE80C4757CC}"/>
    <cellStyle name="Comma 4 3 2 6 2 3" xfId="13110" xr:uid="{8368D53A-AD75-4B5B-8A3E-5414CA16D460}"/>
    <cellStyle name="Comma 4 3 2 6 3" xfId="5856" xr:uid="{00000000-0005-0000-0000-000065090000}"/>
    <cellStyle name="Comma 4 3 2 6 3 2" xfId="15182" xr:uid="{7DA758B9-412F-46EA-85E2-3C628A4F4B48}"/>
    <cellStyle name="Comma 4 3 2 6 4" xfId="10965" xr:uid="{DE668EFE-5D85-43AD-8022-81849E1EDBBD}"/>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423EE2BD-D7C3-41E2-BE1B-A53231715706}"/>
    <cellStyle name="Comma 4 3 2 7 2 3" xfId="13523" xr:uid="{EAE9E86D-3A3D-4B31-B7E0-AAE5607E15EB}"/>
    <cellStyle name="Comma 4 3 2 7 3" xfId="6269" xr:uid="{00000000-0005-0000-0000-000069090000}"/>
    <cellStyle name="Comma 4 3 2 7 3 2" xfId="15595" xr:uid="{BF133C0F-A95F-4BC6-AAEE-A7F841A00649}"/>
    <cellStyle name="Comma 4 3 2 7 4" xfId="11378" xr:uid="{B6A07C26-2639-49E0-BA43-6491B6F25202}"/>
    <cellStyle name="Comma 4 3 2 8" xfId="2398" xr:uid="{00000000-0005-0000-0000-00006A090000}"/>
    <cellStyle name="Comma 4 3 2 8 2" xfId="6682" xr:uid="{00000000-0005-0000-0000-00006B090000}"/>
    <cellStyle name="Comma 4 3 2 8 2 2" xfId="16008" xr:uid="{72A01F54-00D9-401E-8A56-8BAD70F4A8AE}"/>
    <cellStyle name="Comma 4 3 2 8 3" xfId="11791" xr:uid="{C17D08F1-CF0C-455F-B34B-02E53F00F471}"/>
    <cellStyle name="Comma 4 3 2 9" xfId="2365" xr:uid="{00000000-0005-0000-0000-00006C090000}"/>
    <cellStyle name="Comma 4 3 3" xfId="149" xr:uid="{00000000-0005-0000-0000-00006D090000}"/>
    <cellStyle name="Comma 4 3 3 10" xfId="4620" xr:uid="{00000000-0005-0000-0000-00006E090000}"/>
    <cellStyle name="Comma 4 3 3 10 2" xfId="13946" xr:uid="{32628988-6185-4907-836F-7C4BE66856A4}"/>
    <cellStyle name="Comma 4 3 3 11" xfId="8881" xr:uid="{ACA3BC7C-CED7-49C2-9DC3-E2A3989962E9}"/>
    <cellStyle name="Comma 4 3 3 12" xfId="9729" xr:uid="{386770AE-0D9A-4C24-88AA-ECF336BBF14E}"/>
    <cellStyle name="Comma 4 3 3 2" xfId="150" xr:uid="{00000000-0005-0000-0000-00006F090000}"/>
    <cellStyle name="Comma 4 3 3 2 10" xfId="9088" xr:uid="{D40CFC42-DEA3-4A4C-8532-2B6CFC29229D}"/>
    <cellStyle name="Comma 4 3 3 2 11" xfId="9730" xr:uid="{1DEE87B5-289D-4B9A-BC36-456149787D62}"/>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42B16134-D4E3-48BA-9CB8-C047E98B62F4}"/>
    <cellStyle name="Comma 4 3 3 2 2 2 3" xfId="12289" xr:uid="{C00286CC-FC50-48B2-8980-E7210064359A}"/>
    <cellStyle name="Comma 4 3 3 2 2 3" xfId="5035" xr:uid="{00000000-0005-0000-0000-000073090000}"/>
    <cellStyle name="Comma 4 3 3 2 2 3 2" xfId="14361" xr:uid="{CCF55DFC-EC37-47E2-9B09-ED4BF5BE9DFA}"/>
    <cellStyle name="Comma 4 3 3 2 2 4" xfId="9513" xr:uid="{986E0DAD-8ABC-4DAC-9C56-EF87B6B3B829}"/>
    <cellStyle name="Comma 4 3 3 2 2 5" xfId="10144" xr:uid="{66694CD9-BC03-42C5-9F98-AAA30969152C}"/>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74704D2E-8D55-492F-A928-02EA7FB5A95E}"/>
    <cellStyle name="Comma 4 3 3 2 3 2 3" xfId="12702" xr:uid="{AE113373-ADB0-47F1-BF8A-152F2734A522}"/>
    <cellStyle name="Comma 4 3 3 2 3 3" xfId="5448" xr:uid="{00000000-0005-0000-0000-000077090000}"/>
    <cellStyle name="Comma 4 3 3 2 3 3 2" xfId="14774" xr:uid="{D4447842-ED95-42ED-8DB1-D9668F00793F}"/>
    <cellStyle name="Comma 4 3 3 2 3 4" xfId="10557" xr:uid="{CC7E65EF-06F0-4885-8793-6002977F216E}"/>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AFC99D0E-9BFA-4372-BF52-D056ABDCAD06}"/>
    <cellStyle name="Comma 4 3 3 2 4 2 3" xfId="13115" xr:uid="{552CA9E7-55F0-475D-818B-5A482BC5B28A}"/>
    <cellStyle name="Comma 4 3 3 2 4 3" xfId="5861" xr:uid="{00000000-0005-0000-0000-00007B090000}"/>
    <cellStyle name="Comma 4 3 3 2 4 3 2" xfId="15187" xr:uid="{F2CD6C1D-1F60-4863-87B8-22EC2925706F}"/>
    <cellStyle name="Comma 4 3 3 2 4 4" xfId="10970" xr:uid="{9B820BC9-9957-4220-9F0A-6F3ABDD142C1}"/>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9CA658C8-F5DC-4036-988D-2BE04AA4B5CF}"/>
    <cellStyle name="Comma 4 3 3 2 5 2 3" xfId="13528" xr:uid="{F12CED9C-6BBF-48F6-91B5-E2BF62E9B1A0}"/>
    <cellStyle name="Comma 4 3 3 2 5 3" xfId="6274" xr:uid="{00000000-0005-0000-0000-00007F090000}"/>
    <cellStyle name="Comma 4 3 3 2 5 3 2" xfId="15600" xr:uid="{0C5B8737-7761-4799-9F47-3E210C9AAD44}"/>
    <cellStyle name="Comma 4 3 3 2 5 4" xfId="11383" xr:uid="{DADB1D07-DB35-4422-8916-903C744DCAA0}"/>
    <cellStyle name="Comma 4 3 3 2 6" xfId="2403" xr:uid="{00000000-0005-0000-0000-000080090000}"/>
    <cellStyle name="Comma 4 3 3 2 6 2" xfId="6687" xr:uid="{00000000-0005-0000-0000-000081090000}"/>
    <cellStyle name="Comma 4 3 3 2 6 2 2" xfId="16013" xr:uid="{6ABDB63F-EB92-4CA4-9616-8CE85A21DC0F}"/>
    <cellStyle name="Comma 4 3 3 2 6 3" xfId="11796" xr:uid="{BADE5B6D-D593-449C-9E97-288079BA4CDB}"/>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8384D12C-33F3-492A-8458-86DA9A9666EB}"/>
    <cellStyle name="Comma 4 3 3 2 8 3" xfId="12113" xr:uid="{AAA1A3F6-1A51-4DFB-BA5E-A504F09BDCB2}"/>
    <cellStyle name="Comma 4 3 3 2 9" xfId="4621" xr:uid="{00000000-0005-0000-0000-000085090000}"/>
    <cellStyle name="Comma 4 3 3 2 9 2" xfId="13947" xr:uid="{E748CEA7-619A-49A6-AC1D-6186AEB0C978}"/>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66F8C5C6-AE72-42AB-AD6C-A2CC840327DD}"/>
    <cellStyle name="Comma 4 3 3 3 2 3" xfId="12288" xr:uid="{7ECAAD16-6314-48D5-8725-C9127FE7BFDB}"/>
    <cellStyle name="Comma 4 3 3 3 3" xfId="5034" xr:uid="{00000000-0005-0000-0000-000089090000}"/>
    <cellStyle name="Comma 4 3 3 3 3 2" xfId="14360" xr:uid="{EE23CB89-63C4-41CC-999E-878E9274EC65}"/>
    <cellStyle name="Comma 4 3 3 3 4" xfId="9306" xr:uid="{6AC2749B-EC1D-4760-AD4B-F36381A669B6}"/>
    <cellStyle name="Comma 4 3 3 3 5" xfId="10143" xr:uid="{EDEC20B2-3DE5-4456-AE0B-28491321148E}"/>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25A0B8DE-50E1-4AB7-8950-E223A62D8277}"/>
    <cellStyle name="Comma 4 3 3 4 2 3" xfId="12701" xr:uid="{23F6C29F-CCAA-4880-9D09-D6AB20C9BB9A}"/>
    <cellStyle name="Comma 4 3 3 4 3" xfId="5447" xr:uid="{00000000-0005-0000-0000-00008D090000}"/>
    <cellStyle name="Comma 4 3 3 4 3 2" xfId="14773" xr:uid="{9C479037-EBA3-4899-A815-538ED45235E0}"/>
    <cellStyle name="Comma 4 3 3 4 4" xfId="10556" xr:uid="{EDDE2DA2-7A5B-4592-BC39-F647B1F8515D}"/>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AACD55CF-EEA4-488C-9945-FF892088B4DA}"/>
    <cellStyle name="Comma 4 3 3 5 2 3" xfId="13114" xr:uid="{8571061E-44CF-4567-BDB7-10F7521A09C8}"/>
    <cellStyle name="Comma 4 3 3 5 3" xfId="5860" xr:uid="{00000000-0005-0000-0000-000091090000}"/>
    <cellStyle name="Comma 4 3 3 5 3 2" xfId="15186" xr:uid="{95B8BF1E-952E-49EE-B883-A38A54EB8933}"/>
    <cellStyle name="Comma 4 3 3 5 4" xfId="10969" xr:uid="{442236B7-1A90-44AD-84D7-B56E754E0E5F}"/>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6DEC07FC-5417-46DE-9058-3D3EB72EB8D8}"/>
    <cellStyle name="Comma 4 3 3 6 2 3" xfId="13527" xr:uid="{F7690660-4961-4F7E-AF3E-B24BC5A73972}"/>
    <cellStyle name="Comma 4 3 3 6 3" xfId="6273" xr:uid="{00000000-0005-0000-0000-000095090000}"/>
    <cellStyle name="Comma 4 3 3 6 3 2" xfId="15599" xr:uid="{3F44127B-437B-407A-9216-C3AE4F628120}"/>
    <cellStyle name="Comma 4 3 3 6 4" xfId="11382" xr:uid="{FCE2A302-88F0-45EE-89A9-E04E646F004F}"/>
    <cellStyle name="Comma 4 3 3 7" xfId="2402" xr:uid="{00000000-0005-0000-0000-000096090000}"/>
    <cellStyle name="Comma 4 3 3 7 2" xfId="6686" xr:uid="{00000000-0005-0000-0000-000097090000}"/>
    <cellStyle name="Comma 4 3 3 7 2 2" xfId="16012" xr:uid="{E51AB367-44BA-492D-A4E9-EADF4BA83B28}"/>
    <cellStyle name="Comma 4 3 3 7 3" xfId="11795" xr:uid="{80758A98-19E1-4C7E-8D93-141817E85B0B}"/>
    <cellStyle name="Comma 4 3 3 8" xfId="2361" xr:uid="{00000000-0005-0000-0000-000098090000}"/>
    <cellStyle name="Comma 4 3 3 9" xfId="2780" xr:uid="{00000000-0005-0000-0000-000099090000}"/>
    <cellStyle name="Comma 4 3 3 9 2" xfId="7003" xr:uid="{00000000-0005-0000-0000-00009A090000}"/>
    <cellStyle name="Comma 4 3 3 9 2 2" xfId="16329" xr:uid="{B1A753A2-2ED2-4137-A6CA-E48F4DDB4C8F}"/>
    <cellStyle name="Comma 4 3 3 9 3" xfId="12112" xr:uid="{5A25ABB9-AD28-47FD-A953-D0D79920F687}"/>
    <cellStyle name="Comma 4 3 4" xfId="151" xr:uid="{00000000-0005-0000-0000-00009B090000}"/>
    <cellStyle name="Comma 4 3 4 10" xfId="8985" xr:uid="{E965CEC1-A932-4F91-9E18-794CBF7DC7FC}"/>
    <cellStyle name="Comma 4 3 4 11" xfId="9731" xr:uid="{74D765AC-1B13-4AEB-8775-D40372A8BFC1}"/>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117E4ADD-C6BF-4E23-80B2-8500ED6B26B5}"/>
    <cellStyle name="Comma 4 3 4 2 2 3" xfId="12290" xr:uid="{B9DF95A1-5DE5-41FD-A81A-A68F2423611A}"/>
    <cellStyle name="Comma 4 3 4 2 3" xfId="5036" xr:uid="{00000000-0005-0000-0000-00009F090000}"/>
    <cellStyle name="Comma 4 3 4 2 3 2" xfId="14362" xr:uid="{3CC44D50-3F52-4D5C-977E-29F296F7E36B}"/>
    <cellStyle name="Comma 4 3 4 2 4" xfId="9410" xr:uid="{54DEC146-6204-4AAF-A15F-BAC0A12B5984}"/>
    <cellStyle name="Comma 4 3 4 2 5" xfId="10145" xr:uid="{B4BF6A2F-36AB-4491-AD32-ECB14AE27FC6}"/>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C62E4465-9E4E-486F-AB49-993A3196E642}"/>
    <cellStyle name="Comma 4 3 4 3 2 3" xfId="12703" xr:uid="{71322183-AEC0-4164-86B0-1C3C587377F7}"/>
    <cellStyle name="Comma 4 3 4 3 3" xfId="5449" xr:uid="{00000000-0005-0000-0000-0000A3090000}"/>
    <cellStyle name="Comma 4 3 4 3 3 2" xfId="14775" xr:uid="{172DDC3C-59CF-494F-AA3C-E74FB86922F2}"/>
    <cellStyle name="Comma 4 3 4 3 4" xfId="10558" xr:uid="{06E5EFDA-3E4C-4172-ABDD-3D7EB3DCFA88}"/>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6C628C63-4E3C-4337-A24B-33C80AFB8F12}"/>
    <cellStyle name="Comma 4 3 4 4 2 3" xfId="13116" xr:uid="{3D29B957-DEA3-4744-96FB-F98039859ECF}"/>
    <cellStyle name="Comma 4 3 4 4 3" xfId="5862" xr:uid="{00000000-0005-0000-0000-0000A7090000}"/>
    <cellStyle name="Comma 4 3 4 4 3 2" xfId="15188" xr:uid="{6E3A5AC7-A661-42E7-8768-F3681BF56F42}"/>
    <cellStyle name="Comma 4 3 4 4 4" xfId="10971" xr:uid="{175686FC-791A-4A01-A6BA-0A6DE4BF2931}"/>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23A7C833-869F-4581-BF8E-9D5F717268B3}"/>
    <cellStyle name="Comma 4 3 4 5 2 3" xfId="13529" xr:uid="{51D85761-F4B6-4298-893A-8888CAFB853C}"/>
    <cellStyle name="Comma 4 3 4 5 3" xfId="6275" xr:uid="{00000000-0005-0000-0000-0000AB090000}"/>
    <cellStyle name="Comma 4 3 4 5 3 2" xfId="15601" xr:uid="{426C8D99-C19A-40B0-8026-BEF316DE6A48}"/>
    <cellStyle name="Comma 4 3 4 5 4" xfId="11384" xr:uid="{CBBCC5DD-7A16-4A69-838C-65D768E37A25}"/>
    <cellStyle name="Comma 4 3 4 6" xfId="2404" xr:uid="{00000000-0005-0000-0000-0000AC090000}"/>
    <cellStyle name="Comma 4 3 4 6 2" xfId="6688" xr:uid="{00000000-0005-0000-0000-0000AD090000}"/>
    <cellStyle name="Comma 4 3 4 6 2 2" xfId="16014" xr:uid="{23EB8E05-9FEE-4818-AD12-2A304A73D5FD}"/>
    <cellStyle name="Comma 4 3 4 6 3" xfId="11797" xr:uid="{DE57DDD9-711E-46D7-9D25-935C637B9EAF}"/>
    <cellStyle name="Comma 4 3 4 7" xfId="2700" xr:uid="{00000000-0005-0000-0000-0000AE090000}"/>
    <cellStyle name="Comma 4 3 4 8" xfId="2782" xr:uid="{00000000-0005-0000-0000-0000AF090000}"/>
    <cellStyle name="Comma 4 3 4 8 2" xfId="7005" xr:uid="{00000000-0005-0000-0000-0000B0090000}"/>
    <cellStyle name="Comma 4 3 4 8 2 2" xfId="16331" xr:uid="{FE5390D5-B342-4E39-AB93-0F87EE992698}"/>
    <cellStyle name="Comma 4 3 4 8 3" xfId="12114" xr:uid="{8C6F0AFF-90E6-48FA-ACAA-D781E32722E0}"/>
    <cellStyle name="Comma 4 3 4 9" xfId="4622" xr:uid="{00000000-0005-0000-0000-0000B1090000}"/>
    <cellStyle name="Comma 4 3 4 9 2" xfId="13948" xr:uid="{45747F88-6A0E-4DC8-84DF-3FB6FACC2AAE}"/>
    <cellStyle name="Comma 4 3 5" xfId="152" xr:uid="{00000000-0005-0000-0000-0000B2090000}"/>
    <cellStyle name="Comma 4 3 5 10" xfId="9202" xr:uid="{BF5456DA-E11C-47BD-8210-21F45D9E5F79}"/>
    <cellStyle name="Comma 4 3 5 11" xfId="9732" xr:uid="{AC5A8C6A-4022-47F1-BA6A-28C707F17EE1}"/>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D6758039-DE1B-49C6-A0A0-06589521CCC5}"/>
    <cellStyle name="Comma 4 3 5 2 2 3" xfId="12291" xr:uid="{E04777A1-C71B-4F63-A462-7B70EC1A2032}"/>
    <cellStyle name="Comma 4 3 5 2 3" xfId="5037" xr:uid="{00000000-0005-0000-0000-0000B6090000}"/>
    <cellStyle name="Comma 4 3 5 2 3 2" xfId="14363" xr:uid="{406BAB85-2D6A-4594-B42C-950AEA409F85}"/>
    <cellStyle name="Comma 4 3 5 2 4" xfId="9595" xr:uid="{3E6BF710-D2EA-4AFB-83F1-C6BF1C2192FF}"/>
    <cellStyle name="Comma 4 3 5 2 5" xfId="10146" xr:uid="{00A1D659-25E4-4D9F-84B8-C40470C4F17E}"/>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DF99FD85-A193-4DAB-8230-DF349A107319}"/>
    <cellStyle name="Comma 4 3 5 3 2 3" xfId="12704" xr:uid="{40467A1C-91F2-4F31-BF7A-6F3A5F4C4EC2}"/>
    <cellStyle name="Comma 4 3 5 3 3" xfId="5450" xr:uid="{00000000-0005-0000-0000-0000BA090000}"/>
    <cellStyle name="Comma 4 3 5 3 3 2" xfId="14776" xr:uid="{E54B0526-1E12-445A-8872-0A53F839AF68}"/>
    <cellStyle name="Comma 4 3 5 3 4" xfId="10559" xr:uid="{881F30F1-34ED-48F4-BCBE-49C836115632}"/>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CB45E48C-5F48-41D6-9765-7410037C2979}"/>
    <cellStyle name="Comma 4 3 5 4 2 3" xfId="13117" xr:uid="{48DEE624-E178-4B27-BE5E-1BEC0905C880}"/>
    <cellStyle name="Comma 4 3 5 4 3" xfId="5863" xr:uid="{00000000-0005-0000-0000-0000BE090000}"/>
    <cellStyle name="Comma 4 3 5 4 3 2" xfId="15189" xr:uid="{3309F266-322A-47BB-8347-FE0BA6DF93ED}"/>
    <cellStyle name="Comma 4 3 5 4 4" xfId="10972" xr:uid="{8B1719DE-FDCB-4B26-8EA1-F0A92DFE4C7F}"/>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1EC75209-5109-4D69-920A-BFB0E2B9BEE0}"/>
    <cellStyle name="Comma 4 3 5 5 2 3" xfId="13530" xr:uid="{4A86A5B0-FAC3-4675-94A2-AC57FD4011DD}"/>
    <cellStyle name="Comma 4 3 5 5 3" xfId="6276" xr:uid="{00000000-0005-0000-0000-0000C2090000}"/>
    <cellStyle name="Comma 4 3 5 5 3 2" xfId="15602" xr:uid="{291B18AE-8BAB-48A3-9BEE-7970006801F6}"/>
    <cellStyle name="Comma 4 3 5 5 4" xfId="11385" xr:uid="{CFDE0588-B819-45F4-B0A4-986C76D77FF2}"/>
    <cellStyle name="Comma 4 3 5 6" xfId="2405" xr:uid="{00000000-0005-0000-0000-0000C3090000}"/>
    <cellStyle name="Comma 4 3 5 6 2" xfId="6689" xr:uid="{00000000-0005-0000-0000-0000C4090000}"/>
    <cellStyle name="Comma 4 3 5 6 2 2" xfId="16015" xr:uid="{92981910-E17C-486B-AA85-0D91B8BCAEC8}"/>
    <cellStyle name="Comma 4 3 5 6 3" xfId="11798" xr:uid="{4BE3D7DF-E5B0-4EEE-85BC-507083A3BADC}"/>
    <cellStyle name="Comma 4 3 5 7" xfId="2701" xr:uid="{00000000-0005-0000-0000-0000C5090000}"/>
    <cellStyle name="Comma 4 3 5 8" xfId="2783" xr:uid="{00000000-0005-0000-0000-0000C6090000}"/>
    <cellStyle name="Comma 4 3 5 8 2" xfId="7006" xr:uid="{00000000-0005-0000-0000-0000C7090000}"/>
    <cellStyle name="Comma 4 3 5 8 2 2" xfId="16332" xr:uid="{D99C9503-31E1-4E89-84B0-C3E67DD93EBD}"/>
    <cellStyle name="Comma 4 3 5 8 3" xfId="12115" xr:uid="{4741602A-87B1-479D-9377-8232F0CCD8F7}"/>
    <cellStyle name="Comma 4 3 5 9" xfId="4623" xr:uid="{00000000-0005-0000-0000-0000C8090000}"/>
    <cellStyle name="Comma 4 3 5 9 2" xfId="13949" xr:uid="{B31691A0-1A48-47BD-B315-2C8882057B32}"/>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6333" xr:uid="{3275CB2A-79AB-4804-AB87-D7CE96289EB8}"/>
    <cellStyle name="Comma 4 4 10 3" xfId="12116" xr:uid="{AC4BCD4E-22FF-4000-8D61-9C71CE565E8D}"/>
    <cellStyle name="Comma 4 4 11" xfId="4624" xr:uid="{00000000-0005-0000-0000-0000CC090000}"/>
    <cellStyle name="Comma 4 4 11 2" xfId="13950" xr:uid="{260CE77C-DF37-4005-A5C0-96F929CDC19E}"/>
    <cellStyle name="Comma 4 4 12" xfId="8804" xr:uid="{A2BB6322-7771-45CD-845C-77E2FE03AC7A}"/>
    <cellStyle name="Comma 4 4 13" xfId="9733" xr:uid="{4A01E56F-7687-4F87-86BD-D888FAB23066}"/>
    <cellStyle name="Comma 4 4 2" xfId="154" xr:uid="{00000000-0005-0000-0000-0000CD090000}"/>
    <cellStyle name="Comma 4 4 2 10" xfId="4625" xr:uid="{00000000-0005-0000-0000-0000CE090000}"/>
    <cellStyle name="Comma 4 4 2 10 2" xfId="13951" xr:uid="{5A1A9AF2-F7CF-4019-8870-5273AA57A236}"/>
    <cellStyle name="Comma 4 4 2 11" xfId="8907" xr:uid="{F9F87618-3BA1-4211-A686-62CF5BBA5770}"/>
    <cellStyle name="Comma 4 4 2 12" xfId="9734" xr:uid="{D4A116B3-3F03-4D72-BF25-E48961287C82}"/>
    <cellStyle name="Comma 4 4 2 2" xfId="155" xr:uid="{00000000-0005-0000-0000-0000CF090000}"/>
    <cellStyle name="Comma 4 4 2 2 10" xfId="9114" xr:uid="{871FAC03-A44E-4C24-806C-3CC0605FD124}"/>
    <cellStyle name="Comma 4 4 2 2 11" xfId="9735" xr:uid="{2730AFB1-44E8-4751-B482-DFE9E1B86AA8}"/>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48917EFD-2B16-4C0C-8DB0-C856427C09CF}"/>
    <cellStyle name="Comma 4 4 2 2 2 2 3" xfId="12294" xr:uid="{6A64175B-2FA0-4634-83B1-38841CD2CFDF}"/>
    <cellStyle name="Comma 4 4 2 2 2 3" xfId="5040" xr:uid="{00000000-0005-0000-0000-0000D3090000}"/>
    <cellStyle name="Comma 4 4 2 2 2 3 2" xfId="14366" xr:uid="{92BFF590-9680-43CE-B1FE-BB4CF34BD971}"/>
    <cellStyle name="Comma 4 4 2 2 2 4" xfId="9539" xr:uid="{6209A471-8158-46C6-9ADA-C828BB6621B2}"/>
    <cellStyle name="Comma 4 4 2 2 2 5" xfId="10149" xr:uid="{BAB17A0D-2551-4256-8C73-4D37F6BA9FF6}"/>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6CB77C89-ED54-495E-A56B-3F0C36DC8658}"/>
    <cellStyle name="Comma 4 4 2 2 3 2 3" xfId="12707" xr:uid="{B34AB0F2-3777-4EA0-A5B1-3190FD0644C5}"/>
    <cellStyle name="Comma 4 4 2 2 3 3" xfId="5453" xr:uid="{00000000-0005-0000-0000-0000D7090000}"/>
    <cellStyle name="Comma 4 4 2 2 3 3 2" xfId="14779" xr:uid="{2E0A5C11-91EF-4102-BAAF-D3AE83C03EE4}"/>
    <cellStyle name="Comma 4 4 2 2 3 4" xfId="10562" xr:uid="{CA4F3A2A-FDF9-4FFA-AEDE-1B06BDBDD0A2}"/>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38699F6F-FB70-44EC-B3DF-A564E203003D}"/>
    <cellStyle name="Comma 4 4 2 2 4 2 3" xfId="13120" xr:uid="{1C5DCF07-FC8F-464E-A6C4-B62212A09D27}"/>
    <cellStyle name="Comma 4 4 2 2 4 3" xfId="5866" xr:uid="{00000000-0005-0000-0000-0000DB090000}"/>
    <cellStyle name="Comma 4 4 2 2 4 3 2" xfId="15192" xr:uid="{F9F09171-6DD6-4581-92D1-41ECFD9658FF}"/>
    <cellStyle name="Comma 4 4 2 2 4 4" xfId="10975" xr:uid="{1DCBD667-9316-4CFB-BAC0-741B425641F9}"/>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B1B2CFFB-CDC2-40CF-8A93-9487E5933CC2}"/>
    <cellStyle name="Comma 4 4 2 2 5 2 3" xfId="13533" xr:uid="{B5C64423-3872-447E-9EC6-ADA6BD663904}"/>
    <cellStyle name="Comma 4 4 2 2 5 3" xfId="6279" xr:uid="{00000000-0005-0000-0000-0000DF090000}"/>
    <cellStyle name="Comma 4 4 2 2 5 3 2" xfId="15605" xr:uid="{183C520E-FA47-4ABA-B003-73629430D3DA}"/>
    <cellStyle name="Comma 4 4 2 2 5 4" xfId="11388" xr:uid="{58C04E7E-5531-4FF3-8E44-44A67CEF27E1}"/>
    <cellStyle name="Comma 4 4 2 2 6" xfId="2408" xr:uid="{00000000-0005-0000-0000-0000E0090000}"/>
    <cellStyle name="Comma 4 4 2 2 6 2" xfId="6692" xr:uid="{00000000-0005-0000-0000-0000E1090000}"/>
    <cellStyle name="Comma 4 4 2 2 6 2 2" xfId="16018" xr:uid="{A2BEA7B9-4907-48EB-8EBD-6DE03375FD68}"/>
    <cellStyle name="Comma 4 4 2 2 6 3" xfId="11801" xr:uid="{D7CE78D2-39DB-4DAC-8523-8E22C7D8FA59}"/>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741BB76C-10E1-4AC5-B5A9-182C5DBB9582}"/>
    <cellStyle name="Comma 4 4 2 2 8 3" xfId="12118" xr:uid="{FB80FDFB-90E6-44C2-9CE4-C0F2AF5F7E83}"/>
    <cellStyle name="Comma 4 4 2 2 9" xfId="4626" xr:uid="{00000000-0005-0000-0000-0000E5090000}"/>
    <cellStyle name="Comma 4 4 2 2 9 2" xfId="13952" xr:uid="{EC3CC108-F838-475D-83DD-43A96B0DA8AD}"/>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CA216A0E-3A74-4611-8727-CE3B9621E946}"/>
    <cellStyle name="Comma 4 4 2 3 2 3" xfId="12293" xr:uid="{0EAC6706-87F5-48A0-AF73-7E66C219DC1C}"/>
    <cellStyle name="Comma 4 4 2 3 3" xfId="5039" xr:uid="{00000000-0005-0000-0000-0000E9090000}"/>
    <cellStyle name="Comma 4 4 2 3 3 2" xfId="14365" xr:uid="{1B3AF963-C050-45AC-AE59-465A1C57095B}"/>
    <cellStyle name="Comma 4 4 2 3 4" xfId="9332" xr:uid="{00F59ECD-64D7-476B-90FD-CD86F054AE4D}"/>
    <cellStyle name="Comma 4 4 2 3 5" xfId="10148" xr:uid="{466B60AC-3A7A-42E8-9F31-9DE68C4801C2}"/>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DFF9BB57-8816-4E68-8DCE-3FED2FBBD205}"/>
    <cellStyle name="Comma 4 4 2 4 2 3" xfId="12706" xr:uid="{C1DC7149-8B84-46E1-A252-63055E21DAD5}"/>
    <cellStyle name="Comma 4 4 2 4 3" xfId="5452" xr:uid="{00000000-0005-0000-0000-0000ED090000}"/>
    <cellStyle name="Comma 4 4 2 4 3 2" xfId="14778" xr:uid="{0946117E-F615-42E1-9D6F-CBBED65CDD6D}"/>
    <cellStyle name="Comma 4 4 2 4 4" xfId="10561" xr:uid="{0CD23BC8-4B92-4910-9561-D57453145333}"/>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51FF28B5-83DB-4539-BC57-08C8984C24C4}"/>
    <cellStyle name="Comma 4 4 2 5 2 3" xfId="13119" xr:uid="{72F28BD1-F1FD-42A3-9A44-ADEE5BF18255}"/>
    <cellStyle name="Comma 4 4 2 5 3" xfId="5865" xr:uid="{00000000-0005-0000-0000-0000F1090000}"/>
    <cellStyle name="Comma 4 4 2 5 3 2" xfId="15191" xr:uid="{EE9B876A-E0E9-471F-AB05-A1A46DA12617}"/>
    <cellStyle name="Comma 4 4 2 5 4" xfId="10974" xr:uid="{ABC4FAE1-ADE3-41FF-BDA7-4AA6EF351AB8}"/>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C8AC89F2-090B-46CA-9A11-18B56C83363D}"/>
    <cellStyle name="Comma 4 4 2 6 2 3" xfId="13532" xr:uid="{27434796-DF3B-4664-9F0D-EED4ADB137F7}"/>
    <cellStyle name="Comma 4 4 2 6 3" xfId="6278" xr:uid="{00000000-0005-0000-0000-0000F5090000}"/>
    <cellStyle name="Comma 4 4 2 6 3 2" xfId="15604" xr:uid="{A36EA7E6-C5F5-4B24-ADC4-CA1E7345534C}"/>
    <cellStyle name="Comma 4 4 2 6 4" xfId="11387" xr:uid="{B3EC0736-15A0-4B1D-8B0B-D5505FFE7F83}"/>
    <cellStyle name="Comma 4 4 2 7" xfId="2407" xr:uid="{00000000-0005-0000-0000-0000F6090000}"/>
    <cellStyle name="Comma 4 4 2 7 2" xfId="6691" xr:uid="{00000000-0005-0000-0000-0000F7090000}"/>
    <cellStyle name="Comma 4 4 2 7 2 2" xfId="16017" xr:uid="{FE4E9DEC-071D-49F1-A040-B15D2F218A2F}"/>
    <cellStyle name="Comma 4 4 2 7 3" xfId="11800" xr:uid="{5E138F80-2E7C-403B-88F4-92AF971537FC}"/>
    <cellStyle name="Comma 4 4 2 8" xfId="2703" xr:uid="{00000000-0005-0000-0000-0000F8090000}"/>
    <cellStyle name="Comma 4 4 2 9" xfId="2785" xr:uid="{00000000-0005-0000-0000-0000F9090000}"/>
    <cellStyle name="Comma 4 4 2 9 2" xfId="7008" xr:uid="{00000000-0005-0000-0000-0000FA090000}"/>
    <cellStyle name="Comma 4 4 2 9 2 2" xfId="16334" xr:uid="{FE18C9ED-0C50-41E5-BCD9-71FFA80A8ABD}"/>
    <cellStyle name="Comma 4 4 2 9 3" xfId="12117" xr:uid="{3A7ED40E-0802-42DB-A78D-44E766D90C5B}"/>
    <cellStyle name="Comma 4 4 3" xfId="156" xr:uid="{00000000-0005-0000-0000-0000FB090000}"/>
    <cellStyle name="Comma 4 4 3 10" xfId="9011" xr:uid="{31ED03AD-AB12-49AF-9AD4-B783F0BF7322}"/>
    <cellStyle name="Comma 4 4 3 11" xfId="9736" xr:uid="{F56769A3-6232-49D1-B2CC-C13E544AB83E}"/>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4B0C9108-0B0D-497F-9C9B-60F531558FE3}"/>
    <cellStyle name="Comma 4 4 3 2 2 3" xfId="12295" xr:uid="{1311BF80-B750-4B58-9CAC-A137FDD97140}"/>
    <cellStyle name="Comma 4 4 3 2 3" xfId="5041" xr:uid="{00000000-0005-0000-0000-0000FF090000}"/>
    <cellStyle name="Comma 4 4 3 2 3 2" xfId="14367" xr:uid="{4FC156B2-AEAD-4412-9030-D765C3B5C669}"/>
    <cellStyle name="Comma 4 4 3 2 4" xfId="9436" xr:uid="{5B7DDC25-9095-4E8E-BD31-668F46BBD33F}"/>
    <cellStyle name="Comma 4 4 3 2 5" xfId="10150" xr:uid="{9A499DD8-C927-4449-9362-6A31529B7636}"/>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385B57BD-DF85-4A7C-9DE8-B607FDF63BC0}"/>
    <cellStyle name="Comma 4 4 3 3 2 3" xfId="12708" xr:uid="{E8E676D3-2165-4169-BA44-6441BEDE9B07}"/>
    <cellStyle name="Comma 4 4 3 3 3" xfId="5454" xr:uid="{00000000-0005-0000-0000-0000030A0000}"/>
    <cellStyle name="Comma 4 4 3 3 3 2" xfId="14780" xr:uid="{E9BD7DFC-F04A-4130-A07C-437F95E7F313}"/>
    <cellStyle name="Comma 4 4 3 3 4" xfId="10563" xr:uid="{2E635BC1-8290-4F0E-9B7D-5E80EB4477A0}"/>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04805044-0759-4910-8A87-020D2DD0B116}"/>
    <cellStyle name="Comma 4 4 3 4 2 3" xfId="13121" xr:uid="{91100B5E-CA2F-4521-8739-D6888BF6B1B0}"/>
    <cellStyle name="Comma 4 4 3 4 3" xfId="5867" xr:uid="{00000000-0005-0000-0000-0000070A0000}"/>
    <cellStyle name="Comma 4 4 3 4 3 2" xfId="15193" xr:uid="{25D1F363-5C2F-47D5-A3A5-DCF3FB9ADE46}"/>
    <cellStyle name="Comma 4 4 3 4 4" xfId="10976" xr:uid="{D78A808D-75BD-4234-82AA-AD0368B43640}"/>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F3E437D1-73EE-48F2-8736-A329B49F3DAD}"/>
    <cellStyle name="Comma 4 4 3 5 2 3" xfId="13534" xr:uid="{17A264C0-0BA1-4A4E-84D4-EB538B31DAE8}"/>
    <cellStyle name="Comma 4 4 3 5 3" xfId="6280" xr:uid="{00000000-0005-0000-0000-00000B0A0000}"/>
    <cellStyle name="Comma 4 4 3 5 3 2" xfId="15606" xr:uid="{C9BBF095-2BA5-4334-8199-FFB224A5018D}"/>
    <cellStyle name="Comma 4 4 3 5 4" xfId="11389" xr:uid="{2A9E7455-2EE0-4989-A491-54BEBC8094BC}"/>
    <cellStyle name="Comma 4 4 3 6" xfId="2409" xr:uid="{00000000-0005-0000-0000-00000C0A0000}"/>
    <cellStyle name="Comma 4 4 3 6 2" xfId="6693" xr:uid="{00000000-0005-0000-0000-00000D0A0000}"/>
    <cellStyle name="Comma 4 4 3 6 2 2" xfId="16019" xr:uid="{96711903-CB91-430F-95BC-8E7745822D44}"/>
    <cellStyle name="Comma 4 4 3 6 3" xfId="11802" xr:uid="{6710A679-EFAF-4A61-8978-BA5B71A71381}"/>
    <cellStyle name="Comma 4 4 3 7" xfId="2705" xr:uid="{00000000-0005-0000-0000-00000E0A0000}"/>
    <cellStyle name="Comma 4 4 3 8" xfId="2787" xr:uid="{00000000-0005-0000-0000-00000F0A0000}"/>
    <cellStyle name="Comma 4 4 3 8 2" xfId="7010" xr:uid="{00000000-0005-0000-0000-0000100A0000}"/>
    <cellStyle name="Comma 4 4 3 8 2 2" xfId="16336" xr:uid="{BC1C0A6F-02CA-452E-97F5-44E1A7F2510C}"/>
    <cellStyle name="Comma 4 4 3 8 3" xfId="12119" xr:uid="{20D03D2A-AFA6-487A-928E-F8DF8E8B84AA}"/>
    <cellStyle name="Comma 4 4 3 9" xfId="4627" xr:uid="{00000000-0005-0000-0000-0000110A0000}"/>
    <cellStyle name="Comma 4 4 3 9 2" xfId="13953" xr:uid="{D7B1F922-3CBF-4DBD-AF75-3D1ABAE0820F}"/>
    <cellStyle name="Comma 4 4 4" xfId="690" xr:uid="{00000000-0005-0000-0000-0000120A0000}"/>
    <cellStyle name="Comma 4 4 4 2" xfId="2961" xr:uid="{00000000-0005-0000-0000-0000130A0000}"/>
    <cellStyle name="Comma 4 4 4 2 2" xfId="7183" xr:uid="{00000000-0005-0000-0000-0000140A0000}"/>
    <cellStyle name="Comma 4 4 4 2 2 2" xfId="16509" xr:uid="{877E5769-1667-41AA-8DFE-653F7A64FAEE}"/>
    <cellStyle name="Comma 4 4 4 2 3" xfId="12292" xr:uid="{6B4B82E9-713D-4DE1-A9C0-F5B81820FC01}"/>
    <cellStyle name="Comma 4 4 4 3" xfId="5038" xr:uid="{00000000-0005-0000-0000-0000150A0000}"/>
    <cellStyle name="Comma 4 4 4 3 2" xfId="14364" xr:uid="{CEF5362C-C930-49A6-9DB4-C66D2FD8C1EA}"/>
    <cellStyle name="Comma 4 4 4 4" xfId="9229" xr:uid="{5D655A80-2199-4116-9BF2-7327D5827395}"/>
    <cellStyle name="Comma 4 4 4 5" xfId="10147" xr:uid="{61F0B021-FB8A-4904-9CDE-A6CFA9E948F9}"/>
    <cellStyle name="Comma 4 4 5" xfId="1143" xr:uid="{00000000-0005-0000-0000-0000160A0000}"/>
    <cellStyle name="Comma 4 4 5 2" xfId="3374" xr:uid="{00000000-0005-0000-0000-0000170A0000}"/>
    <cellStyle name="Comma 4 4 5 2 2" xfId="7596" xr:uid="{00000000-0005-0000-0000-0000180A0000}"/>
    <cellStyle name="Comma 4 4 5 2 2 2" xfId="16922" xr:uid="{537888FE-0E43-4325-8FCB-23D74F9027C7}"/>
    <cellStyle name="Comma 4 4 5 2 3" xfId="12705" xr:uid="{F008466F-1653-4E4F-8FB2-74D2A2A3FB92}"/>
    <cellStyle name="Comma 4 4 5 3" xfId="5451" xr:uid="{00000000-0005-0000-0000-0000190A0000}"/>
    <cellStyle name="Comma 4 4 5 3 2" xfId="14777" xr:uid="{790F78BD-E745-41E0-A1BF-C79CA2E88C30}"/>
    <cellStyle name="Comma 4 4 5 4" xfId="10560" xr:uid="{EDA415DA-560D-473E-B9BB-A3B706C4425A}"/>
    <cellStyle name="Comma 4 4 6" xfId="1557" xr:uid="{00000000-0005-0000-0000-00001A0A0000}"/>
    <cellStyle name="Comma 4 4 6 2" xfId="3787" xr:uid="{00000000-0005-0000-0000-00001B0A0000}"/>
    <cellStyle name="Comma 4 4 6 2 2" xfId="8009" xr:uid="{00000000-0005-0000-0000-00001C0A0000}"/>
    <cellStyle name="Comma 4 4 6 2 2 2" xfId="17335" xr:uid="{71F901FC-6FE7-40BA-98EE-222FCD0A6D54}"/>
    <cellStyle name="Comma 4 4 6 2 3" xfId="13118" xr:uid="{6F3BCB16-EE9E-4441-80ED-DAD07CA93D86}"/>
    <cellStyle name="Comma 4 4 6 3" xfId="5864" xr:uid="{00000000-0005-0000-0000-00001D0A0000}"/>
    <cellStyle name="Comma 4 4 6 3 2" xfId="15190" xr:uid="{B92BA5EE-176E-4678-B1B1-17AA320C755D}"/>
    <cellStyle name="Comma 4 4 6 4" xfId="10973" xr:uid="{6AFA03D2-A486-49E6-919B-16BD04696663}"/>
    <cellStyle name="Comma 4 4 7" xfId="1971" xr:uid="{00000000-0005-0000-0000-00001E0A0000}"/>
    <cellStyle name="Comma 4 4 7 2" xfId="4200" xr:uid="{00000000-0005-0000-0000-00001F0A0000}"/>
    <cellStyle name="Comma 4 4 7 2 2" xfId="8422" xr:uid="{00000000-0005-0000-0000-0000200A0000}"/>
    <cellStyle name="Comma 4 4 7 2 2 2" xfId="17748" xr:uid="{779FFF65-5CF8-413B-8470-D807E4920E32}"/>
    <cellStyle name="Comma 4 4 7 2 3" xfId="13531" xr:uid="{2D8BE247-C5ED-4684-AB0A-97E13AE4F8EB}"/>
    <cellStyle name="Comma 4 4 7 3" xfId="6277" xr:uid="{00000000-0005-0000-0000-0000210A0000}"/>
    <cellStyle name="Comma 4 4 7 3 2" xfId="15603" xr:uid="{5677AA02-5542-4D16-A135-5922DD06E4AE}"/>
    <cellStyle name="Comma 4 4 7 4" xfId="11386" xr:uid="{88904305-FE54-460A-97E9-DD3505BFFF5A}"/>
    <cellStyle name="Comma 4 4 8" xfId="2406" xr:uid="{00000000-0005-0000-0000-0000220A0000}"/>
    <cellStyle name="Comma 4 4 8 2" xfId="6690" xr:uid="{00000000-0005-0000-0000-0000230A0000}"/>
    <cellStyle name="Comma 4 4 8 2 2" xfId="16016" xr:uid="{9747D401-36D7-45BA-9A11-D757244A0F99}"/>
    <cellStyle name="Comma 4 4 8 3" xfId="11799" xr:uid="{AC466225-F665-43E3-BEAC-EC94C56C251F}"/>
    <cellStyle name="Comma 4 4 9" xfId="2702" xr:uid="{00000000-0005-0000-0000-0000240A0000}"/>
    <cellStyle name="Comma 4 5" xfId="157" xr:uid="{00000000-0005-0000-0000-0000250A0000}"/>
    <cellStyle name="Comma 4 5 10" xfId="4628" xr:uid="{00000000-0005-0000-0000-0000260A0000}"/>
    <cellStyle name="Comma 4 5 10 2" xfId="13954" xr:uid="{56FD45B2-959C-41AA-9502-ECB205659951}"/>
    <cellStyle name="Comma 4 5 11" xfId="8849" xr:uid="{344CCE08-63E3-41E8-B38A-00347480820F}"/>
    <cellStyle name="Comma 4 5 12" xfId="9737" xr:uid="{BCE86BBB-93D3-4438-8D74-AB1C0C142BEF}"/>
    <cellStyle name="Comma 4 5 2" xfId="158" xr:uid="{00000000-0005-0000-0000-0000270A0000}"/>
    <cellStyle name="Comma 4 5 2 10" xfId="9056" xr:uid="{C7C2153B-7EAA-4A13-9C28-1151ACD100A8}"/>
    <cellStyle name="Comma 4 5 2 11" xfId="9738" xr:uid="{4F96D490-078F-4402-8975-9EE742538EDE}"/>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6D305ACF-577C-4EF7-B5F8-BF4C254B8933}"/>
    <cellStyle name="Comma 4 5 2 2 2 3" xfId="12297" xr:uid="{B51083C0-F742-42A6-8B65-2A4DE3AB6A02}"/>
    <cellStyle name="Comma 4 5 2 2 3" xfId="5043" xr:uid="{00000000-0005-0000-0000-00002B0A0000}"/>
    <cellStyle name="Comma 4 5 2 2 3 2" xfId="14369" xr:uid="{A99EC446-DE08-48C8-B488-E6C522AC1283}"/>
    <cellStyle name="Comma 4 5 2 2 4" xfId="9481" xr:uid="{47C88F6D-21B1-4457-908C-FFAB8FF83BD1}"/>
    <cellStyle name="Comma 4 5 2 2 5" xfId="10152" xr:uid="{64948598-A3D6-4FD9-A066-831E9F5AB4EF}"/>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75B05029-CF71-478F-93C3-4F1FA7E8A172}"/>
    <cellStyle name="Comma 4 5 2 3 2 3" xfId="12710" xr:uid="{58020CA7-8246-4E40-B7D9-A26CFCD6623F}"/>
    <cellStyle name="Comma 4 5 2 3 3" xfId="5456" xr:uid="{00000000-0005-0000-0000-00002F0A0000}"/>
    <cellStyle name="Comma 4 5 2 3 3 2" xfId="14782" xr:uid="{D5273100-A4D8-4698-9568-41F4EBE2CAAC}"/>
    <cellStyle name="Comma 4 5 2 3 4" xfId="10565" xr:uid="{31AADEED-86D4-4C0D-B95A-DA2095A21CD5}"/>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3A5C9469-D867-4DA1-869F-3F098965006B}"/>
    <cellStyle name="Comma 4 5 2 4 2 3" xfId="13123" xr:uid="{4AE39F17-D5F5-4F71-8125-C0D98387F5CB}"/>
    <cellStyle name="Comma 4 5 2 4 3" xfId="5869" xr:uid="{00000000-0005-0000-0000-0000330A0000}"/>
    <cellStyle name="Comma 4 5 2 4 3 2" xfId="15195" xr:uid="{7EC04028-26AF-4665-BED2-355C4088B171}"/>
    <cellStyle name="Comma 4 5 2 4 4" xfId="10978" xr:uid="{60DA7154-6183-4F2A-AFC5-28141F56330D}"/>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9CA24C19-33AD-4CB4-8D99-A962CF9AE364}"/>
    <cellStyle name="Comma 4 5 2 5 2 3" xfId="13536" xr:uid="{5C5E6132-EF39-4A91-8682-63797A3AE574}"/>
    <cellStyle name="Comma 4 5 2 5 3" xfId="6282" xr:uid="{00000000-0005-0000-0000-0000370A0000}"/>
    <cellStyle name="Comma 4 5 2 5 3 2" xfId="15608" xr:uid="{65002723-CD59-43C8-A7A9-E3C09411F246}"/>
    <cellStyle name="Comma 4 5 2 5 4" xfId="11391" xr:uid="{CA5F35D4-C2B0-42A5-9429-204AEB900F88}"/>
    <cellStyle name="Comma 4 5 2 6" xfId="2411" xr:uid="{00000000-0005-0000-0000-0000380A0000}"/>
    <cellStyle name="Comma 4 5 2 6 2" xfId="6695" xr:uid="{00000000-0005-0000-0000-0000390A0000}"/>
    <cellStyle name="Comma 4 5 2 6 2 2" xfId="16021" xr:uid="{7D0DB21C-963A-405C-987A-3858FAFB40F6}"/>
    <cellStyle name="Comma 4 5 2 6 3" xfId="11804" xr:uid="{3949DE68-E53E-4DCE-A42E-0CA2A5D480ED}"/>
    <cellStyle name="Comma 4 5 2 7" xfId="2707" xr:uid="{00000000-0005-0000-0000-00003A0A0000}"/>
    <cellStyle name="Comma 4 5 2 8" xfId="2789" xr:uid="{00000000-0005-0000-0000-00003B0A0000}"/>
    <cellStyle name="Comma 4 5 2 8 2" xfId="7012" xr:uid="{00000000-0005-0000-0000-00003C0A0000}"/>
    <cellStyle name="Comma 4 5 2 8 2 2" xfId="16338" xr:uid="{A835FB20-DA05-48AA-8317-3DCBCEBA8279}"/>
    <cellStyle name="Comma 4 5 2 8 3" xfId="12121" xr:uid="{72D6824B-EE4D-4AC3-A4C1-B79FA4C19D5A}"/>
    <cellStyle name="Comma 4 5 2 9" xfId="4629" xr:uid="{00000000-0005-0000-0000-00003D0A0000}"/>
    <cellStyle name="Comma 4 5 2 9 2" xfId="13955" xr:uid="{DC664E15-72F2-4BDF-93DF-9D7CD6E112B8}"/>
    <cellStyle name="Comma 4 5 3" xfId="694" xr:uid="{00000000-0005-0000-0000-00003E0A0000}"/>
    <cellStyle name="Comma 4 5 3 2" xfId="2965" xr:uid="{00000000-0005-0000-0000-00003F0A0000}"/>
    <cellStyle name="Comma 4 5 3 2 2" xfId="7187" xr:uid="{00000000-0005-0000-0000-0000400A0000}"/>
    <cellStyle name="Comma 4 5 3 2 2 2" xfId="16513" xr:uid="{B684C7F9-606E-4F76-BFBA-79C82A197A1A}"/>
    <cellStyle name="Comma 4 5 3 2 3" xfId="12296" xr:uid="{92B6F67D-A685-46A7-9E15-AA20BA615DBC}"/>
    <cellStyle name="Comma 4 5 3 3" xfId="5042" xr:uid="{00000000-0005-0000-0000-0000410A0000}"/>
    <cellStyle name="Comma 4 5 3 3 2" xfId="14368" xr:uid="{19BBD859-7A43-4705-8B94-9F036742A425}"/>
    <cellStyle name="Comma 4 5 3 4" xfId="9274" xr:uid="{04AC3EF2-4A78-4DC5-BAB4-87936023C7E5}"/>
    <cellStyle name="Comma 4 5 3 5" xfId="10151" xr:uid="{969936DC-74F1-47A6-9A13-519AF95C5CFC}"/>
    <cellStyle name="Comma 4 5 4" xfId="1147" xr:uid="{00000000-0005-0000-0000-0000420A0000}"/>
    <cellStyle name="Comma 4 5 4 2" xfId="3378" xr:uid="{00000000-0005-0000-0000-0000430A0000}"/>
    <cellStyle name="Comma 4 5 4 2 2" xfId="7600" xr:uid="{00000000-0005-0000-0000-0000440A0000}"/>
    <cellStyle name="Comma 4 5 4 2 2 2" xfId="16926" xr:uid="{AB2C06A5-967C-4726-8FEE-018575E52382}"/>
    <cellStyle name="Comma 4 5 4 2 3" xfId="12709" xr:uid="{4B9BE3A9-E306-43B7-925B-00B8BC3F0F05}"/>
    <cellStyle name="Comma 4 5 4 3" xfId="5455" xr:uid="{00000000-0005-0000-0000-0000450A0000}"/>
    <cellStyle name="Comma 4 5 4 3 2" xfId="14781" xr:uid="{70951065-76E7-429A-952D-3C62E007177B}"/>
    <cellStyle name="Comma 4 5 4 4" xfId="10564" xr:uid="{265A63D7-5CE7-45D1-801C-989B0779C1A7}"/>
    <cellStyle name="Comma 4 5 5" xfId="1561" xr:uid="{00000000-0005-0000-0000-0000460A0000}"/>
    <cellStyle name="Comma 4 5 5 2" xfId="3791" xr:uid="{00000000-0005-0000-0000-0000470A0000}"/>
    <cellStyle name="Comma 4 5 5 2 2" xfId="8013" xr:uid="{00000000-0005-0000-0000-0000480A0000}"/>
    <cellStyle name="Comma 4 5 5 2 2 2" xfId="17339" xr:uid="{35CAB919-A1F2-4D4F-8C38-E40F3997071B}"/>
    <cellStyle name="Comma 4 5 5 2 3" xfId="13122" xr:uid="{AD405018-089B-4886-AD78-E4C7F87558F5}"/>
    <cellStyle name="Comma 4 5 5 3" xfId="5868" xr:uid="{00000000-0005-0000-0000-0000490A0000}"/>
    <cellStyle name="Comma 4 5 5 3 2" xfId="15194" xr:uid="{C184C8AB-E6A9-478A-A7F2-51DC42F1C9B5}"/>
    <cellStyle name="Comma 4 5 5 4" xfId="10977" xr:uid="{EC6E3134-5374-4B54-B83E-198F7AC3D2BA}"/>
    <cellStyle name="Comma 4 5 6" xfId="1975" xr:uid="{00000000-0005-0000-0000-00004A0A0000}"/>
    <cellStyle name="Comma 4 5 6 2" xfId="4204" xr:uid="{00000000-0005-0000-0000-00004B0A0000}"/>
    <cellStyle name="Comma 4 5 6 2 2" xfId="8426" xr:uid="{00000000-0005-0000-0000-00004C0A0000}"/>
    <cellStyle name="Comma 4 5 6 2 2 2" xfId="17752" xr:uid="{CBF68ABB-754A-4F8F-A91E-A618449BE095}"/>
    <cellStyle name="Comma 4 5 6 2 3" xfId="13535" xr:uid="{6160616B-19CE-4052-8F8D-1C7D2344E391}"/>
    <cellStyle name="Comma 4 5 6 3" xfId="6281" xr:uid="{00000000-0005-0000-0000-00004D0A0000}"/>
    <cellStyle name="Comma 4 5 6 3 2" xfId="15607" xr:uid="{A892865D-DD10-4999-A587-0425C45083B8}"/>
    <cellStyle name="Comma 4 5 6 4" xfId="11390" xr:uid="{AC896EA1-31A2-487B-9878-95BE107ACC7F}"/>
    <cellStyle name="Comma 4 5 7" xfId="2410" xr:uid="{00000000-0005-0000-0000-00004E0A0000}"/>
    <cellStyle name="Comma 4 5 7 2" xfId="6694" xr:uid="{00000000-0005-0000-0000-00004F0A0000}"/>
    <cellStyle name="Comma 4 5 7 2 2" xfId="16020" xr:uid="{0A784A6D-35F4-4E70-97DD-851A56AB8001}"/>
    <cellStyle name="Comma 4 5 7 3" xfId="11803" xr:uid="{9E23E25C-F91A-4197-B21F-71E46098E1A7}"/>
    <cellStyle name="Comma 4 5 8" xfId="2706" xr:uid="{00000000-0005-0000-0000-0000500A0000}"/>
    <cellStyle name="Comma 4 5 9" xfId="2788" xr:uid="{00000000-0005-0000-0000-0000510A0000}"/>
    <cellStyle name="Comma 4 5 9 2" xfId="7011" xr:uid="{00000000-0005-0000-0000-0000520A0000}"/>
    <cellStyle name="Comma 4 5 9 2 2" xfId="16337" xr:uid="{3C2EF778-2976-4EE9-85D5-0C8D9790FD5A}"/>
    <cellStyle name="Comma 4 5 9 3" xfId="12120" xr:uid="{5A82CA2D-16DF-45F6-BFB6-E390C6343F0F}"/>
    <cellStyle name="Comma 4 6" xfId="159" xr:uid="{00000000-0005-0000-0000-0000530A0000}"/>
    <cellStyle name="Comma 4 6 10" xfId="8965" xr:uid="{FDA33E7D-96B8-46F2-87D8-5CB6C30A4CC6}"/>
    <cellStyle name="Comma 4 6 11" xfId="9739" xr:uid="{91652172-4847-4578-8CFE-13964B61573B}"/>
    <cellStyle name="Comma 4 6 2" xfId="696" xr:uid="{00000000-0005-0000-0000-0000540A0000}"/>
    <cellStyle name="Comma 4 6 2 2" xfId="2967" xr:uid="{00000000-0005-0000-0000-0000550A0000}"/>
    <cellStyle name="Comma 4 6 2 2 2" xfId="7189" xr:uid="{00000000-0005-0000-0000-0000560A0000}"/>
    <cellStyle name="Comma 4 6 2 2 2 2" xfId="16515" xr:uid="{730373B8-63DA-4104-BF1F-6BC03737C3F8}"/>
    <cellStyle name="Comma 4 6 2 2 3" xfId="12298" xr:uid="{AA12B3CA-FAD3-4DD5-8AB6-07DE45829EA3}"/>
    <cellStyle name="Comma 4 6 2 3" xfId="5044" xr:uid="{00000000-0005-0000-0000-0000570A0000}"/>
    <cellStyle name="Comma 4 6 2 3 2" xfId="14370" xr:uid="{5FF8B3C7-20F3-417A-A84F-65E4E16E2D09}"/>
    <cellStyle name="Comma 4 6 2 4" xfId="9390" xr:uid="{F8012948-A58F-476A-B4CF-A63C8F36D5B6}"/>
    <cellStyle name="Comma 4 6 2 5" xfId="10153" xr:uid="{F1631AE5-5F85-4D67-B1B8-64CD51E828A9}"/>
    <cellStyle name="Comma 4 6 3" xfId="1149" xr:uid="{00000000-0005-0000-0000-0000580A0000}"/>
    <cellStyle name="Comma 4 6 3 2" xfId="3380" xr:uid="{00000000-0005-0000-0000-0000590A0000}"/>
    <cellStyle name="Comma 4 6 3 2 2" xfId="7602" xr:uid="{00000000-0005-0000-0000-00005A0A0000}"/>
    <cellStyle name="Comma 4 6 3 2 2 2" xfId="16928" xr:uid="{44166CC9-AD36-46C3-928F-FA95DBD70AF5}"/>
    <cellStyle name="Comma 4 6 3 2 3" xfId="12711" xr:uid="{3B897EF5-05CF-4329-AB03-F63E66790F25}"/>
    <cellStyle name="Comma 4 6 3 3" xfId="5457" xr:uid="{00000000-0005-0000-0000-00005B0A0000}"/>
    <cellStyle name="Comma 4 6 3 3 2" xfId="14783" xr:uid="{94F9D39C-6146-4F01-9AC2-81C2EE981EE5}"/>
    <cellStyle name="Comma 4 6 3 4" xfId="10566" xr:uid="{E8726942-FB17-484D-88B9-7460132B6FC7}"/>
    <cellStyle name="Comma 4 6 4" xfId="1563" xr:uid="{00000000-0005-0000-0000-00005C0A0000}"/>
    <cellStyle name="Comma 4 6 4 2" xfId="3793" xr:uid="{00000000-0005-0000-0000-00005D0A0000}"/>
    <cellStyle name="Comma 4 6 4 2 2" xfId="8015" xr:uid="{00000000-0005-0000-0000-00005E0A0000}"/>
    <cellStyle name="Comma 4 6 4 2 2 2" xfId="17341" xr:uid="{E45E0C1F-62CF-4630-A193-30873E9DFD0A}"/>
    <cellStyle name="Comma 4 6 4 2 3" xfId="13124" xr:uid="{1B8B363A-EBE7-4DC3-97E9-0D18FA48C24A}"/>
    <cellStyle name="Comma 4 6 4 3" xfId="5870" xr:uid="{00000000-0005-0000-0000-00005F0A0000}"/>
    <cellStyle name="Comma 4 6 4 3 2" xfId="15196" xr:uid="{C5932579-DCA9-4200-86CD-A4836D805732}"/>
    <cellStyle name="Comma 4 6 4 4" xfId="10979" xr:uid="{96FE0E8B-49B0-4FCF-9AEF-03012D5F43DE}"/>
    <cellStyle name="Comma 4 6 5" xfId="1977" xr:uid="{00000000-0005-0000-0000-0000600A0000}"/>
    <cellStyle name="Comma 4 6 5 2" xfId="4206" xr:uid="{00000000-0005-0000-0000-0000610A0000}"/>
    <cellStyle name="Comma 4 6 5 2 2" xfId="8428" xr:uid="{00000000-0005-0000-0000-0000620A0000}"/>
    <cellStyle name="Comma 4 6 5 2 2 2" xfId="17754" xr:uid="{9D3DB9B5-7503-4FC8-B28A-39FE3A7E5B3A}"/>
    <cellStyle name="Comma 4 6 5 2 3" xfId="13537" xr:uid="{57F1A4D3-18E2-4527-ACEF-EF748B98C056}"/>
    <cellStyle name="Comma 4 6 5 3" xfId="6283" xr:uid="{00000000-0005-0000-0000-0000630A0000}"/>
    <cellStyle name="Comma 4 6 5 3 2" xfId="15609" xr:uid="{F1E3F198-434C-4BBF-AF3E-A827983C8C29}"/>
    <cellStyle name="Comma 4 6 5 4" xfId="11392" xr:uid="{9C3FEA44-1DCB-48CB-A601-C65B3A041BF0}"/>
    <cellStyle name="Comma 4 6 6" xfId="2412" xr:uid="{00000000-0005-0000-0000-0000640A0000}"/>
    <cellStyle name="Comma 4 6 6 2" xfId="6696" xr:uid="{00000000-0005-0000-0000-0000650A0000}"/>
    <cellStyle name="Comma 4 6 6 2 2" xfId="16022" xr:uid="{1D5A127F-D921-4A92-BBEC-8DB3C4DFDF00}"/>
    <cellStyle name="Comma 4 6 6 3" xfId="11805" xr:uid="{B6DA5437-2E49-4771-9486-47CF266905F9}"/>
    <cellStyle name="Comma 4 6 7" xfId="2708" xr:uid="{00000000-0005-0000-0000-0000660A0000}"/>
    <cellStyle name="Comma 4 6 8" xfId="2790" xr:uid="{00000000-0005-0000-0000-0000670A0000}"/>
    <cellStyle name="Comma 4 6 8 2" xfId="7013" xr:uid="{00000000-0005-0000-0000-0000680A0000}"/>
    <cellStyle name="Comma 4 6 8 2 2" xfId="16339" xr:uid="{117ECCAB-D053-493B-9811-D32DF504F4F7}"/>
    <cellStyle name="Comma 4 6 8 3" xfId="12122" xr:uid="{228EE316-46C5-46C9-89BA-7BAB9DA8C43E}"/>
    <cellStyle name="Comma 4 6 9" xfId="4630" xr:uid="{00000000-0005-0000-0000-0000690A0000}"/>
    <cellStyle name="Comma 4 6 9 2" xfId="13956" xr:uid="{1D2E1B3B-2248-4B03-B6F6-046CB6F907F2}"/>
    <cellStyle name="Comma 4 7" xfId="160" xr:uid="{00000000-0005-0000-0000-00006A0A0000}"/>
    <cellStyle name="Comma 4 7 10" xfId="9168" xr:uid="{C5EF0C72-87BD-43A9-8A23-92F9D9423F50}"/>
    <cellStyle name="Comma 4 7 11" xfId="9740" xr:uid="{FA173A48-0566-421E-A15F-CE97CC9319B2}"/>
    <cellStyle name="Comma 4 7 2" xfId="697" xr:uid="{00000000-0005-0000-0000-00006B0A0000}"/>
    <cellStyle name="Comma 4 7 2 2" xfId="2968" xr:uid="{00000000-0005-0000-0000-00006C0A0000}"/>
    <cellStyle name="Comma 4 7 2 2 2" xfId="7190" xr:uid="{00000000-0005-0000-0000-00006D0A0000}"/>
    <cellStyle name="Comma 4 7 2 2 2 2" xfId="16516" xr:uid="{761BC0F7-033F-42B1-9B7D-F3327CE48434}"/>
    <cellStyle name="Comma 4 7 2 2 3" xfId="12299" xr:uid="{89CC5BD0-946A-4750-97C1-9A5ECF3217BD}"/>
    <cellStyle name="Comma 4 7 2 3" xfId="5045" xr:uid="{00000000-0005-0000-0000-00006E0A0000}"/>
    <cellStyle name="Comma 4 7 2 3 2" xfId="14371" xr:uid="{E9EFC924-D94C-45E7-9BF7-F5BC6A66907A}"/>
    <cellStyle name="Comma 4 7 2 4" xfId="9596" xr:uid="{F4A1C070-02C1-4F2A-89F2-15465D9BEBB2}"/>
    <cellStyle name="Comma 4 7 2 5" xfId="10154" xr:uid="{703AAADB-89A6-40C3-BE57-BCEF03012238}"/>
    <cellStyle name="Comma 4 7 3" xfId="1150" xr:uid="{00000000-0005-0000-0000-00006F0A0000}"/>
    <cellStyle name="Comma 4 7 3 2" xfId="3381" xr:uid="{00000000-0005-0000-0000-0000700A0000}"/>
    <cellStyle name="Comma 4 7 3 2 2" xfId="7603" xr:uid="{00000000-0005-0000-0000-0000710A0000}"/>
    <cellStyle name="Comma 4 7 3 2 2 2" xfId="16929" xr:uid="{CCA9919E-6C8F-4975-8247-F7641EE19D88}"/>
    <cellStyle name="Comma 4 7 3 2 3" xfId="12712" xr:uid="{A317A20C-BEB7-40B3-8DCE-7FAC20EB7442}"/>
    <cellStyle name="Comma 4 7 3 3" xfId="5458" xr:uid="{00000000-0005-0000-0000-0000720A0000}"/>
    <cellStyle name="Comma 4 7 3 3 2" xfId="14784" xr:uid="{38A48C95-FB47-414D-BC33-FADC591977EA}"/>
    <cellStyle name="Comma 4 7 3 4" xfId="10567" xr:uid="{975CDF50-D7C7-432A-8E0E-05A9F640D4C7}"/>
    <cellStyle name="Comma 4 7 4" xfId="1564" xr:uid="{00000000-0005-0000-0000-0000730A0000}"/>
    <cellStyle name="Comma 4 7 4 2" xfId="3794" xr:uid="{00000000-0005-0000-0000-0000740A0000}"/>
    <cellStyle name="Comma 4 7 4 2 2" xfId="8016" xr:uid="{00000000-0005-0000-0000-0000750A0000}"/>
    <cellStyle name="Comma 4 7 4 2 2 2" xfId="17342" xr:uid="{D095FB34-4683-499E-A507-65267F6BD1F4}"/>
    <cellStyle name="Comma 4 7 4 2 3" xfId="13125" xr:uid="{4178C420-FB5D-4DDE-AA7E-7376D50F0EE3}"/>
    <cellStyle name="Comma 4 7 4 3" xfId="5871" xr:uid="{00000000-0005-0000-0000-0000760A0000}"/>
    <cellStyle name="Comma 4 7 4 3 2" xfId="15197" xr:uid="{A0FBE0EF-A37A-44B6-87EB-6D1CBF39FDBA}"/>
    <cellStyle name="Comma 4 7 4 4" xfId="10980" xr:uid="{E840EE4F-9B90-4C70-90BA-38B752B557A4}"/>
    <cellStyle name="Comma 4 7 5" xfId="1978" xr:uid="{00000000-0005-0000-0000-0000770A0000}"/>
    <cellStyle name="Comma 4 7 5 2" xfId="4207" xr:uid="{00000000-0005-0000-0000-0000780A0000}"/>
    <cellStyle name="Comma 4 7 5 2 2" xfId="8429" xr:uid="{00000000-0005-0000-0000-0000790A0000}"/>
    <cellStyle name="Comma 4 7 5 2 2 2" xfId="17755" xr:uid="{1C411E2D-A322-4D83-A547-BD7E335945C4}"/>
    <cellStyle name="Comma 4 7 5 2 3" xfId="13538" xr:uid="{4D0441ED-7B7F-4298-B09F-5F6661AE1147}"/>
    <cellStyle name="Comma 4 7 5 3" xfId="6284" xr:uid="{00000000-0005-0000-0000-00007A0A0000}"/>
    <cellStyle name="Comma 4 7 5 3 2" xfId="15610" xr:uid="{0B3150CA-9C41-47DE-A487-F5304A5D4983}"/>
    <cellStyle name="Comma 4 7 5 4" xfId="11393" xr:uid="{7367DA15-EE25-4E45-8B2C-D3E2BBC7ADEA}"/>
    <cellStyle name="Comma 4 7 6" xfId="2413" xr:uid="{00000000-0005-0000-0000-00007B0A0000}"/>
    <cellStyle name="Comma 4 7 6 2" xfId="6697" xr:uid="{00000000-0005-0000-0000-00007C0A0000}"/>
    <cellStyle name="Comma 4 7 6 2 2" xfId="16023" xr:uid="{990B80DC-768A-438C-99B1-E022D4387242}"/>
    <cellStyle name="Comma 4 7 6 3" xfId="11806" xr:uid="{8024D2C2-3280-4757-899E-BD0D27402206}"/>
    <cellStyle name="Comma 4 7 7" xfId="2709" xr:uid="{00000000-0005-0000-0000-00007D0A0000}"/>
    <cellStyle name="Comma 4 7 8" xfId="2791" xr:uid="{00000000-0005-0000-0000-00007E0A0000}"/>
    <cellStyle name="Comma 4 7 8 2" xfId="7014" xr:uid="{00000000-0005-0000-0000-00007F0A0000}"/>
    <cellStyle name="Comma 4 7 8 2 2" xfId="16340" xr:uid="{94F9B360-9B68-44B1-A634-45686B820A84}"/>
    <cellStyle name="Comma 4 7 8 3" xfId="12123" xr:uid="{65256DC1-E05E-4E6A-9F12-3077B65290FE}"/>
    <cellStyle name="Comma 4 7 9" xfId="4631" xr:uid="{00000000-0005-0000-0000-0000800A0000}"/>
    <cellStyle name="Comma 4 7 9 2" xfId="13957" xr:uid="{102BC6C8-C077-460F-AA2F-3FE0EB500C76}"/>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omma 7 4" xfId="13825" xr:uid="{0FCBABB8-09A7-43B7-98BB-6DF00142F528}"/>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5EC66E35-85C7-464F-9D85-D373F6650DBE}"/>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3" xfId="18058" xr:uid="{85554642-9877-478C-91D4-FEBAE731D0D4}"/>
    <cellStyle name="Currency 14 3 2 2 2 3" xfId="18055" xr:uid="{FACCB866-1425-417A-8150-90D346AAD3B4}"/>
    <cellStyle name="Currency 14 3 2 2 3" xfId="18051" xr:uid="{79E3B4E1-C277-4D71-9D01-49EE4A137B11}"/>
    <cellStyle name="Currency 14 3 2 3" xfId="18048" xr:uid="{7FA69080-A6B1-46D1-AEEF-5CB2B377749F}"/>
    <cellStyle name="Currency 14 3 3" xfId="18045" xr:uid="{5284D3F4-3FB9-43A4-9D18-023EC5EBC00F}"/>
    <cellStyle name="Currency 14 4" xfId="13828" xr:uid="{F4FF3F28-BAFA-4EF1-A887-E573B40F4185}"/>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AC2B3702-EFC2-4EB7-839D-9DD4C1F5BAC7}"/>
    <cellStyle name="Currency 3 2 2 10 3" xfId="12124" xr:uid="{6D177BE2-3CBF-44BE-A3A0-54DE9F5158AC}"/>
    <cellStyle name="Currency 3 2 2 11" xfId="4632" xr:uid="{00000000-0005-0000-0000-0000A50A0000}"/>
    <cellStyle name="Currency 3 2 2 11 2" xfId="13958" xr:uid="{F0677B4D-CF07-4DE6-9E6F-ADFBD3C47447}"/>
    <cellStyle name="Currency 3 2 2 12" xfId="8808" xr:uid="{5CD24693-181E-456A-9199-DC057509AC96}"/>
    <cellStyle name="Currency 3 2 2 13" xfId="9741" xr:uid="{1F0C9A61-FAC9-4761-B081-59C79B6A0882}"/>
    <cellStyle name="Currency 3 2 2 2" xfId="179" xr:uid="{00000000-0005-0000-0000-0000A60A0000}"/>
    <cellStyle name="Currency 3 2 2 2 10" xfId="4633" xr:uid="{00000000-0005-0000-0000-0000A70A0000}"/>
    <cellStyle name="Currency 3 2 2 2 10 2" xfId="13959" xr:uid="{B630AE62-7E6D-4E80-A2CA-6993CA8EC53F}"/>
    <cellStyle name="Currency 3 2 2 2 11" xfId="8911" xr:uid="{177A45F7-B130-49DA-829A-AA3BF41B848C}"/>
    <cellStyle name="Currency 3 2 2 2 12" xfId="9742" xr:uid="{DF2EBCD1-8B71-4257-A27E-34B1147AE7E6}"/>
    <cellStyle name="Currency 3 2 2 2 2" xfId="180" xr:uid="{00000000-0005-0000-0000-0000A80A0000}"/>
    <cellStyle name="Currency 3 2 2 2 2 10" xfId="9118" xr:uid="{4DDBDF88-B997-49F5-AF34-322CC93508E5}"/>
    <cellStyle name="Currency 3 2 2 2 2 11" xfId="9743" xr:uid="{6722A0A8-37F0-441A-9EC6-7ECD3C686328}"/>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B490E3E1-A8A1-4227-926B-63C981D95B8E}"/>
    <cellStyle name="Currency 3 2 2 2 2 2 2 3" xfId="12302" xr:uid="{C8505017-2B1B-4E91-9A12-FE5B3CF14C00}"/>
    <cellStyle name="Currency 3 2 2 2 2 2 3" xfId="5048" xr:uid="{00000000-0005-0000-0000-0000AC0A0000}"/>
    <cellStyle name="Currency 3 2 2 2 2 2 3 2" xfId="14374" xr:uid="{4D1D7843-4D83-4933-BAE1-3EA3AA7161CB}"/>
    <cellStyle name="Currency 3 2 2 2 2 2 4" xfId="9543" xr:uid="{08990697-BAC1-4B06-A86B-C554A35267E6}"/>
    <cellStyle name="Currency 3 2 2 2 2 2 5" xfId="10157" xr:uid="{B956CE8E-A8AC-4339-8646-FB9749DF782C}"/>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508BCA9F-B3E5-4378-8FED-1E1F35C4C97D}"/>
    <cellStyle name="Currency 3 2 2 2 2 3 2 3" xfId="12715" xr:uid="{D9FC22D0-A256-4137-8E9D-BBA4A78B3DA2}"/>
    <cellStyle name="Currency 3 2 2 2 2 3 3" xfId="5461" xr:uid="{00000000-0005-0000-0000-0000B00A0000}"/>
    <cellStyle name="Currency 3 2 2 2 2 3 3 2" xfId="14787" xr:uid="{F8C5F02F-5015-469D-BA29-A924D2525716}"/>
    <cellStyle name="Currency 3 2 2 2 2 3 4" xfId="10570" xr:uid="{E81C83E0-04E3-47A6-B6BC-E329F63A9001}"/>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9CB8CB9C-485C-44DE-8676-802739DB8821}"/>
    <cellStyle name="Currency 3 2 2 2 2 4 2 3" xfId="13128" xr:uid="{443B51C2-A581-4374-B8A2-99BF92171C3C}"/>
    <cellStyle name="Currency 3 2 2 2 2 4 3" xfId="5874" xr:uid="{00000000-0005-0000-0000-0000B40A0000}"/>
    <cellStyle name="Currency 3 2 2 2 2 4 3 2" xfId="15200" xr:uid="{7FE899B6-1958-4394-A7CA-D9491F2416E1}"/>
    <cellStyle name="Currency 3 2 2 2 2 4 4" xfId="10983" xr:uid="{DC3E594D-D276-4203-93B9-9826F7284CF1}"/>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AF06FC1A-3FEB-406A-9B0E-D161A1DBA2DC}"/>
    <cellStyle name="Currency 3 2 2 2 2 5 2 3" xfId="13541" xr:uid="{F91D5315-B68E-45B2-92E4-AF9D7E342D0C}"/>
    <cellStyle name="Currency 3 2 2 2 2 5 3" xfId="6287" xr:uid="{00000000-0005-0000-0000-0000B80A0000}"/>
    <cellStyle name="Currency 3 2 2 2 2 5 3 2" xfId="15613" xr:uid="{2C3B3847-A1EA-407F-AA47-0C205B23C0EA}"/>
    <cellStyle name="Currency 3 2 2 2 2 5 4" xfId="11396" xr:uid="{06DE16A1-288F-44C5-9BFE-2944BB43ADD1}"/>
    <cellStyle name="Currency 3 2 2 2 2 6" xfId="2416" xr:uid="{00000000-0005-0000-0000-0000B90A0000}"/>
    <cellStyle name="Currency 3 2 2 2 2 6 2" xfId="6700" xr:uid="{00000000-0005-0000-0000-0000BA0A0000}"/>
    <cellStyle name="Currency 3 2 2 2 2 6 2 2" xfId="16026" xr:uid="{36596FDD-88EB-4E73-BE32-8DEABAD13DCD}"/>
    <cellStyle name="Currency 3 2 2 2 2 6 3" xfId="11809" xr:uid="{E378ABB3-434E-4129-BFDF-79487193CE5F}"/>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08215CB5-45AB-44A3-B674-5D7C722F61D9}"/>
    <cellStyle name="Currency 3 2 2 2 2 8 3" xfId="12126" xr:uid="{8747D501-8BA7-48C5-AA6E-3E617747296C}"/>
    <cellStyle name="Currency 3 2 2 2 2 9" xfId="4634" xr:uid="{00000000-0005-0000-0000-0000BE0A0000}"/>
    <cellStyle name="Currency 3 2 2 2 2 9 2" xfId="13960" xr:uid="{0DAC9D5E-5C62-4921-8CEA-538A762A1666}"/>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BC7F874E-B9F1-4887-8808-2ECB2B225F37}"/>
    <cellStyle name="Currency 3 2 2 2 3 2 3" xfId="12301" xr:uid="{FC080D76-DDCD-4B63-A3EC-E6EE5C9757F4}"/>
    <cellStyle name="Currency 3 2 2 2 3 3" xfId="5047" xr:uid="{00000000-0005-0000-0000-0000C20A0000}"/>
    <cellStyle name="Currency 3 2 2 2 3 3 2" xfId="14373" xr:uid="{5528879A-9FDA-4762-B405-DDCD89F48C23}"/>
    <cellStyle name="Currency 3 2 2 2 3 4" xfId="9336" xr:uid="{F86D5454-A503-484B-B8F3-81FF219E49D0}"/>
    <cellStyle name="Currency 3 2 2 2 3 5" xfId="10156" xr:uid="{640F12A9-99C5-4E57-AAF6-35B5DF22FF05}"/>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530C078F-79FC-46BB-9E80-60878340F699}"/>
    <cellStyle name="Currency 3 2 2 2 4 2 3" xfId="12714" xr:uid="{B8C6F082-C179-47C7-A6FE-97318CAB24BC}"/>
    <cellStyle name="Currency 3 2 2 2 4 3" xfId="5460" xr:uid="{00000000-0005-0000-0000-0000C60A0000}"/>
    <cellStyle name="Currency 3 2 2 2 4 3 2" xfId="14786" xr:uid="{5613282F-0EE4-4E72-8616-1425672E9F95}"/>
    <cellStyle name="Currency 3 2 2 2 4 4" xfId="10569" xr:uid="{1E47383D-0F7B-4061-A03B-EF9156A9AC9D}"/>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3CDBC44A-AB3F-41C4-8439-1946D22201F2}"/>
    <cellStyle name="Currency 3 2 2 2 5 2 3" xfId="13127" xr:uid="{C721FECB-D2AD-445B-BEF8-AEA7C2E649DB}"/>
    <cellStyle name="Currency 3 2 2 2 5 3" xfId="5873" xr:uid="{00000000-0005-0000-0000-0000CA0A0000}"/>
    <cellStyle name="Currency 3 2 2 2 5 3 2" xfId="15199" xr:uid="{BA785EA0-1A4C-44D7-A4D5-3FA9EBBC12C5}"/>
    <cellStyle name="Currency 3 2 2 2 5 4" xfId="10982" xr:uid="{DAD7D52D-D76C-4783-9824-37999E3A609D}"/>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9ED09DA2-1A68-4C45-96AD-14114984C88E}"/>
    <cellStyle name="Currency 3 2 2 2 6 2 3" xfId="13540" xr:uid="{B1497A53-86BB-4653-92E3-9ADEF7558C9F}"/>
    <cellStyle name="Currency 3 2 2 2 6 3" xfId="6286" xr:uid="{00000000-0005-0000-0000-0000CE0A0000}"/>
    <cellStyle name="Currency 3 2 2 2 6 3 2" xfId="15612" xr:uid="{02D13439-355C-4787-8467-824B0D04BFF0}"/>
    <cellStyle name="Currency 3 2 2 2 6 4" xfId="11395" xr:uid="{736014A2-32EA-40CC-BEBD-85BAE426C325}"/>
    <cellStyle name="Currency 3 2 2 2 7" xfId="2415" xr:uid="{00000000-0005-0000-0000-0000CF0A0000}"/>
    <cellStyle name="Currency 3 2 2 2 7 2" xfId="6699" xr:uid="{00000000-0005-0000-0000-0000D00A0000}"/>
    <cellStyle name="Currency 3 2 2 2 7 2 2" xfId="16025" xr:uid="{7AFED172-C970-47A4-8F70-E8DE9C0BA284}"/>
    <cellStyle name="Currency 3 2 2 2 7 3" xfId="11808" xr:uid="{B239CA55-4302-4875-A62F-49C1201A198F}"/>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A27F467B-1837-4A87-8470-F1F67BB8E792}"/>
    <cellStyle name="Currency 3 2 2 2 9 3" xfId="12125" xr:uid="{A12F2C50-681D-4887-AAC9-300EBC0A59D1}"/>
    <cellStyle name="Currency 3 2 2 3" xfId="181" xr:uid="{00000000-0005-0000-0000-0000D40A0000}"/>
    <cellStyle name="Currency 3 2 2 3 10" xfId="9015" xr:uid="{A1C3FAFC-6FB9-45C5-A279-C90E61794A63}"/>
    <cellStyle name="Currency 3 2 2 3 11" xfId="9744" xr:uid="{696CEB7E-48F2-4BFE-B5C7-B6CDE6AE728A}"/>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EF181CEF-D7E6-4408-8233-033BC836A6C0}"/>
    <cellStyle name="Currency 3 2 2 3 2 2 3" xfId="12303" xr:uid="{D50C4EE9-181C-4319-A803-7C10A53DB97F}"/>
    <cellStyle name="Currency 3 2 2 3 2 3" xfId="5049" xr:uid="{00000000-0005-0000-0000-0000D80A0000}"/>
    <cellStyle name="Currency 3 2 2 3 2 3 2" xfId="14375" xr:uid="{151077EB-DD7C-400B-B2A6-62F8B64EA73D}"/>
    <cellStyle name="Currency 3 2 2 3 2 4" xfId="9440" xr:uid="{774D5512-BCA5-4224-A909-3336A63369C8}"/>
    <cellStyle name="Currency 3 2 2 3 2 5" xfId="10158" xr:uid="{FE6380F9-82C2-4AF1-BCD5-F336264EFDBE}"/>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5ECC3B27-E270-4DD4-A189-3A84BADBCE9F}"/>
    <cellStyle name="Currency 3 2 2 3 3 2 3" xfId="12716" xr:uid="{9D75A17F-AEC3-4F11-BAEB-EE2CE0454A9F}"/>
    <cellStyle name="Currency 3 2 2 3 3 3" xfId="5462" xr:uid="{00000000-0005-0000-0000-0000DC0A0000}"/>
    <cellStyle name="Currency 3 2 2 3 3 3 2" xfId="14788" xr:uid="{026CE469-8AEB-435C-A925-307F07904199}"/>
    <cellStyle name="Currency 3 2 2 3 3 4" xfId="10571" xr:uid="{49C6D24C-020A-4744-B4A7-14ABE22BE3CC}"/>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4B1F7E5C-5007-4219-ADB2-3621E2C64C0A}"/>
    <cellStyle name="Currency 3 2 2 3 4 2 3" xfId="13129" xr:uid="{50F4C719-2A1D-4B39-A2B6-7F41EABAC955}"/>
    <cellStyle name="Currency 3 2 2 3 4 3" xfId="5875" xr:uid="{00000000-0005-0000-0000-0000E00A0000}"/>
    <cellStyle name="Currency 3 2 2 3 4 3 2" xfId="15201" xr:uid="{FAA8EAE6-719F-43EF-AB74-E487217238B6}"/>
    <cellStyle name="Currency 3 2 2 3 4 4" xfId="10984" xr:uid="{3CE21B28-A138-4EC6-B0D7-080640BA00F4}"/>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17B2BDA3-8E1C-4BD4-B181-C497BE495BFC}"/>
    <cellStyle name="Currency 3 2 2 3 5 2 3" xfId="13542" xr:uid="{0B32FE44-87A0-41F1-8AD1-32C19E722A00}"/>
    <cellStyle name="Currency 3 2 2 3 5 3" xfId="6288" xr:uid="{00000000-0005-0000-0000-0000E40A0000}"/>
    <cellStyle name="Currency 3 2 2 3 5 3 2" xfId="15614" xr:uid="{8363162A-3E6E-4223-AF62-AD6869FFC051}"/>
    <cellStyle name="Currency 3 2 2 3 5 4" xfId="11397" xr:uid="{BAFE9AE9-887C-44F2-98D5-A1D122D20AFA}"/>
    <cellStyle name="Currency 3 2 2 3 6" xfId="2417" xr:uid="{00000000-0005-0000-0000-0000E50A0000}"/>
    <cellStyle name="Currency 3 2 2 3 6 2" xfId="6701" xr:uid="{00000000-0005-0000-0000-0000E60A0000}"/>
    <cellStyle name="Currency 3 2 2 3 6 2 2" xfId="16027" xr:uid="{8148DC6C-8C1E-4FED-85CD-17017FC560C1}"/>
    <cellStyle name="Currency 3 2 2 3 6 3" xfId="11810" xr:uid="{9534AEE9-DE4C-4C1D-A209-0787185C6C5A}"/>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9E631052-D916-4AC8-8A9B-D82CA8C81A07}"/>
    <cellStyle name="Currency 3 2 2 3 8 3" xfId="12127" xr:uid="{C8DB268B-D714-4E4E-B7C2-4CC506D333D6}"/>
    <cellStyle name="Currency 3 2 2 3 9" xfId="4635" xr:uid="{00000000-0005-0000-0000-0000EA0A0000}"/>
    <cellStyle name="Currency 3 2 2 3 9 2" xfId="13961" xr:uid="{52841131-B379-4F5B-94E4-60AAE7A0E7E4}"/>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D57B8873-15F6-4890-AEA3-5EE82BE7DF3C}"/>
    <cellStyle name="Currency 3 2 2 4 2 3" xfId="12300" xr:uid="{128EB395-FC54-4916-9F52-1570B75DECA8}"/>
    <cellStyle name="Currency 3 2 2 4 3" xfId="5046" xr:uid="{00000000-0005-0000-0000-0000EE0A0000}"/>
    <cellStyle name="Currency 3 2 2 4 3 2" xfId="14372" xr:uid="{3A6BB70C-DC9B-403C-BA1D-79C037461EBD}"/>
    <cellStyle name="Currency 3 2 2 4 4" xfId="9233" xr:uid="{A90843BF-65B1-48E5-9C93-A2651D7B4B13}"/>
    <cellStyle name="Currency 3 2 2 4 5" xfId="10155" xr:uid="{451F08E3-348B-4708-AC26-3EF3C4584824}"/>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E9AF53A6-EA0D-47C8-8AE0-E03CAF9FF27F}"/>
    <cellStyle name="Currency 3 2 2 5 2 3" xfId="12713" xr:uid="{D7757E56-3F1C-4249-9715-302E2450B838}"/>
    <cellStyle name="Currency 3 2 2 5 3" xfId="5459" xr:uid="{00000000-0005-0000-0000-0000F20A0000}"/>
    <cellStyle name="Currency 3 2 2 5 3 2" xfId="14785" xr:uid="{C58CB8A8-95B0-4963-B054-BE2FDA0443B7}"/>
    <cellStyle name="Currency 3 2 2 5 4" xfId="10568" xr:uid="{56F256A3-1611-4DD5-8F29-D8575F88ABB3}"/>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AA17F1D8-1BA0-4FF5-8A53-B8FD1484DA54}"/>
    <cellStyle name="Currency 3 2 2 6 2 3" xfId="13126" xr:uid="{82EA674E-5634-488C-B670-F788822FF55B}"/>
    <cellStyle name="Currency 3 2 2 6 3" xfId="5872" xr:uid="{00000000-0005-0000-0000-0000F60A0000}"/>
    <cellStyle name="Currency 3 2 2 6 3 2" xfId="15198" xr:uid="{9136DAE9-1169-4C06-9F37-1934E3833B70}"/>
    <cellStyle name="Currency 3 2 2 6 4" xfId="10981" xr:uid="{CA2A5255-6C56-494A-AEC4-06DB8238D411}"/>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D02FBCA5-71F9-4A35-8E47-D79864A23A9D}"/>
    <cellStyle name="Currency 3 2 2 7 2 3" xfId="13539" xr:uid="{6397F516-7C17-4C89-9C08-5F9AC477A664}"/>
    <cellStyle name="Currency 3 2 2 7 3" xfId="6285" xr:uid="{00000000-0005-0000-0000-0000FA0A0000}"/>
    <cellStyle name="Currency 3 2 2 7 3 2" xfId="15611" xr:uid="{D6E13F7D-CE23-4850-89BE-B546651915A2}"/>
    <cellStyle name="Currency 3 2 2 7 4" xfId="11394" xr:uid="{DFA5D32E-CED3-4435-A8A1-71C0C20A6F08}"/>
    <cellStyle name="Currency 3 2 2 8" xfId="2414" xr:uid="{00000000-0005-0000-0000-0000FB0A0000}"/>
    <cellStyle name="Currency 3 2 2 8 2" xfId="6698" xr:uid="{00000000-0005-0000-0000-0000FC0A0000}"/>
    <cellStyle name="Currency 3 2 2 8 2 2" xfId="16024" xr:uid="{AA458574-AE27-43B6-93B0-A514A8900C84}"/>
    <cellStyle name="Currency 3 2 2 8 3" xfId="11807" xr:uid="{08B4CAB8-4152-4559-ADD8-AFC45B5C1831}"/>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5C2A08D2-C50D-4F82-9547-6587C322CDBE}"/>
    <cellStyle name="Currency 3 2 3 11" xfId="8893" xr:uid="{8CE28714-D587-402C-9A17-1A08799662D4}"/>
    <cellStyle name="Currency 3 2 3 12" xfId="9745" xr:uid="{086AD363-5342-46ED-BC2F-FCEAC6883EC1}"/>
    <cellStyle name="Currency 3 2 3 2" xfId="183" xr:uid="{00000000-0005-0000-0000-0000000B0000}"/>
    <cellStyle name="Currency 3 2 3 2 10" xfId="9100" xr:uid="{CEBE1F40-0923-46C6-AB84-DD4DAB20CD81}"/>
    <cellStyle name="Currency 3 2 3 2 11" xfId="9746" xr:uid="{244CD002-D955-4F30-B302-E817FC540B32}"/>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42E03563-77F9-49BB-BE67-0E1A97E9E60F}"/>
    <cellStyle name="Currency 3 2 3 2 2 2 3" xfId="12305" xr:uid="{D3EDEC64-A8BB-4B91-8E96-0E52F70FE7A4}"/>
    <cellStyle name="Currency 3 2 3 2 2 3" xfId="5051" xr:uid="{00000000-0005-0000-0000-0000040B0000}"/>
    <cellStyle name="Currency 3 2 3 2 2 3 2" xfId="14377" xr:uid="{585ED1F3-DED1-46E6-8874-E0C5042F60D2}"/>
    <cellStyle name="Currency 3 2 3 2 2 4" xfId="9525" xr:uid="{759374BA-DDD8-4F33-9655-B300986F8700}"/>
    <cellStyle name="Currency 3 2 3 2 2 5" xfId="10160" xr:uid="{8CFFB7A9-7323-4237-98C9-6E512D0C74E5}"/>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E2DB322E-D93A-4609-83D1-6AD81623773C}"/>
    <cellStyle name="Currency 3 2 3 2 3 2 3" xfId="12718" xr:uid="{5E993A80-A9A5-47AF-AB0D-C3D512A1E3E2}"/>
    <cellStyle name="Currency 3 2 3 2 3 3" xfId="5464" xr:uid="{00000000-0005-0000-0000-0000080B0000}"/>
    <cellStyle name="Currency 3 2 3 2 3 3 2" xfId="14790" xr:uid="{ADF5971C-9B23-4B52-BD62-C66FC894CA03}"/>
    <cellStyle name="Currency 3 2 3 2 3 4" xfId="10573" xr:uid="{3E6CB15E-D38B-4C4D-BDF4-D4F1D5420FDD}"/>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D8DFFC55-D464-4AD0-BCF4-456B2B617533}"/>
    <cellStyle name="Currency 3 2 3 2 4 2 3" xfId="13131" xr:uid="{15467E4F-2415-4ED3-94C0-29812F595F19}"/>
    <cellStyle name="Currency 3 2 3 2 4 3" xfId="5877" xr:uid="{00000000-0005-0000-0000-00000C0B0000}"/>
    <cellStyle name="Currency 3 2 3 2 4 3 2" xfId="15203" xr:uid="{C049E7EE-D144-4711-89C3-4E3F9246298B}"/>
    <cellStyle name="Currency 3 2 3 2 4 4" xfId="10986" xr:uid="{C4A9FBF2-6693-4D79-9D88-5156F1D9A0A4}"/>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AA372ADF-3176-474B-9ABA-FEB23A5DEF85}"/>
    <cellStyle name="Currency 3 2 3 2 5 2 3" xfId="13544" xr:uid="{980149B8-950F-4049-8EF1-B6B59AB93E60}"/>
    <cellStyle name="Currency 3 2 3 2 5 3" xfId="6290" xr:uid="{00000000-0005-0000-0000-0000100B0000}"/>
    <cellStyle name="Currency 3 2 3 2 5 3 2" xfId="15616" xr:uid="{2FD04706-C0D3-4276-8428-1409CA103A55}"/>
    <cellStyle name="Currency 3 2 3 2 5 4" xfId="11399" xr:uid="{07A2A679-B48C-4F7E-819B-A97B53C466AD}"/>
    <cellStyle name="Currency 3 2 3 2 6" xfId="2419" xr:uid="{00000000-0005-0000-0000-0000110B0000}"/>
    <cellStyle name="Currency 3 2 3 2 6 2" xfId="6703" xr:uid="{00000000-0005-0000-0000-0000120B0000}"/>
    <cellStyle name="Currency 3 2 3 2 6 2 2" xfId="16029" xr:uid="{B26B6E7A-3626-45AC-B7C3-6C4E596A3265}"/>
    <cellStyle name="Currency 3 2 3 2 6 3" xfId="11812" xr:uid="{AFA26674-2125-4CEF-837C-21DDBF8C6764}"/>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B27EE1ED-6F4E-423C-A359-569B45806B61}"/>
    <cellStyle name="Currency 3 2 3 2 8 3" xfId="12129" xr:uid="{7176D9A0-C1FD-46DF-947D-CFA2EEC679ED}"/>
    <cellStyle name="Currency 3 2 3 2 9" xfId="4637" xr:uid="{00000000-0005-0000-0000-0000160B0000}"/>
    <cellStyle name="Currency 3 2 3 2 9 2" xfId="13963" xr:uid="{A64F9F01-0CD7-45DB-B6E6-A520DE620C77}"/>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954EE736-D652-4A49-AAF1-9F8293F61B01}"/>
    <cellStyle name="Currency 3 2 3 3 2 3" xfId="12304" xr:uid="{D99EAC20-CD41-4B06-8163-69A3099B00B1}"/>
    <cellStyle name="Currency 3 2 3 3 3" xfId="5050" xr:uid="{00000000-0005-0000-0000-00001A0B0000}"/>
    <cellStyle name="Currency 3 2 3 3 3 2" xfId="14376" xr:uid="{934C95AC-F34C-433A-ABB9-6B847EE3A7E1}"/>
    <cellStyle name="Currency 3 2 3 3 4" xfId="9318" xr:uid="{AA73873E-8E72-4FDE-A22E-F5D80E2A87B1}"/>
    <cellStyle name="Currency 3 2 3 3 5" xfId="10159" xr:uid="{A4DDE298-0027-4B8B-AB0D-6613BF283FAB}"/>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C2A34820-D436-4136-BFE2-80B76182F207}"/>
    <cellStyle name="Currency 3 2 3 4 2 3" xfId="12717" xr:uid="{0B1B123C-80B8-4E03-894B-A189FB253B65}"/>
    <cellStyle name="Currency 3 2 3 4 3" xfId="5463" xr:uid="{00000000-0005-0000-0000-00001E0B0000}"/>
    <cellStyle name="Currency 3 2 3 4 3 2" xfId="14789" xr:uid="{BD4CB204-9AC3-4C74-A62B-2C70E3F2CC6A}"/>
    <cellStyle name="Currency 3 2 3 4 4" xfId="10572" xr:uid="{CB182857-6B6F-44CF-8252-18541C7E2F7B}"/>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BA647A4A-CAAE-4B51-9048-168C228CE3D7}"/>
    <cellStyle name="Currency 3 2 3 5 2 3" xfId="13130" xr:uid="{7FEF4A19-1229-4DBC-9FD1-28A253682ACC}"/>
    <cellStyle name="Currency 3 2 3 5 3" xfId="5876" xr:uid="{00000000-0005-0000-0000-0000220B0000}"/>
    <cellStyle name="Currency 3 2 3 5 3 2" xfId="15202" xr:uid="{C5E2C25A-7DE9-4CF9-A43B-1F88A73BF198}"/>
    <cellStyle name="Currency 3 2 3 5 4" xfId="10985" xr:uid="{63EDEDE7-C874-45E7-822C-D77D423F54F0}"/>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3289D62C-45B6-4F20-ABA2-113EE47996E5}"/>
    <cellStyle name="Currency 3 2 3 6 2 3" xfId="13543" xr:uid="{F470C6D6-CB15-4ED8-AAAD-808C14BF5E6D}"/>
    <cellStyle name="Currency 3 2 3 6 3" xfId="6289" xr:uid="{00000000-0005-0000-0000-0000260B0000}"/>
    <cellStyle name="Currency 3 2 3 6 3 2" xfId="15615" xr:uid="{0472E4D5-562A-4999-A7A2-3AF6FB5E666D}"/>
    <cellStyle name="Currency 3 2 3 6 4" xfId="11398" xr:uid="{1587E5EB-0E0E-49D9-8FC2-C7E5BD4CB6EC}"/>
    <cellStyle name="Currency 3 2 3 7" xfId="2418" xr:uid="{00000000-0005-0000-0000-0000270B0000}"/>
    <cellStyle name="Currency 3 2 3 7 2" xfId="6702" xr:uid="{00000000-0005-0000-0000-0000280B0000}"/>
    <cellStyle name="Currency 3 2 3 7 2 2" xfId="16028" xr:uid="{6BE1D197-437B-4063-A9AF-AA2486AE5568}"/>
    <cellStyle name="Currency 3 2 3 7 3" xfId="11811" xr:uid="{606507A5-74A5-4AC3-A450-64CC910D7ABB}"/>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9D75AC35-3722-4DAA-9A1E-608E3D11688E}"/>
    <cellStyle name="Currency 3 2 3 9 3" xfId="12128" xr:uid="{FB629FE4-FF87-48D4-B299-007986FB2472}"/>
    <cellStyle name="Currency 3 2 4" xfId="184" xr:uid="{00000000-0005-0000-0000-00002C0B0000}"/>
    <cellStyle name="Currency 3 2 4 10" xfId="8997" xr:uid="{DF9FC022-A382-4135-990F-F43A472E13BA}"/>
    <cellStyle name="Currency 3 2 4 11" xfId="9747" xr:uid="{1D9038F0-EF9C-4D2F-96C5-04766E2CEB8B}"/>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3A825D3A-0859-49F5-9ACA-A477BD613846}"/>
    <cellStyle name="Currency 3 2 4 2 2 3" xfId="12306" xr:uid="{773FBFD2-B30C-4E5A-A799-FBBDF18F32BA}"/>
    <cellStyle name="Currency 3 2 4 2 3" xfId="5052" xr:uid="{00000000-0005-0000-0000-0000300B0000}"/>
    <cellStyle name="Currency 3 2 4 2 3 2" xfId="14378" xr:uid="{BED6A434-316D-4672-AFF7-50478A414237}"/>
    <cellStyle name="Currency 3 2 4 2 4" xfId="9422" xr:uid="{3049B7CE-611E-437A-AD0B-2E3AA5E2E50D}"/>
    <cellStyle name="Currency 3 2 4 2 5" xfId="10161" xr:uid="{27952FCC-6B39-4E3A-87D2-1F164F861481}"/>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CAC73851-CAB5-4DA5-AE1F-D3BDAE901E74}"/>
    <cellStyle name="Currency 3 2 4 3 2 3" xfId="12719" xr:uid="{35FF6AE4-C3C7-4267-8844-6C1DA93DB0AA}"/>
    <cellStyle name="Currency 3 2 4 3 3" xfId="5465" xr:uid="{00000000-0005-0000-0000-0000340B0000}"/>
    <cellStyle name="Currency 3 2 4 3 3 2" xfId="14791" xr:uid="{15788240-8F7D-4F59-98F1-EBF9DAC86896}"/>
    <cellStyle name="Currency 3 2 4 3 4" xfId="10574" xr:uid="{47A24765-0EB2-427B-B23D-A78667DE8114}"/>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994755DD-88EA-445F-ADB6-C975236BFBD5}"/>
    <cellStyle name="Currency 3 2 4 4 2 3" xfId="13132" xr:uid="{8F3AA1E1-9B3C-40C6-B19E-693B58EF7175}"/>
    <cellStyle name="Currency 3 2 4 4 3" xfId="5878" xr:uid="{00000000-0005-0000-0000-0000380B0000}"/>
    <cellStyle name="Currency 3 2 4 4 3 2" xfId="15204" xr:uid="{030F8004-530C-45D0-81D5-75CECC055431}"/>
    <cellStyle name="Currency 3 2 4 4 4" xfId="10987" xr:uid="{64DEB830-ECB1-4434-9587-4E017887C3B3}"/>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5AD6E0FE-8FF7-41BE-95F9-8DFAABDD4363}"/>
    <cellStyle name="Currency 3 2 4 5 2 3" xfId="13545" xr:uid="{60D59D52-9E41-44D2-8716-0F29E8F18582}"/>
    <cellStyle name="Currency 3 2 4 5 3" xfId="6291" xr:uid="{00000000-0005-0000-0000-00003C0B0000}"/>
    <cellStyle name="Currency 3 2 4 5 3 2" xfId="15617" xr:uid="{AA36286A-798E-4DC2-8310-089F4D2A6199}"/>
    <cellStyle name="Currency 3 2 4 5 4" xfId="11400" xr:uid="{2CDD4EB6-5C8E-401F-BB3A-158A53BCE8C0}"/>
    <cellStyle name="Currency 3 2 4 6" xfId="2420" xr:uid="{00000000-0005-0000-0000-00003D0B0000}"/>
    <cellStyle name="Currency 3 2 4 6 2" xfId="6704" xr:uid="{00000000-0005-0000-0000-00003E0B0000}"/>
    <cellStyle name="Currency 3 2 4 6 2 2" xfId="16030" xr:uid="{E9A8564C-E47D-4092-B71A-809A6EAD4DB3}"/>
    <cellStyle name="Currency 3 2 4 6 3" xfId="11813" xr:uid="{6EE3AE4A-159F-4FFE-BA2E-6A7EDF7A7000}"/>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4A81AFB8-6D4E-4A34-BF22-0F5BAFE3E826}"/>
    <cellStyle name="Currency 3 2 4 8 3" xfId="12130" xr:uid="{B8596781-9076-4AD4-B0F4-3D1FE68E4E92}"/>
    <cellStyle name="Currency 3 2 4 9" xfId="4638" xr:uid="{00000000-0005-0000-0000-0000420B0000}"/>
    <cellStyle name="Currency 3 2 4 9 2" xfId="13964" xr:uid="{2C72815A-EE9D-469E-A063-BDB61A0C92C5}"/>
    <cellStyle name="Currency 3 2 5" xfId="185" xr:uid="{00000000-0005-0000-0000-0000430B0000}"/>
    <cellStyle name="Currency 3 2 5 10" xfId="9214" xr:uid="{3D0A867F-0B9D-4759-A509-3EC1084E197B}"/>
    <cellStyle name="Currency 3 2 5 11" xfId="9748" xr:uid="{8050FE99-DA20-4CFE-BEEF-CA32D3C99493}"/>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36F9A01E-E178-46AA-BBE1-8C06D8E7AC44}"/>
    <cellStyle name="Currency 3 2 5 2 2 3" xfId="12307" xr:uid="{6F3A8A42-6F81-4D56-86F3-020B4F86DAE5}"/>
    <cellStyle name="Currency 3 2 5 2 3" xfId="5053" xr:uid="{00000000-0005-0000-0000-0000470B0000}"/>
    <cellStyle name="Currency 3 2 5 2 3 2" xfId="14379" xr:uid="{A0A5B755-A7DF-4D07-AB17-CC59FCA92331}"/>
    <cellStyle name="Currency 3 2 5 2 4" xfId="9597" xr:uid="{6E2F978E-96E4-4AD8-B4BD-1BE9D7E96A2F}"/>
    <cellStyle name="Currency 3 2 5 2 5" xfId="10162" xr:uid="{F4A7483E-3FE5-450C-B8C1-46E6666C12DD}"/>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AB77650F-5F6F-4C3D-8994-C65E774DCD83}"/>
    <cellStyle name="Currency 3 2 5 3 2 3" xfId="12720" xr:uid="{C31651A1-25F7-4FB7-8BC0-A732C79783E1}"/>
    <cellStyle name="Currency 3 2 5 3 3" xfId="5466" xr:uid="{00000000-0005-0000-0000-00004B0B0000}"/>
    <cellStyle name="Currency 3 2 5 3 3 2" xfId="14792" xr:uid="{5061CD8F-4025-46E4-9E84-A0C5E88EB20A}"/>
    <cellStyle name="Currency 3 2 5 3 4" xfId="10575" xr:uid="{7E14AEB1-C077-43EF-8489-A056EC776B77}"/>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0F618AA2-35FF-44B3-AA65-D46F039EE4FB}"/>
    <cellStyle name="Currency 3 2 5 4 2 3" xfId="13133" xr:uid="{D1575B79-BC66-4A80-9A38-0C719D121350}"/>
    <cellStyle name="Currency 3 2 5 4 3" xfId="5879" xr:uid="{00000000-0005-0000-0000-00004F0B0000}"/>
    <cellStyle name="Currency 3 2 5 4 3 2" xfId="15205" xr:uid="{DD90F51B-B366-4726-BEEB-EBB443986C0F}"/>
    <cellStyle name="Currency 3 2 5 4 4" xfId="10988" xr:uid="{0EA15436-F945-40D3-A748-FF98C0589A6F}"/>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3DF4D4C9-1222-4798-9221-999190836377}"/>
    <cellStyle name="Currency 3 2 5 5 2 3" xfId="13546" xr:uid="{75BAE2D9-6CC0-42FA-AFA5-1D83C0B9E946}"/>
    <cellStyle name="Currency 3 2 5 5 3" xfId="6292" xr:uid="{00000000-0005-0000-0000-0000530B0000}"/>
    <cellStyle name="Currency 3 2 5 5 3 2" xfId="15618" xr:uid="{1CEC8BA8-99EE-4F6C-B08E-C39943401FE9}"/>
    <cellStyle name="Currency 3 2 5 5 4" xfId="11401" xr:uid="{B2FECBE2-628B-456C-9DC3-9659A7C925F6}"/>
    <cellStyle name="Currency 3 2 5 6" xfId="2421" xr:uid="{00000000-0005-0000-0000-0000540B0000}"/>
    <cellStyle name="Currency 3 2 5 6 2" xfId="6705" xr:uid="{00000000-0005-0000-0000-0000550B0000}"/>
    <cellStyle name="Currency 3 2 5 6 2 2" xfId="16031" xr:uid="{E3494F55-44E4-41A5-BCA6-F91393BD1D03}"/>
    <cellStyle name="Currency 3 2 5 6 3" xfId="11814" xr:uid="{0A4CF2D4-B85E-4A8D-80C3-EFF86BE91F8A}"/>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ED671C8A-50CD-4160-B3C6-D65C50CDB3A1}"/>
    <cellStyle name="Currency 3 2 5 8 3" xfId="12131" xr:uid="{B79C5CEB-FA1D-4B12-908E-71270546A174}"/>
    <cellStyle name="Currency 3 2 5 9" xfId="4639" xr:uid="{00000000-0005-0000-0000-0000590B0000}"/>
    <cellStyle name="Currency 3 2 5 9 2" xfId="13965" xr:uid="{362925BF-5CE7-4ECB-9503-51D51F353C2D}"/>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CA29E0CE-4F1A-4C63-8E8A-1FB1A16EE85A}"/>
    <cellStyle name="Currency 5 2 2 2 10 3" xfId="12132" xr:uid="{880FF21F-CB40-4344-B43A-946477BDF6A8}"/>
    <cellStyle name="Currency 5 2 2 2 11" xfId="4640" xr:uid="{00000000-0005-0000-0000-00006C0B0000}"/>
    <cellStyle name="Currency 5 2 2 2 11 2" xfId="13966" xr:uid="{69E64C44-23E4-4FE5-9B97-AD3AAD299D4C}"/>
    <cellStyle name="Currency 5 2 2 2 12" xfId="8809" xr:uid="{6E2B58BA-BC61-49BF-A0FE-5BC79A050654}"/>
    <cellStyle name="Currency 5 2 2 2 13" xfId="9749" xr:uid="{F0BB8155-204A-411F-A8A4-E9F384A53D5E}"/>
    <cellStyle name="Currency 5 2 2 2 2" xfId="197" xr:uid="{00000000-0005-0000-0000-00006D0B0000}"/>
    <cellStyle name="Currency 5 2 2 2 2 10" xfId="4641" xr:uid="{00000000-0005-0000-0000-00006E0B0000}"/>
    <cellStyle name="Currency 5 2 2 2 2 10 2" xfId="13967" xr:uid="{7890F634-196D-4ED2-9C57-41C57FDEC0A8}"/>
    <cellStyle name="Currency 5 2 2 2 2 11" xfId="8912" xr:uid="{4079D27E-F98B-4445-AE20-FFD848158756}"/>
    <cellStyle name="Currency 5 2 2 2 2 12" xfId="9750" xr:uid="{AA7ACE74-CD22-408C-B63F-C9F44E299CDA}"/>
    <cellStyle name="Currency 5 2 2 2 2 2" xfId="198" xr:uid="{00000000-0005-0000-0000-00006F0B0000}"/>
    <cellStyle name="Currency 5 2 2 2 2 2 10" xfId="9119" xr:uid="{2B97CFE9-E9FD-476D-A341-C695293642F3}"/>
    <cellStyle name="Currency 5 2 2 2 2 2 11" xfId="9751" xr:uid="{A0A7EE98-5360-4437-A4FB-8AD40B1D5BE2}"/>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74003629-C970-4222-88B5-2D1DAAE0BBD7}"/>
    <cellStyle name="Currency 5 2 2 2 2 2 2 2 3" xfId="12310" xr:uid="{491A2375-2ECF-4718-967F-81E746C1B2D7}"/>
    <cellStyle name="Currency 5 2 2 2 2 2 2 3" xfId="5056" xr:uid="{00000000-0005-0000-0000-0000730B0000}"/>
    <cellStyle name="Currency 5 2 2 2 2 2 2 3 2" xfId="14382" xr:uid="{B3ED0E4A-EA10-46E2-AB10-03EA96E0C5ED}"/>
    <cellStyle name="Currency 5 2 2 2 2 2 2 4" xfId="9544" xr:uid="{77881B28-843C-4677-B92C-D2A5804BDB97}"/>
    <cellStyle name="Currency 5 2 2 2 2 2 2 5" xfId="10165" xr:uid="{BDD1DF05-438C-44E1-9C5A-C32DD583370E}"/>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AADE7CDF-80D4-4492-820E-57EEC1A9AE2D}"/>
    <cellStyle name="Currency 5 2 2 2 2 2 3 2 3" xfId="12723" xr:uid="{B9456645-BEA0-472F-81C0-23DEDDBA141E}"/>
    <cellStyle name="Currency 5 2 2 2 2 2 3 3" xfId="5469" xr:uid="{00000000-0005-0000-0000-0000770B0000}"/>
    <cellStyle name="Currency 5 2 2 2 2 2 3 3 2" xfId="14795" xr:uid="{DE7657F4-BD59-4B2B-989E-A208EDB0CD7E}"/>
    <cellStyle name="Currency 5 2 2 2 2 2 3 4" xfId="10578" xr:uid="{6A4D5A57-84B2-4E6F-85B8-686FF788426E}"/>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4E844F44-5C95-4352-B5EE-E89916ADCCB7}"/>
    <cellStyle name="Currency 5 2 2 2 2 2 4 2 3" xfId="13136" xr:uid="{43CB748E-6C95-40EB-9FC9-013FA5C61D95}"/>
    <cellStyle name="Currency 5 2 2 2 2 2 4 3" xfId="5882" xr:uid="{00000000-0005-0000-0000-00007B0B0000}"/>
    <cellStyle name="Currency 5 2 2 2 2 2 4 3 2" xfId="15208" xr:uid="{5551E5B5-470A-41D3-BB1A-818E59F59AF2}"/>
    <cellStyle name="Currency 5 2 2 2 2 2 4 4" xfId="10991" xr:uid="{5FA98331-B7BF-4794-8829-179D9B21EA85}"/>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DFC50B7B-B3D3-4E56-B8FD-1D4CAC70E6BB}"/>
    <cellStyle name="Currency 5 2 2 2 2 2 5 2 3" xfId="13549" xr:uid="{B14D8820-1D45-4073-8F32-F1636493FEF2}"/>
    <cellStyle name="Currency 5 2 2 2 2 2 5 3" xfId="6295" xr:uid="{00000000-0005-0000-0000-00007F0B0000}"/>
    <cellStyle name="Currency 5 2 2 2 2 2 5 3 2" xfId="15621" xr:uid="{AD16E7EE-24E4-420A-8B33-C6AF9EA6CEC9}"/>
    <cellStyle name="Currency 5 2 2 2 2 2 5 4" xfId="11404" xr:uid="{A9885E08-F9FE-4C68-80E9-DCD51CF65044}"/>
    <cellStyle name="Currency 5 2 2 2 2 2 6" xfId="2424" xr:uid="{00000000-0005-0000-0000-0000800B0000}"/>
    <cellStyle name="Currency 5 2 2 2 2 2 6 2" xfId="6708" xr:uid="{00000000-0005-0000-0000-0000810B0000}"/>
    <cellStyle name="Currency 5 2 2 2 2 2 6 2 2" xfId="16034" xr:uid="{70A4790A-DF98-4AAA-90DF-764F92628436}"/>
    <cellStyle name="Currency 5 2 2 2 2 2 6 3" xfId="11817" xr:uid="{0FC2771B-0135-4F74-9C82-29594481164B}"/>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FD52DD3B-5635-4451-8E14-E6595AD9CF8E}"/>
    <cellStyle name="Currency 5 2 2 2 2 2 8 3" xfId="12134" xr:uid="{4048F12D-B890-4F91-B84C-3779CB299556}"/>
    <cellStyle name="Currency 5 2 2 2 2 2 9" xfId="4642" xr:uid="{00000000-0005-0000-0000-0000850B0000}"/>
    <cellStyle name="Currency 5 2 2 2 2 2 9 2" xfId="13968" xr:uid="{8C06F44A-2018-4018-A441-59FF9469C558}"/>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67BA8FE2-EEA3-443D-8B56-777A6AD294AF}"/>
    <cellStyle name="Currency 5 2 2 2 2 3 2 3" xfId="12309" xr:uid="{361E33CC-9465-4D70-8840-AD14005C3730}"/>
    <cellStyle name="Currency 5 2 2 2 2 3 3" xfId="5055" xr:uid="{00000000-0005-0000-0000-0000890B0000}"/>
    <cellStyle name="Currency 5 2 2 2 2 3 3 2" xfId="14381" xr:uid="{7C34A9B3-EBB7-4503-8499-39F51F5F6957}"/>
    <cellStyle name="Currency 5 2 2 2 2 3 4" xfId="9337" xr:uid="{A1FF44B9-A8E0-4A4E-9BE9-DA7FD7E326AE}"/>
    <cellStyle name="Currency 5 2 2 2 2 3 5" xfId="10164" xr:uid="{F9C199C8-8453-421E-BDD8-AE03236FEF9C}"/>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3B4B78CF-561C-45EF-AB55-E5A4A528D691}"/>
    <cellStyle name="Currency 5 2 2 2 2 4 2 3" xfId="12722" xr:uid="{3DA5F80E-780A-49F3-8CF6-1E0C8BF23586}"/>
    <cellStyle name="Currency 5 2 2 2 2 4 3" xfId="5468" xr:uid="{00000000-0005-0000-0000-00008D0B0000}"/>
    <cellStyle name="Currency 5 2 2 2 2 4 3 2" xfId="14794" xr:uid="{F0419D2E-535D-4226-9DF0-B31399BB7834}"/>
    <cellStyle name="Currency 5 2 2 2 2 4 4" xfId="10577" xr:uid="{8AEFF7A1-1808-47D3-A0C4-31DDDB88537A}"/>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73A69732-00C3-4AAA-8164-7957CFA913DF}"/>
    <cellStyle name="Currency 5 2 2 2 2 5 2 3" xfId="13135" xr:uid="{32D1F1EA-F243-44A2-B4F5-71998A86BAC6}"/>
    <cellStyle name="Currency 5 2 2 2 2 5 3" xfId="5881" xr:uid="{00000000-0005-0000-0000-0000910B0000}"/>
    <cellStyle name="Currency 5 2 2 2 2 5 3 2" xfId="15207" xr:uid="{9E9FEF50-EE82-43B1-A04C-89DDEB69F2FC}"/>
    <cellStyle name="Currency 5 2 2 2 2 5 4" xfId="10990" xr:uid="{BAA61602-8191-43CE-A3B7-78168486CC8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67BBA54C-D984-487D-A340-A76E576F13DD}"/>
    <cellStyle name="Currency 5 2 2 2 2 6 2 3" xfId="13548" xr:uid="{B9ABABB7-7330-4343-AAA9-FA06415D08C7}"/>
    <cellStyle name="Currency 5 2 2 2 2 6 3" xfId="6294" xr:uid="{00000000-0005-0000-0000-0000950B0000}"/>
    <cellStyle name="Currency 5 2 2 2 2 6 3 2" xfId="15620" xr:uid="{10B67FA0-F5EE-4896-AC58-35B447A1018D}"/>
    <cellStyle name="Currency 5 2 2 2 2 6 4" xfId="11403" xr:uid="{599A2925-80A8-4A8D-BCF1-4A152F6EE9A3}"/>
    <cellStyle name="Currency 5 2 2 2 2 7" xfId="2423" xr:uid="{00000000-0005-0000-0000-0000960B0000}"/>
    <cellStyle name="Currency 5 2 2 2 2 7 2" xfId="6707" xr:uid="{00000000-0005-0000-0000-0000970B0000}"/>
    <cellStyle name="Currency 5 2 2 2 2 7 2 2" xfId="16033" xr:uid="{0A406102-DB42-46AF-9EE7-E3EAC3F76A3B}"/>
    <cellStyle name="Currency 5 2 2 2 2 7 3" xfId="11816" xr:uid="{A0B909BD-59BF-4B98-9661-0B4E8878E881}"/>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6F33C594-FDB8-40F8-8010-FB09BCFB81E5}"/>
    <cellStyle name="Currency 5 2 2 2 2 9 3" xfId="12133" xr:uid="{AB9EF7D0-9D1A-4D84-B33F-99732A7FBA6E}"/>
    <cellStyle name="Currency 5 2 2 2 3" xfId="199" xr:uid="{00000000-0005-0000-0000-00009B0B0000}"/>
    <cellStyle name="Currency 5 2 2 2 3 10" xfId="9016" xr:uid="{706F9706-E49D-4995-B402-A842C879DBC8}"/>
    <cellStyle name="Currency 5 2 2 2 3 11" xfId="9752" xr:uid="{FCE2F3CC-9D0E-4F5A-89DA-27A6384885EE}"/>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2FA1574B-F68A-44FC-B393-0040BFB11B1C}"/>
    <cellStyle name="Currency 5 2 2 2 3 2 2 3" xfId="12311" xr:uid="{09B487C1-60BB-4410-A575-BA000720AF82}"/>
    <cellStyle name="Currency 5 2 2 2 3 2 3" xfId="5057" xr:uid="{00000000-0005-0000-0000-00009F0B0000}"/>
    <cellStyle name="Currency 5 2 2 2 3 2 3 2" xfId="14383" xr:uid="{A2A9EC08-98A4-4EBB-9B33-EE54BCB24C19}"/>
    <cellStyle name="Currency 5 2 2 2 3 2 4" xfId="9441" xr:uid="{B7048274-E02F-4E6A-9C9A-FAD4299F19B1}"/>
    <cellStyle name="Currency 5 2 2 2 3 2 5" xfId="10166" xr:uid="{817525D3-8E7C-4A74-A87D-0697B2B0F525}"/>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D2D1CC3F-B281-4B69-A175-98C5C5B58033}"/>
    <cellStyle name="Currency 5 2 2 2 3 3 2 3" xfId="12724" xr:uid="{74669F1E-E79B-4FF4-ABAF-2AB685559021}"/>
    <cellStyle name="Currency 5 2 2 2 3 3 3" xfId="5470" xr:uid="{00000000-0005-0000-0000-0000A30B0000}"/>
    <cellStyle name="Currency 5 2 2 2 3 3 3 2" xfId="14796" xr:uid="{83974FE8-CFA8-40F3-8E2F-0934C96A6BA7}"/>
    <cellStyle name="Currency 5 2 2 2 3 3 4" xfId="10579" xr:uid="{4CF4767D-839D-4D5E-AE67-48779B32224E}"/>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614521F1-C1C0-45B9-B053-1D2AAB6ECDE8}"/>
    <cellStyle name="Currency 5 2 2 2 3 4 2 3" xfId="13137" xr:uid="{D09A916A-82AD-4933-8B61-B02DEE7D0106}"/>
    <cellStyle name="Currency 5 2 2 2 3 4 3" xfId="5883" xr:uid="{00000000-0005-0000-0000-0000A70B0000}"/>
    <cellStyle name="Currency 5 2 2 2 3 4 3 2" xfId="15209" xr:uid="{57099DAE-7901-43BE-B34A-586F4F68F99F}"/>
    <cellStyle name="Currency 5 2 2 2 3 4 4" xfId="10992" xr:uid="{3C5314B7-EFD8-4543-A793-706345219638}"/>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9FE67791-4DEC-4CF9-93B6-9D7A90E7B500}"/>
    <cellStyle name="Currency 5 2 2 2 3 5 2 3" xfId="13550" xr:uid="{C2FFAF79-84F5-4937-9281-56ECB4FD0805}"/>
    <cellStyle name="Currency 5 2 2 2 3 5 3" xfId="6296" xr:uid="{00000000-0005-0000-0000-0000AB0B0000}"/>
    <cellStyle name="Currency 5 2 2 2 3 5 3 2" xfId="15622" xr:uid="{661548ED-0FE8-44EB-8959-07E9EB0C951A}"/>
    <cellStyle name="Currency 5 2 2 2 3 5 4" xfId="11405" xr:uid="{5F64BBDF-FF4C-432E-BA36-438C1842C2B0}"/>
    <cellStyle name="Currency 5 2 2 2 3 6" xfId="2425" xr:uid="{00000000-0005-0000-0000-0000AC0B0000}"/>
    <cellStyle name="Currency 5 2 2 2 3 6 2" xfId="6709" xr:uid="{00000000-0005-0000-0000-0000AD0B0000}"/>
    <cellStyle name="Currency 5 2 2 2 3 6 2 2" xfId="16035" xr:uid="{F94B16EE-C206-47DD-B1C6-6A10070D8093}"/>
    <cellStyle name="Currency 5 2 2 2 3 6 3" xfId="11818" xr:uid="{2D14A337-8211-4F97-B5CD-0A721704DB94}"/>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4C49FF3E-F1DF-47A1-9F70-6D297B1476BC}"/>
    <cellStyle name="Currency 5 2 2 2 3 8 3" xfId="12135" xr:uid="{E7390FA8-013F-4C30-B0DA-F0EBC02238BA}"/>
    <cellStyle name="Currency 5 2 2 2 3 9" xfId="4643" xr:uid="{00000000-0005-0000-0000-0000B10B0000}"/>
    <cellStyle name="Currency 5 2 2 2 3 9 2" xfId="13969" xr:uid="{110D3BC8-617B-4050-B3E3-667B334C9D0C}"/>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C22AD3D1-D89E-4853-B817-0767023A80E3}"/>
    <cellStyle name="Currency 5 2 2 2 4 2 3" xfId="12308" xr:uid="{6EA6AA42-6544-4C04-A1FD-558774C7DB70}"/>
    <cellStyle name="Currency 5 2 2 2 4 3" xfId="5054" xr:uid="{00000000-0005-0000-0000-0000B50B0000}"/>
    <cellStyle name="Currency 5 2 2 2 4 3 2" xfId="14380" xr:uid="{AF52753B-4988-47AE-B20B-980FA54D3949}"/>
    <cellStyle name="Currency 5 2 2 2 4 4" xfId="9234" xr:uid="{AAF147FE-13D8-48BD-A722-062B96166D61}"/>
    <cellStyle name="Currency 5 2 2 2 4 5" xfId="10163" xr:uid="{87F66EB4-A639-4C7E-AE40-35B051278975}"/>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C67E5848-0656-4BA9-966A-90F9D497DC9E}"/>
    <cellStyle name="Currency 5 2 2 2 5 2 3" xfId="12721" xr:uid="{B589FA77-13F9-47B8-A8D8-E809AEA94B01}"/>
    <cellStyle name="Currency 5 2 2 2 5 3" xfId="5467" xr:uid="{00000000-0005-0000-0000-0000B90B0000}"/>
    <cellStyle name="Currency 5 2 2 2 5 3 2" xfId="14793" xr:uid="{D9D22A60-E597-4B68-A074-D048D202772C}"/>
    <cellStyle name="Currency 5 2 2 2 5 4" xfId="10576" xr:uid="{C116FB8F-91E8-48F2-BB81-20EF1EC57C6F}"/>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F572D991-A251-4997-813B-D4BE7DD9A946}"/>
    <cellStyle name="Currency 5 2 2 2 6 2 3" xfId="13134" xr:uid="{80F97B3E-3254-4348-AA8A-B66BD14843B7}"/>
    <cellStyle name="Currency 5 2 2 2 6 3" xfId="5880" xr:uid="{00000000-0005-0000-0000-0000BD0B0000}"/>
    <cellStyle name="Currency 5 2 2 2 6 3 2" xfId="15206" xr:uid="{CAADC7B6-781B-49B3-8CE5-FA1E191BC5F7}"/>
    <cellStyle name="Currency 5 2 2 2 6 4" xfId="10989" xr:uid="{1D69D690-6B15-4F8A-9804-EB983F9F312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F7F1F254-C13D-42EE-A03A-08D28FE62095}"/>
    <cellStyle name="Currency 5 2 2 2 7 2 3" xfId="13547" xr:uid="{30030657-833A-4D03-99D9-C87707B861CC}"/>
    <cellStyle name="Currency 5 2 2 2 7 3" xfId="6293" xr:uid="{00000000-0005-0000-0000-0000C10B0000}"/>
    <cellStyle name="Currency 5 2 2 2 7 3 2" xfId="15619" xr:uid="{63A02C1A-24C5-41CF-B442-B9E7B8890781}"/>
    <cellStyle name="Currency 5 2 2 2 7 4" xfId="11402" xr:uid="{38367EDB-02A0-40E8-86DE-3FECCD1C8114}"/>
    <cellStyle name="Currency 5 2 2 2 8" xfId="2422" xr:uid="{00000000-0005-0000-0000-0000C20B0000}"/>
    <cellStyle name="Currency 5 2 2 2 8 2" xfId="6706" xr:uid="{00000000-0005-0000-0000-0000C30B0000}"/>
    <cellStyle name="Currency 5 2 2 2 8 2 2" xfId="16032" xr:uid="{A2FCE387-6F30-428F-81A9-63BD016EE8DC}"/>
    <cellStyle name="Currency 5 2 2 2 8 3" xfId="11815" xr:uid="{15DBFDB7-8F28-43F2-BFC3-2F726D3B5613}"/>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BFD98E81-ED72-4500-BB31-E30A6B1097B6}"/>
    <cellStyle name="Currency 5 2 2 3 11" xfId="8890" xr:uid="{F313D4EC-7666-4BAA-9452-39176957C213}"/>
    <cellStyle name="Currency 5 2 2 3 12" xfId="9753" xr:uid="{450F637F-1D0B-4EFE-84B7-4D16BB0A8B05}"/>
    <cellStyle name="Currency 5 2 2 3 2" xfId="201" xr:uid="{00000000-0005-0000-0000-0000C70B0000}"/>
    <cellStyle name="Currency 5 2 2 3 2 10" xfId="9097" xr:uid="{74199D2F-F17A-42DD-AC8B-D958FBFFCA8B}"/>
    <cellStyle name="Currency 5 2 2 3 2 11" xfId="9754" xr:uid="{9871F8C3-F063-426B-891F-CF6F6303CA4A}"/>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2D7D977C-6C94-404E-9ABA-18AF90C59A8A}"/>
    <cellStyle name="Currency 5 2 2 3 2 2 2 3" xfId="12313" xr:uid="{CDB16459-34FD-4B44-A1E3-B3905877CC2A}"/>
    <cellStyle name="Currency 5 2 2 3 2 2 3" xfId="5059" xr:uid="{00000000-0005-0000-0000-0000CB0B0000}"/>
    <cellStyle name="Currency 5 2 2 3 2 2 3 2" xfId="14385" xr:uid="{30AA8F70-A10F-4447-A1CA-86CA129E5950}"/>
    <cellStyle name="Currency 5 2 2 3 2 2 4" xfId="9522" xr:uid="{58EAFCD4-DA5B-47CB-A637-29DA003AA3FD}"/>
    <cellStyle name="Currency 5 2 2 3 2 2 5" xfId="10168" xr:uid="{C15E98AB-4C9F-4DD9-A7FC-0A09E2CD97D6}"/>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2B8B1038-B440-4893-8798-FB2783F87B30}"/>
    <cellStyle name="Currency 5 2 2 3 2 3 2 3" xfId="12726" xr:uid="{FB514C03-154E-42A5-8756-7B70DC50065D}"/>
    <cellStyle name="Currency 5 2 2 3 2 3 3" xfId="5472" xr:uid="{00000000-0005-0000-0000-0000CF0B0000}"/>
    <cellStyle name="Currency 5 2 2 3 2 3 3 2" xfId="14798" xr:uid="{5106B3B4-E6E7-44D8-BCC6-6AE324936F29}"/>
    <cellStyle name="Currency 5 2 2 3 2 3 4" xfId="10581" xr:uid="{89BDA6E6-8132-4786-9007-ABDBB2F33208}"/>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DD2F429C-464C-4246-B9BC-B8BC854F8221}"/>
    <cellStyle name="Currency 5 2 2 3 2 4 2 3" xfId="13139" xr:uid="{BF9FC309-3CED-46F7-800F-7331AB749EB3}"/>
    <cellStyle name="Currency 5 2 2 3 2 4 3" xfId="5885" xr:uid="{00000000-0005-0000-0000-0000D30B0000}"/>
    <cellStyle name="Currency 5 2 2 3 2 4 3 2" xfId="15211" xr:uid="{8B4304E9-6585-43F5-B3DA-C950BE6EBF76}"/>
    <cellStyle name="Currency 5 2 2 3 2 4 4" xfId="10994" xr:uid="{73B10F61-98FE-41F3-83F5-3BDB28AB6D39}"/>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BAA47A9C-F8B4-4974-BD58-822ED82FABCF}"/>
    <cellStyle name="Currency 5 2 2 3 2 5 2 3" xfId="13552" xr:uid="{DB2FA800-3C49-4BB3-A3DE-48D42E90B7AE}"/>
    <cellStyle name="Currency 5 2 2 3 2 5 3" xfId="6298" xr:uid="{00000000-0005-0000-0000-0000D70B0000}"/>
    <cellStyle name="Currency 5 2 2 3 2 5 3 2" xfId="15624" xr:uid="{514EABEC-E3D7-4363-BCAA-AE8F6E37A9F4}"/>
    <cellStyle name="Currency 5 2 2 3 2 5 4" xfId="11407" xr:uid="{0F9C966A-93D6-48AF-A50D-706457EFF48C}"/>
    <cellStyle name="Currency 5 2 2 3 2 6" xfId="2427" xr:uid="{00000000-0005-0000-0000-0000D80B0000}"/>
    <cellStyle name="Currency 5 2 2 3 2 6 2" xfId="6711" xr:uid="{00000000-0005-0000-0000-0000D90B0000}"/>
    <cellStyle name="Currency 5 2 2 3 2 6 2 2" xfId="16037" xr:uid="{62A48CC0-354D-4D8E-AC61-2CC0CC606514}"/>
    <cellStyle name="Currency 5 2 2 3 2 6 3" xfId="11820" xr:uid="{E61882FD-DE3F-47E3-B863-FF7A256620AF}"/>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CE6EA019-C74D-49BB-B1E6-4A7DFD1091E5}"/>
    <cellStyle name="Currency 5 2 2 3 2 8 3" xfId="12137" xr:uid="{C432D2D1-51BD-43D9-A9EC-57E592383B59}"/>
    <cellStyle name="Currency 5 2 2 3 2 9" xfId="4645" xr:uid="{00000000-0005-0000-0000-0000DD0B0000}"/>
    <cellStyle name="Currency 5 2 2 3 2 9 2" xfId="13971" xr:uid="{5BC27340-1C49-46B7-A62F-0298CCD85D85}"/>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477D2F67-7CC0-4F2C-BD7C-B9B4569F737E}"/>
    <cellStyle name="Currency 5 2 2 3 3 2 3" xfId="12312" xr:uid="{5F2E5767-7BFB-403D-97D9-9923999A35FF}"/>
    <cellStyle name="Currency 5 2 2 3 3 3" xfId="5058" xr:uid="{00000000-0005-0000-0000-0000E10B0000}"/>
    <cellStyle name="Currency 5 2 2 3 3 3 2" xfId="14384" xr:uid="{2C4F4285-9E18-4C64-88F8-0FE1BD1B01C4}"/>
    <cellStyle name="Currency 5 2 2 3 3 4" xfId="9315" xr:uid="{A76EC348-1CDB-41C1-B9B8-9215FF30C619}"/>
    <cellStyle name="Currency 5 2 2 3 3 5" xfId="10167" xr:uid="{46C7127D-4B4F-4E14-A7BB-BA09FCE773C3}"/>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A734ABD0-206F-49F8-9930-5CA69E79E316}"/>
    <cellStyle name="Currency 5 2 2 3 4 2 3" xfId="12725" xr:uid="{00070B1E-7379-4FD1-BE27-3B1A4A49857B}"/>
    <cellStyle name="Currency 5 2 2 3 4 3" xfId="5471" xr:uid="{00000000-0005-0000-0000-0000E50B0000}"/>
    <cellStyle name="Currency 5 2 2 3 4 3 2" xfId="14797" xr:uid="{6284D14F-74D8-4EE5-B08F-C353AE4B3B71}"/>
    <cellStyle name="Currency 5 2 2 3 4 4" xfId="10580" xr:uid="{F6EA9549-F17F-42E7-98F7-1B381979185A}"/>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EE0296D4-AE07-42BE-8C38-74D543BC5817}"/>
    <cellStyle name="Currency 5 2 2 3 5 2 3" xfId="13138" xr:uid="{BA78746B-7F29-4C54-BD7F-1050D6E25F3D}"/>
    <cellStyle name="Currency 5 2 2 3 5 3" xfId="5884" xr:uid="{00000000-0005-0000-0000-0000E90B0000}"/>
    <cellStyle name="Currency 5 2 2 3 5 3 2" xfId="15210" xr:uid="{F23661D1-70DA-421D-8C9F-580C80524D34}"/>
    <cellStyle name="Currency 5 2 2 3 5 4" xfId="10993" xr:uid="{EB069CF5-F5C9-4DA4-B62D-22105AE1E3EE}"/>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549CF908-6656-4631-9C80-0AB9F971DD16}"/>
    <cellStyle name="Currency 5 2 2 3 6 2 3" xfId="13551" xr:uid="{FCED5EEF-5A9B-4A6A-842B-A4BF7AC97C7B}"/>
    <cellStyle name="Currency 5 2 2 3 6 3" xfId="6297" xr:uid="{00000000-0005-0000-0000-0000ED0B0000}"/>
    <cellStyle name="Currency 5 2 2 3 6 3 2" xfId="15623" xr:uid="{555840B9-AED9-4844-96FF-B5751CFE13F4}"/>
    <cellStyle name="Currency 5 2 2 3 6 4" xfId="11406" xr:uid="{EF491245-1682-45B0-82B5-D27B771A648D}"/>
    <cellStyle name="Currency 5 2 2 3 7" xfId="2426" xr:uid="{00000000-0005-0000-0000-0000EE0B0000}"/>
    <cellStyle name="Currency 5 2 2 3 7 2" xfId="6710" xr:uid="{00000000-0005-0000-0000-0000EF0B0000}"/>
    <cellStyle name="Currency 5 2 2 3 7 2 2" xfId="16036" xr:uid="{4EDB9A94-ADF3-4791-8DDA-4CEA81B94E5C}"/>
    <cellStyle name="Currency 5 2 2 3 7 3" xfId="11819" xr:uid="{E42D1A5C-E0FA-4354-9C85-2BA6F1489FD7}"/>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DF5C62A4-20BF-404D-876C-8805806019B0}"/>
    <cellStyle name="Currency 5 2 2 3 9 3" xfId="12136" xr:uid="{E43E7A6D-2FAC-4454-9F8B-191D65FF8002}"/>
    <cellStyle name="Currency 5 2 2 4" xfId="202" xr:uid="{00000000-0005-0000-0000-0000F30B0000}"/>
    <cellStyle name="Currency 5 2 2 4 10" xfId="8994" xr:uid="{484CCE7A-1288-4C7F-ABD6-C45948DC4EC0}"/>
    <cellStyle name="Currency 5 2 2 4 11" xfId="9755" xr:uid="{257F6D00-F4C0-476E-B098-354A08BD757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A83963FA-9F72-4363-B222-577D99AB5979}"/>
    <cellStyle name="Currency 5 2 2 4 2 2 3" xfId="12314" xr:uid="{726F80B5-C6CE-421C-B962-8806738011FC}"/>
    <cellStyle name="Currency 5 2 2 4 2 3" xfId="5060" xr:uid="{00000000-0005-0000-0000-0000F70B0000}"/>
    <cellStyle name="Currency 5 2 2 4 2 3 2" xfId="14386" xr:uid="{78574CB0-360D-439A-BD03-D01FF9D4195F}"/>
    <cellStyle name="Currency 5 2 2 4 2 4" xfId="9419" xr:uid="{F03E4D2E-3BA9-4D5B-9C35-959DB128CBAE}"/>
    <cellStyle name="Currency 5 2 2 4 2 5" xfId="10169" xr:uid="{2F3D0B8F-6A68-4FC6-BD9D-1F82BE4750B5}"/>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1858FB94-8277-4DFA-80CA-E6D30717D721}"/>
    <cellStyle name="Currency 5 2 2 4 3 2 3" xfId="12727" xr:uid="{7EDEF9AA-28EB-4175-9C4F-53F741880878}"/>
    <cellStyle name="Currency 5 2 2 4 3 3" xfId="5473" xr:uid="{00000000-0005-0000-0000-0000FB0B0000}"/>
    <cellStyle name="Currency 5 2 2 4 3 3 2" xfId="14799" xr:uid="{78574BE8-335F-4CC4-A40E-36F6A86A066B}"/>
    <cellStyle name="Currency 5 2 2 4 3 4" xfId="10582" xr:uid="{0232003E-DF06-45F1-9F37-76E27CDF13E3}"/>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1FFFE831-C5D2-4AEF-A7E4-B8A1989675D0}"/>
    <cellStyle name="Currency 5 2 2 4 4 2 3" xfId="13140" xr:uid="{52992539-90D0-4128-921A-6DEACD15D5C4}"/>
    <cellStyle name="Currency 5 2 2 4 4 3" xfId="5886" xr:uid="{00000000-0005-0000-0000-0000FF0B0000}"/>
    <cellStyle name="Currency 5 2 2 4 4 3 2" xfId="15212" xr:uid="{13BD23B4-5889-47CD-9A2E-DB4A33DE902C}"/>
    <cellStyle name="Currency 5 2 2 4 4 4" xfId="10995" xr:uid="{F3C7278A-7D15-4046-BDF7-17D63795FF31}"/>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601A33DF-2A5F-453E-9F34-ADD0382B1384}"/>
    <cellStyle name="Currency 5 2 2 4 5 2 3" xfId="13553" xr:uid="{1DF8D501-CD8F-406D-8330-18BB64815FAB}"/>
    <cellStyle name="Currency 5 2 2 4 5 3" xfId="6299" xr:uid="{00000000-0005-0000-0000-0000030C0000}"/>
    <cellStyle name="Currency 5 2 2 4 5 3 2" xfId="15625" xr:uid="{48BEFB08-8CE3-4764-A140-9A750D30C1A9}"/>
    <cellStyle name="Currency 5 2 2 4 5 4" xfId="11408" xr:uid="{676BC5D3-13C7-4A3A-B548-993C1A39A111}"/>
    <cellStyle name="Currency 5 2 2 4 6" xfId="2428" xr:uid="{00000000-0005-0000-0000-0000040C0000}"/>
    <cellStyle name="Currency 5 2 2 4 6 2" xfId="6712" xr:uid="{00000000-0005-0000-0000-0000050C0000}"/>
    <cellStyle name="Currency 5 2 2 4 6 2 2" xfId="16038" xr:uid="{97C9B23E-5E32-498C-ADF0-CF5E5A62C437}"/>
    <cellStyle name="Currency 5 2 2 4 6 3" xfId="11821" xr:uid="{DE120E69-F0B0-453F-A147-7D1A82602BB8}"/>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23DFE37F-8EF4-4D1C-BBED-7AA430AB59D6}"/>
    <cellStyle name="Currency 5 2 2 4 8 3" xfId="12138" xr:uid="{B11AAC57-3872-453C-B873-86F9F75E7894}"/>
    <cellStyle name="Currency 5 2 2 4 9" xfId="4646" xr:uid="{00000000-0005-0000-0000-0000090C0000}"/>
    <cellStyle name="Currency 5 2 2 4 9 2" xfId="13972" xr:uid="{9E8FD881-27EE-4BBB-A80D-DEE5BAC7B7EF}"/>
    <cellStyle name="Currency 5 2 2 5" xfId="203" xr:uid="{00000000-0005-0000-0000-00000A0C0000}"/>
    <cellStyle name="Currency 5 2 2 5 10" xfId="9211" xr:uid="{586E1D8D-A72F-44A2-BAB5-A0BAD4827F6D}"/>
    <cellStyle name="Currency 5 2 2 5 11" xfId="9756" xr:uid="{48044660-D817-4D97-9F98-6B817A0C48DC}"/>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7D089181-D32C-4EE5-8587-B61785C79CF3}"/>
    <cellStyle name="Currency 5 2 2 5 2 2 3" xfId="12315" xr:uid="{78BAFD56-7125-4904-9EA4-C76947B4106D}"/>
    <cellStyle name="Currency 5 2 2 5 2 3" xfId="5061" xr:uid="{00000000-0005-0000-0000-00000E0C0000}"/>
    <cellStyle name="Currency 5 2 2 5 2 3 2" xfId="14387" xr:uid="{B72859CC-96C3-44AA-9C13-9241BB9D1315}"/>
    <cellStyle name="Currency 5 2 2 5 2 4" xfId="9598" xr:uid="{EBD3270B-608E-49E1-8A20-C5ADF81FBC1B}"/>
    <cellStyle name="Currency 5 2 2 5 2 5" xfId="10170" xr:uid="{959A46DF-6EB4-4111-8F66-052E91BE2F76}"/>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85796E47-1ECE-4AB6-A4AB-5FEDDF108694}"/>
    <cellStyle name="Currency 5 2 2 5 3 2 3" xfId="12728" xr:uid="{BB9CC792-AE27-42BA-9EE1-E4F002385E94}"/>
    <cellStyle name="Currency 5 2 2 5 3 3" xfId="5474" xr:uid="{00000000-0005-0000-0000-0000120C0000}"/>
    <cellStyle name="Currency 5 2 2 5 3 3 2" xfId="14800" xr:uid="{DD299847-4DA8-4202-87DF-0B52BB085C9B}"/>
    <cellStyle name="Currency 5 2 2 5 3 4" xfId="10583" xr:uid="{7B1927A3-372B-441E-8E23-C377A3386124}"/>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CE0EFDCE-1611-4BED-ADA4-35D09434C1E7}"/>
    <cellStyle name="Currency 5 2 2 5 4 2 3" xfId="13141" xr:uid="{F148A6C1-B5A3-4929-8CD4-CC901A0C71A9}"/>
    <cellStyle name="Currency 5 2 2 5 4 3" xfId="5887" xr:uid="{00000000-0005-0000-0000-0000160C0000}"/>
    <cellStyle name="Currency 5 2 2 5 4 3 2" xfId="15213" xr:uid="{B367FB40-D075-41E8-B4BE-AF22D2C51A17}"/>
    <cellStyle name="Currency 5 2 2 5 4 4" xfId="10996" xr:uid="{CD4FA78C-7C0D-4B4E-BD71-58A0A7CDA87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A8EED224-B1B4-48E7-8916-601F19EDEC20}"/>
    <cellStyle name="Currency 5 2 2 5 5 2 3" xfId="13554" xr:uid="{64C4B8F1-6906-4F9E-A9A9-82DD2665757B}"/>
    <cellStyle name="Currency 5 2 2 5 5 3" xfId="6300" xr:uid="{00000000-0005-0000-0000-00001A0C0000}"/>
    <cellStyle name="Currency 5 2 2 5 5 3 2" xfId="15626" xr:uid="{22CFA179-B324-45A7-B1CF-762DEA885850}"/>
    <cellStyle name="Currency 5 2 2 5 5 4" xfId="11409" xr:uid="{42D46A5A-931D-4854-8A7A-75DBB2710DB9}"/>
    <cellStyle name="Currency 5 2 2 5 6" xfId="2429" xr:uid="{00000000-0005-0000-0000-00001B0C0000}"/>
    <cellStyle name="Currency 5 2 2 5 6 2" xfId="6713" xr:uid="{00000000-0005-0000-0000-00001C0C0000}"/>
    <cellStyle name="Currency 5 2 2 5 6 2 2" xfId="16039" xr:uid="{874AB411-4302-48DD-97B4-5610A49BA889}"/>
    <cellStyle name="Currency 5 2 2 5 6 3" xfId="11822" xr:uid="{A751C598-F442-41DA-AD55-1EB7E9B9B2F2}"/>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08B0ED24-DB71-405B-9BA6-C52AF007DAD1}"/>
    <cellStyle name="Currency 5 2 2 5 8 3" xfId="12139" xr:uid="{D4EBFBD4-29DA-4419-BA66-4DE8CA90B11C}"/>
    <cellStyle name="Currency 5 2 2 5 9" xfId="4647" xr:uid="{00000000-0005-0000-0000-0000200C0000}"/>
    <cellStyle name="Currency 5 2 2 5 9 2" xfId="13973" xr:uid="{2467293A-B842-45ED-8CB4-E5F39DABAA7A}"/>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EABC694A-4D2B-4886-8978-F629FE51C035}"/>
    <cellStyle name="Currency 5 2 4 11" xfId="8859" xr:uid="{D3A5F8AD-5F4E-4BEA-A9B4-9A705A015524}"/>
    <cellStyle name="Currency 5 2 4 12" xfId="9757" xr:uid="{D9F307D7-97C3-48DC-9BC9-69F10A3898C7}"/>
    <cellStyle name="Currency 5 2 4 2" xfId="206" xr:uid="{00000000-0005-0000-0000-0000250C0000}"/>
    <cellStyle name="Currency 5 2 4 2 10" xfId="9066" xr:uid="{2F7A28AF-2120-4AAF-A58B-33C2E07F597D}"/>
    <cellStyle name="Currency 5 2 4 2 11" xfId="9758" xr:uid="{50DE9F46-A8C6-436E-9C82-D558865C924C}"/>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A5DB32E2-DE5D-43F7-AC46-1F1BAA355ED4}"/>
    <cellStyle name="Currency 5 2 4 2 2 2 3" xfId="12317" xr:uid="{ED5308A6-F526-45D6-A0EE-4D42F28836D8}"/>
    <cellStyle name="Currency 5 2 4 2 2 3" xfId="5063" xr:uid="{00000000-0005-0000-0000-0000290C0000}"/>
    <cellStyle name="Currency 5 2 4 2 2 3 2" xfId="14389" xr:uid="{A959A09A-CB67-48B1-AAD8-31C0901A03E9}"/>
    <cellStyle name="Currency 5 2 4 2 2 4" xfId="9491" xr:uid="{64B868C7-9024-4970-9E74-7DF82417BD7A}"/>
    <cellStyle name="Currency 5 2 4 2 2 5" xfId="10172" xr:uid="{2AC6D6A5-FD07-4792-B243-7CEE85FA853C}"/>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A30B6456-D54A-4DBB-9CB5-9D5F6F08FE7C}"/>
    <cellStyle name="Currency 5 2 4 2 3 2 3" xfId="12730" xr:uid="{130DAE18-102F-4C3F-B203-B7C478543858}"/>
    <cellStyle name="Currency 5 2 4 2 3 3" xfId="5476" xr:uid="{00000000-0005-0000-0000-00002D0C0000}"/>
    <cellStyle name="Currency 5 2 4 2 3 3 2" xfId="14802" xr:uid="{54D3607E-3E01-4356-911A-BC68F2C86719}"/>
    <cellStyle name="Currency 5 2 4 2 3 4" xfId="10585" xr:uid="{F54A2814-616A-4525-A8F8-779C3427A0D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A713A07C-FF1E-44AD-BC23-4211EBAC985B}"/>
    <cellStyle name="Currency 5 2 4 2 4 2 3" xfId="13143" xr:uid="{124E6E2B-2A8D-431E-946B-A9CC43708F94}"/>
    <cellStyle name="Currency 5 2 4 2 4 3" xfId="5889" xr:uid="{00000000-0005-0000-0000-0000310C0000}"/>
    <cellStyle name="Currency 5 2 4 2 4 3 2" xfId="15215" xr:uid="{2D25FA41-AE8D-4420-8A5B-9C7FAA2D5516}"/>
    <cellStyle name="Currency 5 2 4 2 4 4" xfId="10998" xr:uid="{ABB5403C-3523-4151-A64F-3C1229655A93}"/>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F07D1B85-24EC-414F-A379-5D55B2608567}"/>
    <cellStyle name="Currency 5 2 4 2 5 2 3" xfId="13556" xr:uid="{E6DAC417-B439-465C-8EA4-915B696C5473}"/>
    <cellStyle name="Currency 5 2 4 2 5 3" xfId="6302" xr:uid="{00000000-0005-0000-0000-0000350C0000}"/>
    <cellStyle name="Currency 5 2 4 2 5 3 2" xfId="15628" xr:uid="{AC53203B-8C05-4C1E-83C4-8C1E6B5EB60A}"/>
    <cellStyle name="Currency 5 2 4 2 5 4" xfId="11411" xr:uid="{6F65DDFD-B41C-4425-8F45-8F036DC466F9}"/>
    <cellStyle name="Currency 5 2 4 2 6" xfId="2431" xr:uid="{00000000-0005-0000-0000-0000360C0000}"/>
    <cellStyle name="Currency 5 2 4 2 6 2" xfId="6715" xr:uid="{00000000-0005-0000-0000-0000370C0000}"/>
    <cellStyle name="Currency 5 2 4 2 6 2 2" xfId="16041" xr:uid="{AC9B975A-19BF-4091-B52D-389D6BD8E4D0}"/>
    <cellStyle name="Currency 5 2 4 2 6 3" xfId="11824" xr:uid="{14AD5BC1-B882-449C-8924-DA736862FE8D}"/>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1384F1CE-E7DE-4E54-AE94-02B41B2CF244}"/>
    <cellStyle name="Currency 5 2 4 2 8 3" xfId="12141" xr:uid="{DE114D6F-6600-41E0-AF84-88D9D33B16A6}"/>
    <cellStyle name="Currency 5 2 4 2 9" xfId="4649" xr:uid="{00000000-0005-0000-0000-00003B0C0000}"/>
    <cellStyle name="Currency 5 2 4 2 9 2" xfId="13975" xr:uid="{27D67F1D-3EA5-4E36-9F8E-01664BB56A0D}"/>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03CFEEF1-CBAD-4DB5-BA8B-7DA3B970DA77}"/>
    <cellStyle name="Currency 5 2 4 3 2 3" xfId="12316" xr:uid="{CA53C88C-ECF6-4975-BEC9-0884F8E52B4F}"/>
    <cellStyle name="Currency 5 2 4 3 3" xfId="5062" xr:uid="{00000000-0005-0000-0000-00003F0C0000}"/>
    <cellStyle name="Currency 5 2 4 3 3 2" xfId="14388" xr:uid="{0E8737E8-6BB9-4628-985D-F2E45B7ED739}"/>
    <cellStyle name="Currency 5 2 4 3 4" xfId="9284" xr:uid="{1D0B72AC-AFAC-428F-8BF0-6DFF9565613D}"/>
    <cellStyle name="Currency 5 2 4 3 5" xfId="10171" xr:uid="{44A48587-9FFB-4F1F-A7EA-4C4AB3BE9005}"/>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51666033-C83C-4ADD-AD78-46871DEFD317}"/>
    <cellStyle name="Currency 5 2 4 4 2 3" xfId="12729" xr:uid="{E089EC24-B47D-4437-85C9-C0F23232A25F}"/>
    <cellStyle name="Currency 5 2 4 4 3" xfId="5475" xr:uid="{00000000-0005-0000-0000-0000430C0000}"/>
    <cellStyle name="Currency 5 2 4 4 3 2" xfId="14801" xr:uid="{6F918E11-2336-449A-BD95-8CF3CB073137}"/>
    <cellStyle name="Currency 5 2 4 4 4" xfId="10584" xr:uid="{25A5F6DE-6E8C-4DA2-AC86-75F0E82A729E}"/>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81B15572-00D4-4EB1-B601-166792E07445}"/>
    <cellStyle name="Currency 5 2 4 5 2 3" xfId="13142" xr:uid="{605A4BE5-AC3D-4731-A062-5F39C685E496}"/>
    <cellStyle name="Currency 5 2 4 5 3" xfId="5888" xr:uid="{00000000-0005-0000-0000-0000470C0000}"/>
    <cellStyle name="Currency 5 2 4 5 3 2" xfId="15214" xr:uid="{1EAE641B-D048-4CC4-9DA3-C63B76F3EC68}"/>
    <cellStyle name="Currency 5 2 4 5 4" xfId="10997" xr:uid="{6DB8BBE6-9EB6-4910-97C3-F35EEDFD1CE5}"/>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33D83FE8-69DA-4EA6-80D8-640D15BBA435}"/>
    <cellStyle name="Currency 5 2 4 6 2 3" xfId="13555" xr:uid="{723743F0-F235-4087-B4BB-F3C82D783316}"/>
    <cellStyle name="Currency 5 2 4 6 3" xfId="6301" xr:uid="{00000000-0005-0000-0000-00004B0C0000}"/>
    <cellStyle name="Currency 5 2 4 6 3 2" xfId="15627" xr:uid="{3F588233-6792-4FEB-B4AF-B7621CA0983D}"/>
    <cellStyle name="Currency 5 2 4 6 4" xfId="11410" xr:uid="{6A7DFF54-2D6C-49A6-8430-18820D964989}"/>
    <cellStyle name="Currency 5 2 4 7" xfId="2430" xr:uid="{00000000-0005-0000-0000-00004C0C0000}"/>
    <cellStyle name="Currency 5 2 4 7 2" xfId="6714" xr:uid="{00000000-0005-0000-0000-00004D0C0000}"/>
    <cellStyle name="Currency 5 2 4 7 2 2" xfId="16040" xr:uid="{D1CE24A7-0E6A-48DF-88A9-2FD680FD4D74}"/>
    <cellStyle name="Currency 5 2 4 7 3" xfId="11823" xr:uid="{65271EAD-704E-4E09-B8AB-9A51C9C6C64A}"/>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0C9562D0-5338-41EE-AAEC-0E8AFED2F47E}"/>
    <cellStyle name="Currency 5 2 4 9 3" xfId="12140" xr:uid="{616313D9-4FE2-4931-B054-4E9E98D75B18}"/>
    <cellStyle name="Currency 5 2 5" xfId="207" xr:uid="{00000000-0005-0000-0000-0000510C0000}"/>
    <cellStyle name="Currency 5 2 5 10" xfId="8975" xr:uid="{3422EC31-C47F-46E0-A50C-FE05B1979387}"/>
    <cellStyle name="Currency 5 2 5 11" xfId="9759" xr:uid="{672F825B-654B-4C38-A236-E78EB0793D4C}"/>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592EBFC1-5797-4ADB-9F73-1BD986D73480}"/>
    <cellStyle name="Currency 5 2 5 2 2 3" xfId="12318" xr:uid="{60679FCB-D1BD-48A7-A91D-6BD9AA019995}"/>
    <cellStyle name="Currency 5 2 5 2 3" xfId="5064" xr:uid="{00000000-0005-0000-0000-0000550C0000}"/>
    <cellStyle name="Currency 5 2 5 2 3 2" xfId="14390" xr:uid="{C74317F1-B29A-4B2E-B7ED-A25FECDB932A}"/>
    <cellStyle name="Currency 5 2 5 2 4" xfId="9400" xr:uid="{6620DDCD-05C0-4AFD-8A83-F1190101CCB3}"/>
    <cellStyle name="Currency 5 2 5 2 5" xfId="10173" xr:uid="{94DDA0C6-05DF-4E63-AAA8-9036141E889F}"/>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BDCBB5F0-880D-467D-9873-5F0E6A7BFBE7}"/>
    <cellStyle name="Currency 5 2 5 3 2 3" xfId="12731" xr:uid="{AE6A5934-EE99-45F9-B6B5-C234778FC67D}"/>
    <cellStyle name="Currency 5 2 5 3 3" xfId="5477" xr:uid="{00000000-0005-0000-0000-0000590C0000}"/>
    <cellStyle name="Currency 5 2 5 3 3 2" xfId="14803" xr:uid="{95999B5C-7166-4EB3-B635-8CF9D4F4D0A7}"/>
    <cellStyle name="Currency 5 2 5 3 4" xfId="10586" xr:uid="{CDA589C5-C401-4C01-9034-00826ABB68F3}"/>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94EE9412-7927-4F55-A584-C62A9F6016FF}"/>
    <cellStyle name="Currency 5 2 5 4 2 3" xfId="13144" xr:uid="{7A74DF58-A365-4BC8-A48D-BF518AFC3983}"/>
    <cellStyle name="Currency 5 2 5 4 3" xfId="5890" xr:uid="{00000000-0005-0000-0000-00005D0C0000}"/>
    <cellStyle name="Currency 5 2 5 4 3 2" xfId="15216" xr:uid="{AD2CA2E2-3B7A-4A9B-96C6-3A1E9B4E86B8}"/>
    <cellStyle name="Currency 5 2 5 4 4" xfId="10999" xr:uid="{323F4383-D407-408E-87AC-7552B1C19304}"/>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2AB44F55-4538-496D-B258-F70B56A2C64D}"/>
    <cellStyle name="Currency 5 2 5 5 2 3" xfId="13557" xr:uid="{D9090157-6CA2-4773-A240-60C92EF7E1A4}"/>
    <cellStyle name="Currency 5 2 5 5 3" xfId="6303" xr:uid="{00000000-0005-0000-0000-0000610C0000}"/>
    <cellStyle name="Currency 5 2 5 5 3 2" xfId="15629" xr:uid="{B03B8031-F39F-4A78-9B56-F8FA8B8CE71E}"/>
    <cellStyle name="Currency 5 2 5 5 4" xfId="11412" xr:uid="{2C0C55E4-21FA-4458-A1E8-05840029C69F}"/>
    <cellStyle name="Currency 5 2 5 6" xfId="2432" xr:uid="{00000000-0005-0000-0000-0000620C0000}"/>
    <cellStyle name="Currency 5 2 5 6 2" xfId="6716" xr:uid="{00000000-0005-0000-0000-0000630C0000}"/>
    <cellStyle name="Currency 5 2 5 6 2 2" xfId="16042" xr:uid="{092A467C-2286-463D-8E98-AE76141D6A5B}"/>
    <cellStyle name="Currency 5 2 5 6 3" xfId="11825" xr:uid="{1920EFA0-E122-4240-A077-5935E9433F1F}"/>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28F64CBE-512A-48EF-8EAE-2FFC3513BC9D}"/>
    <cellStyle name="Currency 5 2 5 8 3" xfId="12142" xr:uid="{1A304456-6603-4997-A3E6-A776D751794A}"/>
    <cellStyle name="Currency 5 2 5 9" xfId="4650" xr:uid="{00000000-0005-0000-0000-0000670C0000}"/>
    <cellStyle name="Currency 5 2 5 9 2" xfId="13976" xr:uid="{17E51B49-038F-45E9-8960-06C213D1B60C}"/>
    <cellStyle name="Currency 5 2 6" xfId="208" xr:uid="{00000000-0005-0000-0000-0000680C0000}"/>
    <cellStyle name="Currency 5 2 6 10" xfId="9178" xr:uid="{19F6D70E-88E4-4E39-A1A9-3FF3D840E2F9}"/>
    <cellStyle name="Currency 5 2 6 11" xfId="9760" xr:uid="{30216C80-A0F7-4D7C-8DA2-ABC7B0967447}"/>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717DD0E7-74E4-4FE1-A995-F6FF5DFD577B}"/>
    <cellStyle name="Currency 5 2 6 2 2 3" xfId="12319" xr:uid="{120EE5F2-0E5D-44D3-B5B7-E4C7016497B2}"/>
    <cellStyle name="Currency 5 2 6 2 3" xfId="5065" xr:uid="{00000000-0005-0000-0000-00006C0C0000}"/>
    <cellStyle name="Currency 5 2 6 2 3 2" xfId="14391" xr:uid="{C26A8683-F688-419A-8FAB-5E9BD11F7175}"/>
    <cellStyle name="Currency 5 2 6 2 4" xfId="9599" xr:uid="{C2EE182C-D73D-4E6C-9671-0484CB4E8D68}"/>
    <cellStyle name="Currency 5 2 6 2 5" xfId="10174" xr:uid="{591A5F33-3562-4653-8FC0-608B9C3B4EA7}"/>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9BF9D666-588F-494B-BEAC-8204AB21C18D}"/>
    <cellStyle name="Currency 5 2 6 3 2 3" xfId="12732" xr:uid="{9314165F-261A-40C4-AF8F-F6107AFDA5F2}"/>
    <cellStyle name="Currency 5 2 6 3 3" xfId="5478" xr:uid="{00000000-0005-0000-0000-0000700C0000}"/>
    <cellStyle name="Currency 5 2 6 3 3 2" xfId="14804" xr:uid="{6B98DD7C-36FD-4F98-B515-7FC65E3A87D6}"/>
    <cellStyle name="Currency 5 2 6 3 4" xfId="10587" xr:uid="{16E62E46-7EA7-42E5-8E3B-154CF6F111FD}"/>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255B122B-C762-4220-9EB2-5D438FB312B0}"/>
    <cellStyle name="Currency 5 2 6 4 2 3" xfId="13145" xr:uid="{8C989677-64F3-4B55-981B-362414D64F10}"/>
    <cellStyle name="Currency 5 2 6 4 3" xfId="5891" xr:uid="{00000000-0005-0000-0000-0000740C0000}"/>
    <cellStyle name="Currency 5 2 6 4 3 2" xfId="15217" xr:uid="{3ACE9FA4-F2D7-47E3-9A1E-711E728EAE49}"/>
    <cellStyle name="Currency 5 2 6 4 4" xfId="11000" xr:uid="{BD5DC964-3186-440C-AC6F-BD9FF5FCDD40}"/>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92CAA6EC-E4FA-499C-A067-C9A3C47C4D7A}"/>
    <cellStyle name="Currency 5 2 6 5 2 3" xfId="13558" xr:uid="{1EACA8DD-CCF8-446C-9C0F-9B1E86AD60A8}"/>
    <cellStyle name="Currency 5 2 6 5 3" xfId="6304" xr:uid="{00000000-0005-0000-0000-0000780C0000}"/>
    <cellStyle name="Currency 5 2 6 5 3 2" xfId="15630" xr:uid="{2E12432F-5723-4526-A5AA-707B02A2791C}"/>
    <cellStyle name="Currency 5 2 6 5 4" xfId="11413" xr:uid="{951CB180-D079-4204-AB7E-FCEECE8C7DB1}"/>
    <cellStyle name="Currency 5 2 6 6" xfId="2433" xr:uid="{00000000-0005-0000-0000-0000790C0000}"/>
    <cellStyle name="Currency 5 2 6 6 2" xfId="6717" xr:uid="{00000000-0005-0000-0000-00007A0C0000}"/>
    <cellStyle name="Currency 5 2 6 6 2 2" xfId="16043" xr:uid="{D6783082-4961-4269-92AA-05DD1FD4F1A2}"/>
    <cellStyle name="Currency 5 2 6 6 3" xfId="11826" xr:uid="{61BE8722-C187-4B28-B9CC-E4BF86B8FB17}"/>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0A523896-33F1-4AD9-A4CC-2A21A1FE23F9}"/>
    <cellStyle name="Currency 5 2 6 8 3" xfId="12143" xr:uid="{452FC52B-EC68-4E06-90B8-C520D5159C52}"/>
    <cellStyle name="Currency 5 2 6 9" xfId="4651" xr:uid="{00000000-0005-0000-0000-00007E0C0000}"/>
    <cellStyle name="Currency 5 2 6 9 2" xfId="13977" xr:uid="{F50601C6-CC80-4BA0-85D8-85635949607E}"/>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4E333F35-7533-4B19-9CBF-5AF8D43F88BD}"/>
    <cellStyle name="Currency 5 3 2 10 3" xfId="12144" xr:uid="{4BE1B5EB-BD8D-4F34-AE4C-27382D2317E2}"/>
    <cellStyle name="Currency 5 3 2 11" xfId="4652" xr:uid="{00000000-0005-0000-0000-0000840C0000}"/>
    <cellStyle name="Currency 5 3 2 11 2" xfId="13978" xr:uid="{65C3FF87-F19C-4B17-8785-4EE7E716F19C}"/>
    <cellStyle name="Currency 5 3 2 12" xfId="8810" xr:uid="{C5234FF9-D509-4CD8-ADA1-D3604CCF3D1F}"/>
    <cellStyle name="Currency 5 3 2 13" xfId="9761" xr:uid="{7A57B3CD-46C8-4706-A55D-1C24BF3588EC}"/>
    <cellStyle name="Currency 5 3 2 2" xfId="211" xr:uid="{00000000-0005-0000-0000-0000850C0000}"/>
    <cellStyle name="Currency 5 3 2 2 10" xfId="4653" xr:uid="{00000000-0005-0000-0000-0000860C0000}"/>
    <cellStyle name="Currency 5 3 2 2 10 2" xfId="13979" xr:uid="{002BE011-20FA-4B1D-A6A7-CC0353242963}"/>
    <cellStyle name="Currency 5 3 2 2 11" xfId="8913" xr:uid="{FE033F82-2F16-4925-9899-F927AB9AA612}"/>
    <cellStyle name="Currency 5 3 2 2 12" xfId="9762" xr:uid="{63E2E9DE-E126-41D5-AD7C-81680B2DED64}"/>
    <cellStyle name="Currency 5 3 2 2 2" xfId="212" xr:uid="{00000000-0005-0000-0000-0000870C0000}"/>
    <cellStyle name="Currency 5 3 2 2 2 10" xfId="9120" xr:uid="{D5536A1F-8418-4CB5-B1E0-470AD716374A}"/>
    <cellStyle name="Currency 5 3 2 2 2 11" xfId="9763" xr:uid="{EFB552E9-7E44-4A58-9C50-64C3551ACE4C}"/>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CE196591-14FD-4E93-ACC1-B65EB2AFE3F8}"/>
    <cellStyle name="Currency 5 3 2 2 2 2 2 3" xfId="12322" xr:uid="{7DC636E6-EA79-433E-A0A2-C881A60EFA97}"/>
    <cellStyle name="Currency 5 3 2 2 2 2 3" xfId="5068" xr:uid="{00000000-0005-0000-0000-00008B0C0000}"/>
    <cellStyle name="Currency 5 3 2 2 2 2 3 2" xfId="14394" xr:uid="{F42BFCEB-BA94-4917-9EE7-B3CC84280EA7}"/>
    <cellStyle name="Currency 5 3 2 2 2 2 4" xfId="9545" xr:uid="{F6C268D6-0334-42F7-AE4F-535ADD09B625}"/>
    <cellStyle name="Currency 5 3 2 2 2 2 5" xfId="10177" xr:uid="{1B2FE477-E58C-4EE7-AF57-E69B5EFA9BA8}"/>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2A6C131A-6C75-4819-9722-34C1A26F9D46}"/>
    <cellStyle name="Currency 5 3 2 2 2 3 2 3" xfId="12735" xr:uid="{9A05A3A5-380A-4F2E-8636-43A24991F7D3}"/>
    <cellStyle name="Currency 5 3 2 2 2 3 3" xfId="5481" xr:uid="{00000000-0005-0000-0000-00008F0C0000}"/>
    <cellStyle name="Currency 5 3 2 2 2 3 3 2" xfId="14807" xr:uid="{CAC6FD7C-C7AB-4878-9509-512E1BE67B2D}"/>
    <cellStyle name="Currency 5 3 2 2 2 3 4" xfId="10590" xr:uid="{0A955C36-070D-40B2-AF23-1506932ACB9A}"/>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1A7B8E8E-25FD-4F41-8B10-21BF3D2FD4ED}"/>
    <cellStyle name="Currency 5 3 2 2 2 4 2 3" xfId="13148" xr:uid="{6EECBCD8-2C1A-4F9F-AE01-FD8EFFC4F9FF}"/>
    <cellStyle name="Currency 5 3 2 2 2 4 3" xfId="5894" xr:uid="{00000000-0005-0000-0000-0000930C0000}"/>
    <cellStyle name="Currency 5 3 2 2 2 4 3 2" xfId="15220" xr:uid="{FFA43F71-21A9-48A8-BA30-1FFB32297B4F}"/>
    <cellStyle name="Currency 5 3 2 2 2 4 4" xfId="11003" xr:uid="{BD06E491-0BFD-4F57-8A2E-3B34C44464E2}"/>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B90A8611-84D1-4776-AC9E-EEC07F4AD59D}"/>
    <cellStyle name="Currency 5 3 2 2 2 5 2 3" xfId="13561" xr:uid="{AE1A14A6-12D2-4D04-A5E1-26CA5E9CFBF6}"/>
    <cellStyle name="Currency 5 3 2 2 2 5 3" xfId="6307" xr:uid="{00000000-0005-0000-0000-0000970C0000}"/>
    <cellStyle name="Currency 5 3 2 2 2 5 3 2" xfId="15633" xr:uid="{E22703F3-9D62-4E51-A4F2-600FDE6DEA99}"/>
    <cellStyle name="Currency 5 3 2 2 2 5 4" xfId="11416" xr:uid="{0D136E4E-917F-422C-BB88-6B8AD605437A}"/>
    <cellStyle name="Currency 5 3 2 2 2 6" xfId="2436" xr:uid="{00000000-0005-0000-0000-0000980C0000}"/>
    <cellStyle name="Currency 5 3 2 2 2 6 2" xfId="6720" xr:uid="{00000000-0005-0000-0000-0000990C0000}"/>
    <cellStyle name="Currency 5 3 2 2 2 6 2 2" xfId="16046" xr:uid="{398D1D13-827D-4914-A103-DB5F0AAE6B45}"/>
    <cellStyle name="Currency 5 3 2 2 2 6 3" xfId="11829" xr:uid="{9339004F-86B4-435C-BF4A-53F42DB83AFF}"/>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6FE5B712-E964-4BE0-AD26-DA8D67ACE7DC}"/>
    <cellStyle name="Currency 5 3 2 2 2 8 3" xfId="12146" xr:uid="{7BC54631-F824-497D-8144-476F0A65895E}"/>
    <cellStyle name="Currency 5 3 2 2 2 9" xfId="4654" xr:uid="{00000000-0005-0000-0000-00009D0C0000}"/>
    <cellStyle name="Currency 5 3 2 2 2 9 2" xfId="13980" xr:uid="{4424D288-1217-4FA6-8255-16705F1E67C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482D9ACD-5150-4710-A198-0EF15EE46F66}"/>
    <cellStyle name="Currency 5 3 2 2 3 2 3" xfId="12321" xr:uid="{EF98FC94-FE73-47BA-BE68-5C41CA339278}"/>
    <cellStyle name="Currency 5 3 2 2 3 3" xfId="5067" xr:uid="{00000000-0005-0000-0000-0000A10C0000}"/>
    <cellStyle name="Currency 5 3 2 2 3 3 2" xfId="14393" xr:uid="{7D7E857B-F086-4756-A2FB-541DD12AD70F}"/>
    <cellStyle name="Currency 5 3 2 2 3 4" xfId="9338" xr:uid="{E79296CA-9516-4DDA-84B2-A3B13AAA9D9D}"/>
    <cellStyle name="Currency 5 3 2 2 3 5" xfId="10176" xr:uid="{419B3906-4BEB-4B29-8A5D-568F190FF60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8201DCBE-1DA6-44F4-AE98-413A6171EDBB}"/>
    <cellStyle name="Currency 5 3 2 2 4 2 3" xfId="12734" xr:uid="{A4554F87-82B0-4297-88C3-C99211F7A09C}"/>
    <cellStyle name="Currency 5 3 2 2 4 3" xfId="5480" xr:uid="{00000000-0005-0000-0000-0000A50C0000}"/>
    <cellStyle name="Currency 5 3 2 2 4 3 2" xfId="14806" xr:uid="{1DFCF7DA-CDCC-4276-A940-D0788182D296}"/>
    <cellStyle name="Currency 5 3 2 2 4 4" xfId="10589" xr:uid="{6F11E8A9-5872-448A-B116-5C0F306C48C3}"/>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FB875D9C-2398-4277-A284-62A5303733F7}"/>
    <cellStyle name="Currency 5 3 2 2 5 2 3" xfId="13147" xr:uid="{35E8626D-E311-47C9-98AF-26FACD3E4B39}"/>
    <cellStyle name="Currency 5 3 2 2 5 3" xfId="5893" xr:uid="{00000000-0005-0000-0000-0000A90C0000}"/>
    <cellStyle name="Currency 5 3 2 2 5 3 2" xfId="15219" xr:uid="{DC18235A-5AA3-4F1C-857D-9E9D2E1436B3}"/>
    <cellStyle name="Currency 5 3 2 2 5 4" xfId="11002" xr:uid="{EE24B63B-FE24-46DE-9ECE-B4117D9ECFAF}"/>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70D66B5D-467B-479D-B5A9-2D1AB88A96D9}"/>
    <cellStyle name="Currency 5 3 2 2 6 2 3" xfId="13560" xr:uid="{E00BB9CC-AFB0-4758-94AD-530164D3D2D3}"/>
    <cellStyle name="Currency 5 3 2 2 6 3" xfId="6306" xr:uid="{00000000-0005-0000-0000-0000AD0C0000}"/>
    <cellStyle name="Currency 5 3 2 2 6 3 2" xfId="15632" xr:uid="{95FB0934-773E-4BED-9290-4FF32C16DB78}"/>
    <cellStyle name="Currency 5 3 2 2 6 4" xfId="11415" xr:uid="{A45F12C7-9A04-4173-8B2A-AB30534EB027}"/>
    <cellStyle name="Currency 5 3 2 2 7" xfId="2435" xr:uid="{00000000-0005-0000-0000-0000AE0C0000}"/>
    <cellStyle name="Currency 5 3 2 2 7 2" xfId="6719" xr:uid="{00000000-0005-0000-0000-0000AF0C0000}"/>
    <cellStyle name="Currency 5 3 2 2 7 2 2" xfId="16045" xr:uid="{68238DCB-285B-4A64-9467-10E0DC80A2B6}"/>
    <cellStyle name="Currency 5 3 2 2 7 3" xfId="11828" xr:uid="{C5333E63-C497-4766-8FE0-9F315E15BA3F}"/>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F7D20318-4D93-4285-968F-205B7B24F677}"/>
    <cellStyle name="Currency 5 3 2 2 9 3" xfId="12145" xr:uid="{72EB5926-5439-4CFB-AA57-996AFC927D28}"/>
    <cellStyle name="Currency 5 3 2 3" xfId="213" xr:uid="{00000000-0005-0000-0000-0000B30C0000}"/>
    <cellStyle name="Currency 5 3 2 3 10" xfId="9017" xr:uid="{A6213F8D-EE09-4095-B9BE-99C55DEE210F}"/>
    <cellStyle name="Currency 5 3 2 3 11" xfId="9764" xr:uid="{FB39FE9B-4CB0-4C70-BB06-DF944234F4BE}"/>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FB426EE0-0163-4F16-9D31-533063F9BFCA}"/>
    <cellStyle name="Currency 5 3 2 3 2 2 3" xfId="12323" xr:uid="{2CC956E2-4BA7-4AA7-B125-BF356521D5D3}"/>
    <cellStyle name="Currency 5 3 2 3 2 3" xfId="5069" xr:uid="{00000000-0005-0000-0000-0000B70C0000}"/>
    <cellStyle name="Currency 5 3 2 3 2 3 2" xfId="14395" xr:uid="{5DA45CBC-B7C0-45AC-A29A-191F15EA05A3}"/>
    <cellStyle name="Currency 5 3 2 3 2 4" xfId="9442" xr:uid="{AE48BD1F-B5DA-4007-BBEE-128FE2FE74D7}"/>
    <cellStyle name="Currency 5 3 2 3 2 5" xfId="10178" xr:uid="{2BECD659-9B2B-45C3-A83A-899E541C45DD}"/>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0B7192EB-D143-4AF0-A866-73475104398E}"/>
    <cellStyle name="Currency 5 3 2 3 3 2 3" xfId="12736" xr:uid="{91144D06-2960-4327-BD59-D6F2C90EBB9D}"/>
    <cellStyle name="Currency 5 3 2 3 3 3" xfId="5482" xr:uid="{00000000-0005-0000-0000-0000BB0C0000}"/>
    <cellStyle name="Currency 5 3 2 3 3 3 2" xfId="14808" xr:uid="{4570A447-6BDD-4746-8EE9-75B6F903D718}"/>
    <cellStyle name="Currency 5 3 2 3 3 4" xfId="10591" xr:uid="{E7A35A07-F830-4E94-B1DF-4E1CC1917A91}"/>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77BAACF3-1296-42D7-BA76-A06C2CB35ADB}"/>
    <cellStyle name="Currency 5 3 2 3 4 2 3" xfId="13149" xr:uid="{DD76CF91-72CF-4E53-BD67-AA6872284A9C}"/>
    <cellStyle name="Currency 5 3 2 3 4 3" xfId="5895" xr:uid="{00000000-0005-0000-0000-0000BF0C0000}"/>
    <cellStyle name="Currency 5 3 2 3 4 3 2" xfId="15221" xr:uid="{9C13CB00-0E42-42AC-80F5-0F1F6B69ADAF}"/>
    <cellStyle name="Currency 5 3 2 3 4 4" xfId="11004" xr:uid="{BDBA9639-BCDD-4885-B364-D36F14689BF2}"/>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43290E29-FCDB-4A3C-BB0C-9B8324E9F947}"/>
    <cellStyle name="Currency 5 3 2 3 5 2 3" xfId="13562" xr:uid="{70BB30ED-0FC3-4210-AAB1-6EFC6E6763AA}"/>
    <cellStyle name="Currency 5 3 2 3 5 3" xfId="6308" xr:uid="{00000000-0005-0000-0000-0000C30C0000}"/>
    <cellStyle name="Currency 5 3 2 3 5 3 2" xfId="15634" xr:uid="{A427C795-B3BE-4E99-AC3E-AAC74E696CCB}"/>
    <cellStyle name="Currency 5 3 2 3 5 4" xfId="11417" xr:uid="{77F97F5B-1090-4375-8BD5-B4484A553FD6}"/>
    <cellStyle name="Currency 5 3 2 3 6" xfId="2437" xr:uid="{00000000-0005-0000-0000-0000C40C0000}"/>
    <cellStyle name="Currency 5 3 2 3 6 2" xfId="6721" xr:uid="{00000000-0005-0000-0000-0000C50C0000}"/>
    <cellStyle name="Currency 5 3 2 3 6 2 2" xfId="16047" xr:uid="{6DCFE34F-5C6C-48D2-90AE-290923F2BC8A}"/>
    <cellStyle name="Currency 5 3 2 3 6 3" xfId="11830" xr:uid="{B52C2FB6-1BAF-4983-A2A0-F998C50ABC2B}"/>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0183BDBF-C279-4F05-9A4F-C4E004F8368A}"/>
    <cellStyle name="Currency 5 3 2 3 8 3" xfId="12147" xr:uid="{23CF6C47-C6D3-4552-BE88-4AA57FD96D2E}"/>
    <cellStyle name="Currency 5 3 2 3 9" xfId="4655" xr:uid="{00000000-0005-0000-0000-0000C90C0000}"/>
    <cellStyle name="Currency 5 3 2 3 9 2" xfId="13981" xr:uid="{695CE4B1-DB4A-436F-AC06-A99546A231FA}"/>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6D24B27A-C2E5-45BF-A6CD-2518CFC2FAE7}"/>
    <cellStyle name="Currency 5 3 2 4 2 3" xfId="12320" xr:uid="{DE396B86-8F9E-4B71-AF0C-85826B4ABA3E}"/>
    <cellStyle name="Currency 5 3 2 4 3" xfId="5066" xr:uid="{00000000-0005-0000-0000-0000CD0C0000}"/>
    <cellStyle name="Currency 5 3 2 4 3 2" xfId="14392" xr:uid="{B7F52A76-E442-42F0-BCFA-38D539063C40}"/>
    <cellStyle name="Currency 5 3 2 4 4" xfId="9235" xr:uid="{F2FD4117-6EF1-4663-964A-AB5B57E6F469}"/>
    <cellStyle name="Currency 5 3 2 4 5" xfId="10175" xr:uid="{7474CBE0-7569-4B10-80B5-EFA30B905386}"/>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12FB3C54-1684-41B1-9597-9112B245811F}"/>
    <cellStyle name="Currency 5 3 2 5 2 3" xfId="12733" xr:uid="{DAFB292D-1303-44DF-B286-7D32F71609E4}"/>
    <cellStyle name="Currency 5 3 2 5 3" xfId="5479" xr:uid="{00000000-0005-0000-0000-0000D10C0000}"/>
    <cellStyle name="Currency 5 3 2 5 3 2" xfId="14805" xr:uid="{3A3544FB-A50B-49C1-9681-81ED41FAF7B6}"/>
    <cellStyle name="Currency 5 3 2 5 4" xfId="10588" xr:uid="{F7FB2194-0FCD-4EB5-A86C-950A10B26FA8}"/>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BF3C17A4-540E-4D66-BC81-74FE45FC9594}"/>
    <cellStyle name="Currency 5 3 2 6 2 3" xfId="13146" xr:uid="{20083F02-1038-4537-8FAD-9A7C28C81710}"/>
    <cellStyle name="Currency 5 3 2 6 3" xfId="5892" xr:uid="{00000000-0005-0000-0000-0000D50C0000}"/>
    <cellStyle name="Currency 5 3 2 6 3 2" xfId="15218" xr:uid="{080060C9-3BA9-44EF-B1EE-CBFE52691E23}"/>
    <cellStyle name="Currency 5 3 2 6 4" xfId="11001" xr:uid="{F5FDA96F-7241-4A90-8CA1-B635FB25A3D3}"/>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1CAEF2F9-F6D5-405C-83A0-D2794C68ABE7}"/>
    <cellStyle name="Currency 5 3 2 7 2 3" xfId="13559" xr:uid="{0C2353B4-3BE8-4F09-9F3A-865581D54DA3}"/>
    <cellStyle name="Currency 5 3 2 7 3" xfId="6305" xr:uid="{00000000-0005-0000-0000-0000D90C0000}"/>
    <cellStyle name="Currency 5 3 2 7 3 2" xfId="15631" xr:uid="{E8DD9420-559C-4420-8CEC-DEF856A7C2FF}"/>
    <cellStyle name="Currency 5 3 2 7 4" xfId="11414" xr:uid="{A24514B7-0BAC-493B-A4F8-EC2A2C750AB8}"/>
    <cellStyle name="Currency 5 3 2 8" xfId="2434" xr:uid="{00000000-0005-0000-0000-0000DA0C0000}"/>
    <cellStyle name="Currency 5 3 2 8 2" xfId="6718" xr:uid="{00000000-0005-0000-0000-0000DB0C0000}"/>
    <cellStyle name="Currency 5 3 2 8 2 2" xfId="16044" xr:uid="{60EFAB7A-0197-4551-A94E-CB211611F6E9}"/>
    <cellStyle name="Currency 5 3 2 8 3" xfId="11827" xr:uid="{EBF9DCD3-C0C5-47D5-8BB0-CF04606ED1B1}"/>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0497247B-86EF-4150-9CC6-BB7904A42A07}"/>
    <cellStyle name="Currency 5 3 3 11" xfId="8882" xr:uid="{A86B3ED4-B552-42F3-9E77-C6763F86EEE6}"/>
    <cellStyle name="Currency 5 3 3 12" xfId="9765" xr:uid="{09115ED3-3A0D-4019-BACA-1EC48A83B384}"/>
    <cellStyle name="Currency 5 3 3 2" xfId="215" xr:uid="{00000000-0005-0000-0000-0000DF0C0000}"/>
    <cellStyle name="Currency 5 3 3 2 10" xfId="9089" xr:uid="{7CFB8DCC-02AE-4CC5-8E10-3D33399ECECE}"/>
    <cellStyle name="Currency 5 3 3 2 11" xfId="9766" xr:uid="{EF319ACC-6595-47E1-92BA-533004E2AA82}"/>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BB148BB7-C172-4CC4-998E-5DDF5858AEDE}"/>
    <cellStyle name="Currency 5 3 3 2 2 2 3" xfId="12325" xr:uid="{D620D062-470E-4B46-BEDB-A15FBB3771DE}"/>
    <cellStyle name="Currency 5 3 3 2 2 3" xfId="5071" xr:uid="{00000000-0005-0000-0000-0000E30C0000}"/>
    <cellStyle name="Currency 5 3 3 2 2 3 2" xfId="14397" xr:uid="{D9768753-DBF2-4789-8B6D-EA3364F448DC}"/>
    <cellStyle name="Currency 5 3 3 2 2 4" xfId="9514" xr:uid="{9A504F43-6423-4200-B7AF-F17B65B2005C}"/>
    <cellStyle name="Currency 5 3 3 2 2 5" xfId="10180" xr:uid="{E91018DE-F58E-400E-911C-0D1B64F91F6E}"/>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E2720900-800E-477E-B0C8-413F8A75B081}"/>
    <cellStyle name="Currency 5 3 3 2 3 2 3" xfId="12738" xr:uid="{25CCC9E5-FEDE-4A40-8FD7-B56A77B229F6}"/>
    <cellStyle name="Currency 5 3 3 2 3 3" xfId="5484" xr:uid="{00000000-0005-0000-0000-0000E70C0000}"/>
    <cellStyle name="Currency 5 3 3 2 3 3 2" xfId="14810" xr:uid="{7EE185EB-7D1C-4F62-80C0-575BA7063596}"/>
    <cellStyle name="Currency 5 3 3 2 3 4" xfId="10593" xr:uid="{BE4A2CEE-79EB-48B2-AC29-0BE61F5F1FF5}"/>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78FE19AE-9545-4220-8AE1-0B2AB70E9D2E}"/>
    <cellStyle name="Currency 5 3 3 2 4 2 3" xfId="13151" xr:uid="{0A8CF469-731B-4E37-AE3D-7C67FCBFE72A}"/>
    <cellStyle name="Currency 5 3 3 2 4 3" xfId="5897" xr:uid="{00000000-0005-0000-0000-0000EB0C0000}"/>
    <cellStyle name="Currency 5 3 3 2 4 3 2" xfId="15223" xr:uid="{AA486803-387A-40AA-8C49-C5BC82F0D507}"/>
    <cellStyle name="Currency 5 3 3 2 4 4" xfId="11006" xr:uid="{9663EB55-A565-458A-AD68-8DCC8A2F80D9}"/>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06010FBC-6B65-47A6-9781-C1BF51EDE51A}"/>
    <cellStyle name="Currency 5 3 3 2 5 2 3" xfId="13564" xr:uid="{963F9F15-8385-4393-AE16-B40DDE3C4DD8}"/>
    <cellStyle name="Currency 5 3 3 2 5 3" xfId="6310" xr:uid="{00000000-0005-0000-0000-0000EF0C0000}"/>
    <cellStyle name="Currency 5 3 3 2 5 3 2" xfId="15636" xr:uid="{D4EE4B57-6F09-4B59-B3EF-51644567B0DF}"/>
    <cellStyle name="Currency 5 3 3 2 5 4" xfId="11419" xr:uid="{9C02459D-5902-457D-AF87-925C7D23800B}"/>
    <cellStyle name="Currency 5 3 3 2 6" xfId="2439" xr:uid="{00000000-0005-0000-0000-0000F00C0000}"/>
    <cellStyle name="Currency 5 3 3 2 6 2" xfId="6723" xr:uid="{00000000-0005-0000-0000-0000F10C0000}"/>
    <cellStyle name="Currency 5 3 3 2 6 2 2" xfId="16049" xr:uid="{92546F5E-AC6A-42B6-91C7-1DAEF58380AC}"/>
    <cellStyle name="Currency 5 3 3 2 6 3" xfId="11832" xr:uid="{B6563867-8877-425C-8A00-484B98A14672}"/>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6343D8F9-1B67-4C8F-9893-19D64EC448C8}"/>
    <cellStyle name="Currency 5 3 3 2 8 3" xfId="12149" xr:uid="{F19F6CDE-A48E-4E49-B298-19A422D6B707}"/>
    <cellStyle name="Currency 5 3 3 2 9" xfId="4657" xr:uid="{00000000-0005-0000-0000-0000F50C0000}"/>
    <cellStyle name="Currency 5 3 3 2 9 2" xfId="13983" xr:uid="{0B10BB35-2336-4C2A-BAE1-1F08886CBEE4}"/>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D05D7AB1-2849-4249-8AB2-F928D73CECE7}"/>
    <cellStyle name="Currency 5 3 3 3 2 3" xfId="12324" xr:uid="{6E80E24C-762D-46AF-98D4-391FDB6966D0}"/>
    <cellStyle name="Currency 5 3 3 3 3" xfId="5070" xr:uid="{00000000-0005-0000-0000-0000F90C0000}"/>
    <cellStyle name="Currency 5 3 3 3 3 2" xfId="14396" xr:uid="{EC01EC35-313C-4916-99CF-43D24728F5CF}"/>
    <cellStyle name="Currency 5 3 3 3 4" xfId="9307" xr:uid="{3F0512A0-B779-46E4-A963-62E327C6AC5F}"/>
    <cellStyle name="Currency 5 3 3 3 5" xfId="10179" xr:uid="{628BF5CD-EFE4-4D04-8AA3-33AF1AD31018}"/>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EBC81F94-B01E-4E6E-A079-206EA992E0AF}"/>
    <cellStyle name="Currency 5 3 3 4 2 3" xfId="12737" xr:uid="{033F77A4-B61C-4A5E-B5D1-3D26FFF2D52F}"/>
    <cellStyle name="Currency 5 3 3 4 3" xfId="5483" xr:uid="{00000000-0005-0000-0000-0000FD0C0000}"/>
    <cellStyle name="Currency 5 3 3 4 3 2" xfId="14809" xr:uid="{57692C88-2EF9-47AB-9914-A7736D8FDBD2}"/>
    <cellStyle name="Currency 5 3 3 4 4" xfId="10592" xr:uid="{A23A7841-06E7-436C-B265-55C43FE984F6}"/>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A6D01105-ED6C-4737-BE69-6BBEEB7BCB57}"/>
    <cellStyle name="Currency 5 3 3 5 2 3" xfId="13150" xr:uid="{6063A0B5-D011-42EA-83C4-A6036954AF0A}"/>
    <cellStyle name="Currency 5 3 3 5 3" xfId="5896" xr:uid="{00000000-0005-0000-0000-0000010D0000}"/>
    <cellStyle name="Currency 5 3 3 5 3 2" xfId="15222" xr:uid="{C1243FD8-7078-4523-BB72-C7E4DE9A2596}"/>
    <cellStyle name="Currency 5 3 3 5 4" xfId="11005" xr:uid="{638796BE-5A0C-4985-82D0-5C544A5AC498}"/>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90FBA0C2-F9F0-4E10-928F-D70F975CB0C0}"/>
    <cellStyle name="Currency 5 3 3 6 2 3" xfId="13563" xr:uid="{1F3D5430-79A6-4CAF-A98A-00F537CF0423}"/>
    <cellStyle name="Currency 5 3 3 6 3" xfId="6309" xr:uid="{00000000-0005-0000-0000-0000050D0000}"/>
    <cellStyle name="Currency 5 3 3 6 3 2" xfId="15635" xr:uid="{66B4D7A1-45F8-4D45-8255-2C3DC59D4957}"/>
    <cellStyle name="Currency 5 3 3 6 4" xfId="11418" xr:uid="{9A12C2BF-2292-4AF4-B2A2-99EF7F50E92E}"/>
    <cellStyle name="Currency 5 3 3 7" xfId="2438" xr:uid="{00000000-0005-0000-0000-0000060D0000}"/>
    <cellStyle name="Currency 5 3 3 7 2" xfId="6722" xr:uid="{00000000-0005-0000-0000-0000070D0000}"/>
    <cellStyle name="Currency 5 3 3 7 2 2" xfId="16048" xr:uid="{DEDBB8B3-73CF-4A33-879B-092281ACA3D1}"/>
    <cellStyle name="Currency 5 3 3 7 3" xfId="11831" xr:uid="{71D12CE8-AC0D-498F-AF0C-B365571D1818}"/>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038DB426-68F5-4D8B-ABA2-00A59136B88B}"/>
    <cellStyle name="Currency 5 3 3 9 3" xfId="12148" xr:uid="{0153E6E3-F53B-4B6E-B678-555B94D64887}"/>
    <cellStyle name="Currency 5 3 4" xfId="216" xr:uid="{00000000-0005-0000-0000-00000B0D0000}"/>
    <cellStyle name="Currency 5 3 4 10" xfId="8986" xr:uid="{4F6CFA4A-F10A-4043-AD92-C0A3F7F06459}"/>
    <cellStyle name="Currency 5 3 4 11" xfId="9767" xr:uid="{900D3E2A-C8A1-422D-B386-750F9652DEED}"/>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F358F202-87B8-452D-96A6-1C35A51E8C8B}"/>
    <cellStyle name="Currency 5 3 4 2 2 3" xfId="12326" xr:uid="{C3E083D6-31C5-40FE-8DF2-F96365A62C8D}"/>
    <cellStyle name="Currency 5 3 4 2 3" xfId="5072" xr:uid="{00000000-0005-0000-0000-00000F0D0000}"/>
    <cellStyle name="Currency 5 3 4 2 3 2" xfId="14398" xr:uid="{868EE5C1-1A4C-477A-9A61-708CD43D76CF}"/>
    <cellStyle name="Currency 5 3 4 2 4" xfId="9411" xr:uid="{2729DEB6-408B-463E-B468-91D932C31FD7}"/>
    <cellStyle name="Currency 5 3 4 2 5" xfId="10181" xr:uid="{F520C459-3908-495D-B382-919E0F593995}"/>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F7813FEF-7D1B-4BA9-A472-23E408D4752B}"/>
    <cellStyle name="Currency 5 3 4 3 2 3" xfId="12739" xr:uid="{60D01942-A2CB-432C-B958-59DBDA343A4A}"/>
    <cellStyle name="Currency 5 3 4 3 3" xfId="5485" xr:uid="{00000000-0005-0000-0000-0000130D0000}"/>
    <cellStyle name="Currency 5 3 4 3 3 2" xfId="14811" xr:uid="{582EDD43-C92E-4959-950A-2008C081394C}"/>
    <cellStyle name="Currency 5 3 4 3 4" xfId="10594" xr:uid="{2A4D3ECF-E60A-4E30-8595-5CDDBA502AFC}"/>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281385E0-7E8B-4F77-B1E5-D14B0ED20B62}"/>
    <cellStyle name="Currency 5 3 4 4 2 3" xfId="13152" xr:uid="{5881320B-096A-4B69-8E05-44A0857D91E7}"/>
    <cellStyle name="Currency 5 3 4 4 3" xfId="5898" xr:uid="{00000000-0005-0000-0000-0000170D0000}"/>
    <cellStyle name="Currency 5 3 4 4 3 2" xfId="15224" xr:uid="{8BFA56D7-B745-47A7-9CC7-E472ECC2D425}"/>
    <cellStyle name="Currency 5 3 4 4 4" xfId="11007" xr:uid="{C5E46F63-A077-4E1B-825D-3C720D91C1D1}"/>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93B9BDB4-1725-4559-AA4A-CB950987CE13}"/>
    <cellStyle name="Currency 5 3 4 5 2 3" xfId="13565" xr:uid="{7DC1AE70-89A5-4A11-B061-DAAB97CD84D2}"/>
    <cellStyle name="Currency 5 3 4 5 3" xfId="6311" xr:uid="{00000000-0005-0000-0000-00001B0D0000}"/>
    <cellStyle name="Currency 5 3 4 5 3 2" xfId="15637" xr:uid="{898C04B1-F0DD-4C3C-8E70-644B3792AC73}"/>
    <cellStyle name="Currency 5 3 4 5 4" xfId="11420" xr:uid="{106C0F0A-6916-43AD-B4E2-821D563125F5}"/>
    <cellStyle name="Currency 5 3 4 6" xfId="2440" xr:uid="{00000000-0005-0000-0000-00001C0D0000}"/>
    <cellStyle name="Currency 5 3 4 6 2" xfId="6724" xr:uid="{00000000-0005-0000-0000-00001D0D0000}"/>
    <cellStyle name="Currency 5 3 4 6 2 2" xfId="16050" xr:uid="{B566BF39-6FC1-4F49-A464-0522B585AA79}"/>
    <cellStyle name="Currency 5 3 4 6 3" xfId="11833" xr:uid="{B674100A-2E35-4452-860C-93DCF5B5AA86}"/>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25B0AED8-31EF-4541-9D08-9F02BEEEF882}"/>
    <cellStyle name="Currency 5 3 4 8 3" xfId="12150" xr:uid="{DF9DFDD4-43BB-4423-8239-1540094E4023}"/>
    <cellStyle name="Currency 5 3 4 9" xfId="4658" xr:uid="{00000000-0005-0000-0000-0000210D0000}"/>
    <cellStyle name="Currency 5 3 4 9 2" xfId="13984" xr:uid="{F1C22DAC-2208-4BA5-BD13-476E023DCDE7}"/>
    <cellStyle name="Currency 5 3 5" xfId="217" xr:uid="{00000000-0005-0000-0000-0000220D0000}"/>
    <cellStyle name="Currency 5 3 5 10" xfId="9203" xr:uid="{6167CBBD-227C-4457-B6B6-18EF5C089771}"/>
    <cellStyle name="Currency 5 3 5 11" xfId="9768" xr:uid="{26656330-3B49-4995-9093-020D6B951CA7}"/>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C6E1CBDA-3170-430B-8000-F6BF559FF84B}"/>
    <cellStyle name="Currency 5 3 5 2 2 3" xfId="12327" xr:uid="{9DFA7B3D-7F56-437A-B467-FB4F8E1703AD}"/>
    <cellStyle name="Currency 5 3 5 2 3" xfId="5073" xr:uid="{00000000-0005-0000-0000-0000260D0000}"/>
    <cellStyle name="Currency 5 3 5 2 3 2" xfId="14399" xr:uid="{6DFA7047-981D-4674-A824-FA68AEF3EE56}"/>
    <cellStyle name="Currency 5 3 5 2 4" xfId="9600" xr:uid="{650A4058-48FE-4F3E-8845-8F52DF332026}"/>
    <cellStyle name="Currency 5 3 5 2 5" xfId="10182" xr:uid="{8EF853EC-FB33-4A03-9AB5-72D408C96E76}"/>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EDD2F46A-6B71-454B-8F81-D593158FA743}"/>
    <cellStyle name="Currency 5 3 5 3 2 3" xfId="12740" xr:uid="{6D932C52-6EA6-4A39-AC95-3176B188CDCA}"/>
    <cellStyle name="Currency 5 3 5 3 3" xfId="5486" xr:uid="{00000000-0005-0000-0000-00002A0D0000}"/>
    <cellStyle name="Currency 5 3 5 3 3 2" xfId="14812" xr:uid="{382D071F-CBB1-40CB-833A-EECD79AAE531}"/>
    <cellStyle name="Currency 5 3 5 3 4" xfId="10595" xr:uid="{06E96E6B-E3D9-47C7-B240-18A204EC9C41}"/>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8B0EA930-13AF-49E1-BD6B-F84BC0A744C3}"/>
    <cellStyle name="Currency 5 3 5 4 2 3" xfId="13153" xr:uid="{C60025EC-FB87-4FF7-926C-B824B7BE1FB1}"/>
    <cellStyle name="Currency 5 3 5 4 3" xfId="5899" xr:uid="{00000000-0005-0000-0000-00002E0D0000}"/>
    <cellStyle name="Currency 5 3 5 4 3 2" xfId="15225" xr:uid="{B5FE94EF-6FC5-4531-B944-2DBE61CDB23D}"/>
    <cellStyle name="Currency 5 3 5 4 4" xfId="11008" xr:uid="{1911A8CD-1D1C-4F2E-BB5E-652B1BF7B2D9}"/>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4F138B09-873B-4B74-BEEC-7615737DE6C9}"/>
    <cellStyle name="Currency 5 3 5 5 2 3" xfId="13566" xr:uid="{E1A37B9F-44F5-4300-AF8B-7A5F68EFC9E5}"/>
    <cellStyle name="Currency 5 3 5 5 3" xfId="6312" xr:uid="{00000000-0005-0000-0000-0000320D0000}"/>
    <cellStyle name="Currency 5 3 5 5 3 2" xfId="15638" xr:uid="{93A169B8-A565-43BB-ADC9-D1293F4DA6E6}"/>
    <cellStyle name="Currency 5 3 5 5 4" xfId="11421" xr:uid="{AD2D6734-C1C3-4859-966B-743E0BD80182}"/>
    <cellStyle name="Currency 5 3 5 6" xfId="2441" xr:uid="{00000000-0005-0000-0000-0000330D0000}"/>
    <cellStyle name="Currency 5 3 5 6 2" xfId="6725" xr:uid="{00000000-0005-0000-0000-0000340D0000}"/>
    <cellStyle name="Currency 5 3 5 6 2 2" xfId="16051" xr:uid="{51470DF2-9940-4B76-A303-E5E1B7BD236D}"/>
    <cellStyle name="Currency 5 3 5 6 3" xfId="11834" xr:uid="{4BC1134A-76BD-45C9-B36F-423797CEF552}"/>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925E82E1-0ECF-4396-B897-10D3FBF0181A}"/>
    <cellStyle name="Currency 5 3 5 8 3" xfId="12151" xr:uid="{F1A37643-A779-42C6-8750-7BC5B8F83ACE}"/>
    <cellStyle name="Currency 5 3 5 9" xfId="4659" xr:uid="{00000000-0005-0000-0000-0000380D0000}"/>
    <cellStyle name="Currency 5 3 5 9 2" xfId="13985" xr:uid="{068BCB64-F4C2-4985-8E46-98692E7C7364}"/>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49169C3C-5847-4AD6-825C-731CFA8E1E2E}"/>
    <cellStyle name="Currency 5 5 11" xfId="8850" xr:uid="{8F129173-F323-478F-8B06-1E2599EB26C1}"/>
    <cellStyle name="Currency 5 5 12" xfId="9769" xr:uid="{A89B6B15-C367-4633-BBDA-6AD3C73E3879}"/>
    <cellStyle name="Currency 5 5 2" xfId="220" xr:uid="{00000000-0005-0000-0000-00003D0D0000}"/>
    <cellStyle name="Currency 5 5 2 10" xfId="9057" xr:uid="{90E61E49-0971-4EC1-90D8-E015846E4FB2}"/>
    <cellStyle name="Currency 5 5 2 11" xfId="9770" xr:uid="{CD4AD905-9133-4E80-934C-C9666C390577}"/>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6B821E32-A8FC-4C80-9C40-EE1A4EA8087B}"/>
    <cellStyle name="Currency 5 5 2 2 2 3" xfId="12329" xr:uid="{60F8B48C-E323-4661-9EE8-AE2EF118B90F}"/>
    <cellStyle name="Currency 5 5 2 2 3" xfId="5075" xr:uid="{00000000-0005-0000-0000-0000410D0000}"/>
    <cellStyle name="Currency 5 5 2 2 3 2" xfId="14401" xr:uid="{9F4BA3D6-526F-4B02-8CDF-1032257D47CB}"/>
    <cellStyle name="Currency 5 5 2 2 4" xfId="9482" xr:uid="{ECEE3E7C-42CD-4A2D-A90F-D54FFBA7E41F}"/>
    <cellStyle name="Currency 5 5 2 2 5" xfId="10184" xr:uid="{F5DCBA03-9C8E-4093-853B-9B79DEA21AB0}"/>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B71D9CC3-2D2A-49BB-B9A7-16F49C95F11C}"/>
    <cellStyle name="Currency 5 5 2 3 2 3" xfId="12742" xr:uid="{F8AF5450-64C3-4DD8-BE96-712E1A6141E3}"/>
    <cellStyle name="Currency 5 5 2 3 3" xfId="5488" xr:uid="{00000000-0005-0000-0000-0000450D0000}"/>
    <cellStyle name="Currency 5 5 2 3 3 2" xfId="14814" xr:uid="{B5CCE797-DAAB-42B6-90EF-9955BCC52EFC}"/>
    <cellStyle name="Currency 5 5 2 3 4" xfId="10597" xr:uid="{ECC3D971-6DCD-446B-AF52-275290690EFB}"/>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60A8B3C1-A33D-4675-B1B7-41C6D9C1EFB1}"/>
    <cellStyle name="Currency 5 5 2 4 2 3" xfId="13155" xr:uid="{C1C747A1-6911-4684-AE31-54F6FBCADBA3}"/>
    <cellStyle name="Currency 5 5 2 4 3" xfId="5901" xr:uid="{00000000-0005-0000-0000-0000490D0000}"/>
    <cellStyle name="Currency 5 5 2 4 3 2" xfId="15227" xr:uid="{344AA076-35FA-47FD-8C2B-74B070559DDE}"/>
    <cellStyle name="Currency 5 5 2 4 4" xfId="11010" xr:uid="{B3E7F162-ABD3-42FF-9557-91D60DF170C5}"/>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6335AB74-9868-403E-A356-5F6C79DDC840}"/>
    <cellStyle name="Currency 5 5 2 5 2 3" xfId="13568" xr:uid="{E041793A-2AA2-4BEB-97E7-BADA7615D8F4}"/>
    <cellStyle name="Currency 5 5 2 5 3" xfId="6314" xr:uid="{00000000-0005-0000-0000-00004D0D0000}"/>
    <cellStyle name="Currency 5 5 2 5 3 2" xfId="15640" xr:uid="{B29D5E13-1FFC-41A3-8F2A-6BD3E0DBDCA1}"/>
    <cellStyle name="Currency 5 5 2 5 4" xfId="11423" xr:uid="{0FB00783-D91B-498E-B6DD-31EBDEC9B965}"/>
    <cellStyle name="Currency 5 5 2 6" xfId="2443" xr:uid="{00000000-0005-0000-0000-00004E0D0000}"/>
    <cellStyle name="Currency 5 5 2 6 2" xfId="6727" xr:uid="{00000000-0005-0000-0000-00004F0D0000}"/>
    <cellStyle name="Currency 5 5 2 6 2 2" xfId="16053" xr:uid="{23E84AF3-DF45-4D17-89FA-0F65989FF0C5}"/>
    <cellStyle name="Currency 5 5 2 6 3" xfId="11836" xr:uid="{642848CD-D171-40E7-9757-3E16C6B26908}"/>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88678E30-8FF7-4D79-AD00-B25F7E6056AE}"/>
    <cellStyle name="Currency 5 5 2 8 3" xfId="12153" xr:uid="{C42B7335-DD21-4252-B5E8-01B04CAA0129}"/>
    <cellStyle name="Currency 5 5 2 9" xfId="4661" xr:uid="{00000000-0005-0000-0000-0000530D0000}"/>
    <cellStyle name="Currency 5 5 2 9 2" xfId="13987" xr:uid="{DD072A1F-0C18-4771-BC8B-897EA5A7BF39}"/>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FCDB81FD-AE7B-4D75-8C19-07ABB7049855}"/>
    <cellStyle name="Currency 5 5 3 2 3" xfId="12328" xr:uid="{CE516C95-59D6-4605-9F3A-92737B665397}"/>
    <cellStyle name="Currency 5 5 3 3" xfId="5074" xr:uid="{00000000-0005-0000-0000-0000570D0000}"/>
    <cellStyle name="Currency 5 5 3 3 2" xfId="14400" xr:uid="{4338742D-AA00-4993-9A0E-147EF2C3290E}"/>
    <cellStyle name="Currency 5 5 3 4" xfId="9275" xr:uid="{54783F20-34E5-4A58-80AE-EC7CC69A89C9}"/>
    <cellStyle name="Currency 5 5 3 5" xfId="10183" xr:uid="{C446F222-F529-425F-AF03-1697F6FFECF5}"/>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C316B503-D2B1-467A-80F9-C96C7E086F15}"/>
    <cellStyle name="Currency 5 5 4 2 3" xfId="12741" xr:uid="{148077BE-8E94-4F83-B441-62E76228BC63}"/>
    <cellStyle name="Currency 5 5 4 3" xfId="5487" xr:uid="{00000000-0005-0000-0000-00005B0D0000}"/>
    <cellStyle name="Currency 5 5 4 3 2" xfId="14813" xr:uid="{8E2B9551-4DE6-4A0A-8DF8-27CC96670D66}"/>
    <cellStyle name="Currency 5 5 4 4" xfId="10596" xr:uid="{20E460F1-0C56-4900-B338-31BADCA5EA2E}"/>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D4D69AD0-753A-447D-A37D-69799DF2A7CC}"/>
    <cellStyle name="Currency 5 5 5 2 3" xfId="13154" xr:uid="{15713160-5636-4335-9CC4-2002B9C8C5AA}"/>
    <cellStyle name="Currency 5 5 5 3" xfId="5900" xr:uid="{00000000-0005-0000-0000-00005F0D0000}"/>
    <cellStyle name="Currency 5 5 5 3 2" xfId="15226" xr:uid="{90D22653-8A5F-4DC5-BDB7-212643BA7229}"/>
    <cellStyle name="Currency 5 5 5 4" xfId="11009" xr:uid="{757F38E6-3DD5-44EB-8E8F-142367CCAFAF}"/>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5E4D4027-2365-4315-8D92-FDE994C1A106}"/>
    <cellStyle name="Currency 5 5 6 2 3" xfId="13567" xr:uid="{48C54A9F-5012-42DE-8761-316905AC5AE3}"/>
    <cellStyle name="Currency 5 5 6 3" xfId="6313" xr:uid="{00000000-0005-0000-0000-0000630D0000}"/>
    <cellStyle name="Currency 5 5 6 3 2" xfId="15639" xr:uid="{00809971-DFFE-4816-95F6-D36B889C7AF4}"/>
    <cellStyle name="Currency 5 5 6 4" xfId="11422" xr:uid="{E2C49B5B-C7F8-44D8-88AD-06A48885BD6A}"/>
    <cellStyle name="Currency 5 5 7" xfId="2442" xr:uid="{00000000-0005-0000-0000-0000640D0000}"/>
    <cellStyle name="Currency 5 5 7 2" xfId="6726" xr:uid="{00000000-0005-0000-0000-0000650D0000}"/>
    <cellStyle name="Currency 5 5 7 2 2" xfId="16052" xr:uid="{FFBC3C1C-2246-4153-84A1-8F901DAFFAA4}"/>
    <cellStyle name="Currency 5 5 7 3" xfId="11835" xr:uid="{A439A7CA-4D7A-495B-8AF7-B0E007A71A82}"/>
    <cellStyle name="Currency 5 5 8" xfId="2739" xr:uid="{00000000-0005-0000-0000-0000660D0000}"/>
    <cellStyle name="Currency 5 5 9" xfId="2820" xr:uid="{00000000-0005-0000-0000-0000670D0000}"/>
    <cellStyle name="Currency 5 5 9 2" xfId="7043" xr:uid="{00000000-0005-0000-0000-0000680D0000}"/>
    <cellStyle name="Currency 5 5 9 2 2" xfId="16369" xr:uid="{12676DBA-CEDF-4FA3-9847-54CE6639B471}"/>
    <cellStyle name="Currency 5 5 9 3" xfId="12152" xr:uid="{BBC4B4F3-68FB-480D-BA3D-7717310E258C}"/>
    <cellStyle name="Currency 5 6" xfId="221" xr:uid="{00000000-0005-0000-0000-0000690D0000}"/>
    <cellStyle name="Currency 5 6 10" xfId="8966" xr:uid="{EC95BD1E-EAA8-4043-BDA7-06F3BBDBC3D5}"/>
    <cellStyle name="Currency 5 6 11" xfId="9771" xr:uid="{D285C206-99A8-4E6E-B4AB-42FB033ABD1B}"/>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30D6EE8B-89EE-48D1-BF30-CCFB1C8B0F1D}"/>
    <cellStyle name="Currency 5 6 2 2 3" xfId="12330" xr:uid="{947C3122-846F-465C-9B96-90C0199A69E9}"/>
    <cellStyle name="Currency 5 6 2 3" xfId="5076" xr:uid="{00000000-0005-0000-0000-00006D0D0000}"/>
    <cellStyle name="Currency 5 6 2 3 2" xfId="14402" xr:uid="{FFFA67CD-4BD0-4025-89A6-2D25300EB954}"/>
    <cellStyle name="Currency 5 6 2 4" xfId="9391" xr:uid="{8CBF3F74-51EC-4402-B96A-0759E6537FC7}"/>
    <cellStyle name="Currency 5 6 2 5" xfId="10185" xr:uid="{DB2472FD-2499-4A2A-958A-ED963A19782F}"/>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5EC03C6A-4E81-4F65-86B8-91C9251BA247}"/>
    <cellStyle name="Currency 5 6 3 2 3" xfId="12743" xr:uid="{D47EC3D8-87BA-488F-A5EE-255130DA8904}"/>
    <cellStyle name="Currency 5 6 3 3" xfId="5489" xr:uid="{00000000-0005-0000-0000-0000710D0000}"/>
    <cellStyle name="Currency 5 6 3 3 2" xfId="14815" xr:uid="{1C1BE5DF-8758-4E5C-BCBB-680502BD15F7}"/>
    <cellStyle name="Currency 5 6 3 4" xfId="10598" xr:uid="{EE2E6691-66FD-4A5F-B95B-A60A129EA2AE}"/>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BA27A6F1-C1D9-463B-AFE5-EC6864A7A51B}"/>
    <cellStyle name="Currency 5 6 4 2 3" xfId="13156" xr:uid="{5F231AAF-7FBF-498C-A179-192DAB0E0B51}"/>
    <cellStyle name="Currency 5 6 4 3" xfId="5902" xr:uid="{00000000-0005-0000-0000-0000750D0000}"/>
    <cellStyle name="Currency 5 6 4 3 2" xfId="15228" xr:uid="{D6E4455B-13CF-4093-8528-D00DC1312A28}"/>
    <cellStyle name="Currency 5 6 4 4" xfId="11011" xr:uid="{FD36B70A-F103-465E-91C8-F8646504BCEF}"/>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37C128EE-BEAF-4DBA-BB2B-724C5FC2BE48}"/>
    <cellStyle name="Currency 5 6 5 2 3" xfId="13569" xr:uid="{349EBFB7-CEB4-41A3-B49D-09C35A4121C7}"/>
    <cellStyle name="Currency 5 6 5 3" xfId="6315" xr:uid="{00000000-0005-0000-0000-0000790D0000}"/>
    <cellStyle name="Currency 5 6 5 3 2" xfId="15641" xr:uid="{AA6E2449-7954-4A90-81D0-1FD5D6B738A3}"/>
    <cellStyle name="Currency 5 6 5 4" xfId="11424" xr:uid="{26B5475A-652A-40A0-9157-DD2E65C995DA}"/>
    <cellStyle name="Currency 5 6 6" xfId="2444" xr:uid="{00000000-0005-0000-0000-00007A0D0000}"/>
    <cellStyle name="Currency 5 6 6 2" xfId="6728" xr:uid="{00000000-0005-0000-0000-00007B0D0000}"/>
    <cellStyle name="Currency 5 6 6 2 2" xfId="16054" xr:uid="{98561D87-FA30-490A-8128-01FB8F0326D6}"/>
    <cellStyle name="Currency 5 6 6 3" xfId="11837" xr:uid="{87713B99-8780-4705-949F-EE152D5E3D9E}"/>
    <cellStyle name="Currency 5 6 7" xfId="2741" xr:uid="{00000000-0005-0000-0000-00007C0D0000}"/>
    <cellStyle name="Currency 5 6 8" xfId="2822" xr:uid="{00000000-0005-0000-0000-00007D0D0000}"/>
    <cellStyle name="Currency 5 6 8 2" xfId="7045" xr:uid="{00000000-0005-0000-0000-00007E0D0000}"/>
    <cellStyle name="Currency 5 6 8 2 2" xfId="16371" xr:uid="{6E36339D-EE82-464F-9F2B-D2A04CE44E59}"/>
    <cellStyle name="Currency 5 6 8 3" xfId="12154" xr:uid="{451A67A4-6059-43AA-B192-EAE8BE854664}"/>
    <cellStyle name="Currency 5 6 9" xfId="4662" xr:uid="{00000000-0005-0000-0000-00007F0D0000}"/>
    <cellStyle name="Currency 5 6 9 2" xfId="13988" xr:uid="{AA907898-2557-4B27-929F-E5FCCF19EA38}"/>
    <cellStyle name="Currency 5 7" xfId="222" xr:uid="{00000000-0005-0000-0000-0000800D0000}"/>
    <cellStyle name="Currency 5 7 10" xfId="9169" xr:uid="{7A886DE7-136A-429E-90E2-A7C712D111D8}"/>
    <cellStyle name="Currency 5 7 11" xfId="9772" xr:uid="{55B9DCD9-3DE8-4429-81B3-072E88778C5F}"/>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715AC1FA-2818-4447-8158-AC1CB92E2FCC}"/>
    <cellStyle name="Currency 5 7 2 2 3" xfId="12331" xr:uid="{914CE267-C2B0-40C1-A16E-0E99197E04DB}"/>
    <cellStyle name="Currency 5 7 2 3" xfId="5077" xr:uid="{00000000-0005-0000-0000-0000840D0000}"/>
    <cellStyle name="Currency 5 7 2 3 2" xfId="14403" xr:uid="{907218C6-82EE-4E02-BCE2-E3E36FFF3EDA}"/>
    <cellStyle name="Currency 5 7 2 4" xfId="9601" xr:uid="{DC93A830-0AF1-4EC4-B764-C728922F3FEF}"/>
    <cellStyle name="Currency 5 7 2 5" xfId="10186" xr:uid="{C632C55C-60EA-4EA7-BAB2-8B04301CE971}"/>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149FAE1F-AA4A-4F3A-A830-D2B599F747F7}"/>
    <cellStyle name="Currency 5 7 3 2 3" xfId="12744" xr:uid="{EAFB3816-955A-4AB0-A797-7662F1BC75D2}"/>
    <cellStyle name="Currency 5 7 3 3" xfId="5490" xr:uid="{00000000-0005-0000-0000-0000880D0000}"/>
    <cellStyle name="Currency 5 7 3 3 2" xfId="14816" xr:uid="{77F08F50-05CC-4D3B-8F10-C814D2A860B2}"/>
    <cellStyle name="Currency 5 7 3 4" xfId="10599" xr:uid="{7C7912AA-C6D6-4FEE-A29B-779109EEDC3C}"/>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2DFA66D4-0941-47DE-82B1-9FAFE57A62B1}"/>
    <cellStyle name="Currency 5 7 4 2 3" xfId="13157" xr:uid="{96EEE6D6-B62E-40A0-9889-9B245DC9131F}"/>
    <cellStyle name="Currency 5 7 4 3" xfId="5903" xr:uid="{00000000-0005-0000-0000-00008C0D0000}"/>
    <cellStyle name="Currency 5 7 4 3 2" xfId="15229" xr:uid="{64BFF261-98EE-4F10-A3AE-8DBB5CC5C1F6}"/>
    <cellStyle name="Currency 5 7 4 4" xfId="11012" xr:uid="{E6750100-C88D-4197-BE59-ABF66A29A384}"/>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1C631D27-490F-4C60-9057-8A2BE2A7D48B}"/>
    <cellStyle name="Currency 5 7 5 2 3" xfId="13570" xr:uid="{5933F5FA-069E-4877-95A0-C8EABD963E38}"/>
    <cellStyle name="Currency 5 7 5 3" xfId="6316" xr:uid="{00000000-0005-0000-0000-0000900D0000}"/>
    <cellStyle name="Currency 5 7 5 3 2" xfId="15642" xr:uid="{AAA98E7C-B3DB-48C1-B007-3F4746CF7DDF}"/>
    <cellStyle name="Currency 5 7 5 4" xfId="11425" xr:uid="{7583F5D4-CB34-47E2-A915-94C19669DCD8}"/>
    <cellStyle name="Currency 5 7 6" xfId="2445" xr:uid="{00000000-0005-0000-0000-0000910D0000}"/>
    <cellStyle name="Currency 5 7 6 2" xfId="6729" xr:uid="{00000000-0005-0000-0000-0000920D0000}"/>
    <cellStyle name="Currency 5 7 6 2 2" xfId="16055" xr:uid="{E339E57D-8633-4FCE-B3E2-E79B41F542DA}"/>
    <cellStyle name="Currency 5 7 6 3" xfId="11838" xr:uid="{6C2904FE-EC92-469C-A5E2-3E02FF43344B}"/>
    <cellStyle name="Currency 5 7 7" xfId="2742" xr:uid="{00000000-0005-0000-0000-0000930D0000}"/>
    <cellStyle name="Currency 5 7 8" xfId="2823" xr:uid="{00000000-0005-0000-0000-0000940D0000}"/>
    <cellStyle name="Currency 5 7 8 2" xfId="7046" xr:uid="{00000000-0005-0000-0000-0000950D0000}"/>
    <cellStyle name="Currency 5 7 8 2 2" xfId="16372" xr:uid="{24C972DA-7E5D-4B2B-93F2-8E6B2F298F5E}"/>
    <cellStyle name="Currency 5 7 8 3" xfId="12155" xr:uid="{1F053C58-A1BB-4DB2-937E-D5ED5D7E0674}"/>
    <cellStyle name="Currency 5 7 9" xfId="4663" xr:uid="{00000000-0005-0000-0000-0000960D0000}"/>
    <cellStyle name="Currency 5 7 9 2" xfId="13989" xr:uid="{0E17BDEA-0464-4438-968F-FA74D714EF68}"/>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326B3EB4-BF5C-4754-BE42-6F6FAEDCDDD8}"/>
    <cellStyle name="Normal 12 10 3" xfId="11839" xr:uid="{816E436E-8125-47CB-8956-F96414BF8472}"/>
    <cellStyle name="Normal 12 11" xfId="4664" xr:uid="{00000000-0005-0000-0000-0000CC0D0000}"/>
    <cellStyle name="Normal 12 11 2" xfId="13990" xr:uid="{71491F62-DC51-4A2C-8E48-A9BBF66531C9}"/>
    <cellStyle name="Normal 12 12" xfId="8770" xr:uid="{16E7F001-A88D-4413-825E-78352A31064A}"/>
    <cellStyle name="Normal 12 13" xfId="9773" xr:uid="{42DDD600-138B-450F-A9DE-819A4D7803DA}"/>
    <cellStyle name="Normal 12 2" xfId="260" xr:uid="{00000000-0005-0000-0000-0000CD0D0000}"/>
    <cellStyle name="Normal 12 2 10" xfId="8811" xr:uid="{C610EFA7-DF28-475D-A7AA-61B6675A083B}"/>
    <cellStyle name="Normal 12 2 11" xfId="9774" xr:uid="{7BC4B199-328B-4E77-B722-4B9BE09B9EEE}"/>
    <cellStyle name="Normal 12 2 2" xfId="261" xr:uid="{00000000-0005-0000-0000-0000CE0D0000}"/>
    <cellStyle name="Normal 12 2 2 10" xfId="9775" xr:uid="{9526817F-DEFA-4965-90CB-2C8BE29B6801}"/>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134E16BC-A69D-4A50-8561-2DFF5B7C327C}"/>
    <cellStyle name="Normal 12 2 2 2 2 2 3" xfId="12335" xr:uid="{2F89DA37-3FC8-499C-8F7A-B272AEDF580F}"/>
    <cellStyle name="Normal 12 2 2 2 2 3" xfId="5081" xr:uid="{00000000-0005-0000-0000-0000D30D0000}"/>
    <cellStyle name="Normal 12 2 2 2 2 3 2" xfId="14407" xr:uid="{0CA0FB9E-A3F5-4412-B2BA-2A8758B93DC0}"/>
    <cellStyle name="Normal 12 2 2 2 2 4" xfId="9546" xr:uid="{609DE280-4DA3-4355-9F1C-9E01708347EA}"/>
    <cellStyle name="Normal 12 2 2 2 2 5" xfId="10190" xr:uid="{1A034849-7D9B-4FC7-9EB0-8766D90A3B1A}"/>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AB3D303B-3F7C-49D6-9DD0-41458B59B4BF}"/>
    <cellStyle name="Normal 12 2 2 2 3 2 3" xfId="12748" xr:uid="{20CFED78-58A8-4BF3-82D2-F4933A0D6EC2}"/>
    <cellStyle name="Normal 12 2 2 2 3 3" xfId="5494" xr:uid="{00000000-0005-0000-0000-0000D70D0000}"/>
    <cellStyle name="Normal 12 2 2 2 3 3 2" xfId="14820" xr:uid="{6C7B5379-EEDB-4A0F-8929-4CB9F646FCB3}"/>
    <cellStyle name="Normal 12 2 2 2 3 4" xfId="10603" xr:uid="{858A2B24-D4A4-4C21-91F9-36FF70791EE6}"/>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89AF9781-3ED5-4128-82BF-DCB5411937B1}"/>
    <cellStyle name="Normal 12 2 2 2 4 2 3" xfId="13161" xr:uid="{5E261CF2-04C4-4394-9BB0-099A77180AC8}"/>
    <cellStyle name="Normal 12 2 2 2 4 3" xfId="5907" xr:uid="{00000000-0005-0000-0000-0000DB0D0000}"/>
    <cellStyle name="Normal 12 2 2 2 4 3 2" xfId="15233" xr:uid="{49EF2F46-C096-4093-AD3C-1D222DB4C6AA}"/>
    <cellStyle name="Normal 12 2 2 2 4 4" xfId="11016" xr:uid="{0A8CE3D8-1C7F-4D39-8BD9-1AB95D455417}"/>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7D51A748-D4F6-46E3-9D83-20EB6F7C068D}"/>
    <cellStyle name="Normal 12 2 2 2 5 2 3" xfId="13574" xr:uid="{AB0008C7-4D99-4460-AD08-EAFB55D50D5C}"/>
    <cellStyle name="Normal 12 2 2 2 5 3" xfId="6320" xr:uid="{00000000-0005-0000-0000-0000DF0D0000}"/>
    <cellStyle name="Normal 12 2 2 2 5 3 2" xfId="15646" xr:uid="{0AF16E4C-2EDB-402B-AC6F-BC9889EC9334}"/>
    <cellStyle name="Normal 12 2 2 2 5 4" xfId="11429" xr:uid="{CC4809C0-5C5F-4606-932C-B2F436884282}"/>
    <cellStyle name="Normal 12 2 2 2 6" xfId="2450" xr:uid="{00000000-0005-0000-0000-0000E00D0000}"/>
    <cellStyle name="Normal 12 2 2 2 6 2" xfId="6733" xr:uid="{00000000-0005-0000-0000-0000E10D0000}"/>
    <cellStyle name="Normal 12 2 2 2 6 2 2" xfId="16059" xr:uid="{11F24264-4B25-4277-BFF4-FF4A61971614}"/>
    <cellStyle name="Normal 12 2 2 2 6 3" xfId="11842" xr:uid="{11101968-E1F7-4ABA-8CEE-4D8A40EA95EA}"/>
    <cellStyle name="Normal 12 2 2 2 7" xfId="4667" xr:uid="{00000000-0005-0000-0000-0000E20D0000}"/>
    <cellStyle name="Normal 12 2 2 2 7 2" xfId="13993" xr:uid="{6D32ADAC-8ED5-4483-BD39-C4528C998D76}"/>
    <cellStyle name="Normal 12 2 2 2 8" xfId="9121" xr:uid="{527C15BB-BE4D-46AB-9317-CC8E6838C91D}"/>
    <cellStyle name="Normal 12 2 2 2 9" xfId="9776" xr:uid="{77EB39D3-4D82-415F-90B4-D3F5B5CBD575}"/>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B65F8D07-2B19-4553-81AB-FE69B02DF439}"/>
    <cellStyle name="Normal 12 2 2 3 2 3" xfId="12334" xr:uid="{8294EA27-5AEC-4543-9878-643810033DE0}"/>
    <cellStyle name="Normal 12 2 2 3 3" xfId="5080" xr:uid="{00000000-0005-0000-0000-0000E60D0000}"/>
    <cellStyle name="Normal 12 2 2 3 3 2" xfId="14406" xr:uid="{AF39C0FE-DF78-49E5-8476-A46B214CB16A}"/>
    <cellStyle name="Normal 12 2 2 3 4" xfId="9339" xr:uid="{F3F800C1-92DF-4F1F-A561-C3F3C7F8BAD1}"/>
    <cellStyle name="Normal 12 2 2 3 5" xfId="10189" xr:uid="{96D5AA34-2F7A-415A-AEF4-44A45E26DDCF}"/>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67D0E99A-FFCE-4DFC-888A-045D6178533C}"/>
    <cellStyle name="Normal 12 2 2 4 2 3" xfId="12747" xr:uid="{B2008BBE-3A68-42BE-91AB-527EBF28709E}"/>
    <cellStyle name="Normal 12 2 2 4 3" xfId="5493" xr:uid="{00000000-0005-0000-0000-0000EA0D0000}"/>
    <cellStyle name="Normal 12 2 2 4 3 2" xfId="14819" xr:uid="{63058B99-A900-4333-A1E7-71A70A927DFE}"/>
    <cellStyle name="Normal 12 2 2 4 4" xfId="10602" xr:uid="{6EE54265-55E6-4B61-B32D-FFF4E5782149}"/>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54F11F2D-E876-46C5-A13E-111A3A90E36D}"/>
    <cellStyle name="Normal 12 2 2 5 2 3" xfId="13160" xr:uid="{64981286-4910-4E64-A122-F446CA7184A7}"/>
    <cellStyle name="Normal 12 2 2 5 3" xfId="5906" xr:uid="{00000000-0005-0000-0000-0000EE0D0000}"/>
    <cellStyle name="Normal 12 2 2 5 3 2" xfId="15232" xr:uid="{E161B3E4-4EB2-46E2-8C28-336F6C464F90}"/>
    <cellStyle name="Normal 12 2 2 5 4" xfId="11015" xr:uid="{EA3D2AB2-4631-4540-BCA0-CECF0B208041}"/>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97CF44CC-3BFA-4800-B77C-DFEAA32BDF65}"/>
    <cellStyle name="Normal 12 2 2 6 2 3" xfId="13573" xr:uid="{B80B9E3A-216D-44E2-8FC0-D9A27B89FF7F}"/>
    <cellStyle name="Normal 12 2 2 6 3" xfId="6319" xr:uid="{00000000-0005-0000-0000-0000F20D0000}"/>
    <cellStyle name="Normal 12 2 2 6 3 2" xfId="15645" xr:uid="{197C697E-8107-43F9-B98E-D0F04AF67F1C}"/>
    <cellStyle name="Normal 12 2 2 6 4" xfId="11428" xr:uid="{FC960EA1-356C-4A4C-BC0D-745B4C79864A}"/>
    <cellStyle name="Normal 12 2 2 7" xfId="2449" xr:uid="{00000000-0005-0000-0000-0000F30D0000}"/>
    <cellStyle name="Normal 12 2 2 7 2" xfId="6732" xr:uid="{00000000-0005-0000-0000-0000F40D0000}"/>
    <cellStyle name="Normal 12 2 2 7 2 2" xfId="16058" xr:uid="{6FAEC9E0-BD3E-424F-9A8C-B42C44B1AA09}"/>
    <cellStyle name="Normal 12 2 2 7 3" xfId="11841" xr:uid="{8E710983-1F15-4C24-BE70-2D49AC3DD986}"/>
    <cellStyle name="Normal 12 2 2 8" xfId="4666" xr:uid="{00000000-0005-0000-0000-0000F50D0000}"/>
    <cellStyle name="Normal 12 2 2 8 2" xfId="13992" xr:uid="{ECBDD1A0-B2EC-467F-A77E-B678F1CC40C8}"/>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F67118D2-4960-4DEA-BD5D-DFDAAEB0CB1E}"/>
    <cellStyle name="Normal 12 2 3 2 2 3" xfId="12336" xr:uid="{98960E96-F04E-45C5-9B5B-4105240FEAE9}"/>
    <cellStyle name="Normal 12 2 3 2 3" xfId="5082" xr:uid="{00000000-0005-0000-0000-0000FA0D0000}"/>
    <cellStyle name="Normal 12 2 3 2 3 2" xfId="14408" xr:uid="{6CEFDA77-2EBE-472C-B45C-97242248C084}"/>
    <cellStyle name="Normal 12 2 3 2 4" xfId="9443" xr:uid="{61F0A971-1285-4215-8170-49D07520551A}"/>
    <cellStyle name="Normal 12 2 3 2 5" xfId="10191" xr:uid="{15DD118A-A969-4CC3-84C5-5DD4089AB477}"/>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6201BB25-F05F-46CD-A76D-73F5AAB3E941}"/>
    <cellStyle name="Normal 12 2 3 3 2 3" xfId="12749" xr:uid="{C5FF3596-D3F8-49B1-A4C7-98208DBCFA4F}"/>
    <cellStyle name="Normal 12 2 3 3 3" xfId="5495" xr:uid="{00000000-0005-0000-0000-0000FE0D0000}"/>
    <cellStyle name="Normal 12 2 3 3 3 2" xfId="14821" xr:uid="{4FECC311-A39D-4D68-98DB-EE2292DD1CB3}"/>
    <cellStyle name="Normal 12 2 3 3 4" xfId="10604" xr:uid="{3A71ACD1-4C82-4682-BD24-02FFA7A849FD}"/>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92763ED5-9E7A-4488-B84C-20E624AEB5C2}"/>
    <cellStyle name="Normal 12 2 3 4 2 3" xfId="13162" xr:uid="{CEF4DEBF-867D-4C59-9A8F-8C76BE2DA3CB}"/>
    <cellStyle name="Normal 12 2 3 4 3" xfId="5908" xr:uid="{00000000-0005-0000-0000-0000020E0000}"/>
    <cellStyle name="Normal 12 2 3 4 3 2" xfId="15234" xr:uid="{70A2E767-F58D-405E-A4E8-B4ABFA19FF60}"/>
    <cellStyle name="Normal 12 2 3 4 4" xfId="11017" xr:uid="{4C1A022C-444F-41D8-BF11-50064F788D33}"/>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BAE6B6A6-01B5-4E75-912B-540C17FACCAF}"/>
    <cellStyle name="Normal 12 2 3 5 2 3" xfId="13575" xr:uid="{F83ABC7A-A52D-44AE-B82E-641382B58BCA}"/>
    <cellStyle name="Normal 12 2 3 5 3" xfId="6321" xr:uid="{00000000-0005-0000-0000-0000060E0000}"/>
    <cellStyle name="Normal 12 2 3 5 3 2" xfId="15647" xr:uid="{D6BD5F62-C664-41D4-A6A8-A2E2873D05AA}"/>
    <cellStyle name="Normal 12 2 3 5 4" xfId="11430" xr:uid="{78BCC5DD-D92A-4719-B550-94EA984ACA9E}"/>
    <cellStyle name="Normal 12 2 3 6" xfId="2451" xr:uid="{00000000-0005-0000-0000-0000070E0000}"/>
    <cellStyle name="Normal 12 2 3 6 2" xfId="6734" xr:uid="{00000000-0005-0000-0000-0000080E0000}"/>
    <cellStyle name="Normal 12 2 3 6 2 2" xfId="16060" xr:uid="{9DF93FCE-B07F-4F75-81BD-60CA99E4E259}"/>
    <cellStyle name="Normal 12 2 3 6 3" xfId="11843" xr:uid="{CBD55C6E-6751-4367-87A3-78FDB7C970BA}"/>
    <cellStyle name="Normal 12 2 3 7" xfId="4668" xr:uid="{00000000-0005-0000-0000-0000090E0000}"/>
    <cellStyle name="Normal 12 2 3 7 2" xfId="13994" xr:uid="{FE08E406-9D63-495C-9359-18FE68BD2255}"/>
    <cellStyle name="Normal 12 2 3 8" xfId="9018" xr:uid="{C3F41DC6-3A80-4145-A68D-169ABB54B6D0}"/>
    <cellStyle name="Normal 12 2 3 9" xfId="9777" xr:uid="{104F5491-DA4B-4E90-A767-6440EDDA8779}"/>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51B93BAF-BDCC-427B-8A08-5043E0841AF5}"/>
    <cellStyle name="Normal 12 2 4 2 3" xfId="12333" xr:uid="{E007D04A-87FF-4A2F-9BF2-1F23EE758AC3}"/>
    <cellStyle name="Normal 12 2 4 3" xfId="5079" xr:uid="{00000000-0005-0000-0000-00000D0E0000}"/>
    <cellStyle name="Normal 12 2 4 3 2" xfId="14405" xr:uid="{42478473-F10B-4010-AD37-5D8A1B7BB313}"/>
    <cellStyle name="Normal 12 2 4 4" xfId="9236" xr:uid="{C3D0196D-4BB3-4870-9762-A3CF40E5B45B}"/>
    <cellStyle name="Normal 12 2 4 5" xfId="10188" xr:uid="{1EA120D7-9BF2-457A-8FFF-725145E64CF0}"/>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8E8C8C88-9259-4435-B491-9A96511D3303}"/>
    <cellStyle name="Normal 12 2 5 2 3" xfId="12746" xr:uid="{184A226E-640D-4DCE-9A69-B307B5DB9F18}"/>
    <cellStyle name="Normal 12 2 5 3" xfId="5492" xr:uid="{00000000-0005-0000-0000-0000110E0000}"/>
    <cellStyle name="Normal 12 2 5 3 2" xfId="14818" xr:uid="{B4F4484B-877B-4FF5-A0BD-99960246090B}"/>
    <cellStyle name="Normal 12 2 5 4" xfId="10601" xr:uid="{66576571-D8DD-425F-B6C0-D11ED9C5DB74}"/>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69C83BD5-CCE5-45EF-89B7-EBA37F666C8F}"/>
    <cellStyle name="Normal 12 2 6 2 3" xfId="13159" xr:uid="{7209CF02-DD83-4213-BD2C-3111FD25CF91}"/>
    <cellStyle name="Normal 12 2 6 3" xfId="5905" xr:uid="{00000000-0005-0000-0000-0000150E0000}"/>
    <cellStyle name="Normal 12 2 6 3 2" xfId="15231" xr:uid="{424BE0B2-02CB-4531-9A43-C24E5454B169}"/>
    <cellStyle name="Normal 12 2 6 4" xfId="11014" xr:uid="{D72FBB55-1418-4822-8871-E7194C80BA26}"/>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6A407476-B83D-4F90-9204-7552C0D5B796}"/>
    <cellStyle name="Normal 12 2 7 2 3" xfId="13572" xr:uid="{12B372DF-D22F-4BE5-99DD-8EA255AADB6E}"/>
    <cellStyle name="Normal 12 2 7 3" xfId="6318" xr:uid="{00000000-0005-0000-0000-0000190E0000}"/>
    <cellStyle name="Normal 12 2 7 3 2" xfId="15644" xr:uid="{3A0D5DE5-3471-434A-99F1-2C06BBD6592A}"/>
    <cellStyle name="Normal 12 2 7 4" xfId="11427" xr:uid="{F3B469FF-CD66-4FA4-BD1F-2FF3D269DAB7}"/>
    <cellStyle name="Normal 12 2 8" xfId="2448" xr:uid="{00000000-0005-0000-0000-00001A0E0000}"/>
    <cellStyle name="Normal 12 2 8 2" xfId="6731" xr:uid="{00000000-0005-0000-0000-00001B0E0000}"/>
    <cellStyle name="Normal 12 2 8 2 2" xfId="16057" xr:uid="{F2784860-3FF8-4CD5-9974-43C3218325A9}"/>
    <cellStyle name="Normal 12 2 8 3" xfId="11840" xr:uid="{7D32C49B-031B-4D3B-BD10-4F5E2D21763E}"/>
    <cellStyle name="Normal 12 2 9" xfId="4665" xr:uid="{00000000-0005-0000-0000-00001C0E0000}"/>
    <cellStyle name="Normal 12 2 9 2" xfId="13991" xr:uid="{AC36D3E0-96EB-4401-9A19-64E2BA413039}"/>
    <cellStyle name="Normal 12 3" xfId="264" xr:uid="{00000000-0005-0000-0000-00001D0E0000}"/>
    <cellStyle name="Normal 12 3 10" xfId="9778" xr:uid="{D005CBD8-282E-4A2A-A629-20A41C5ACD4E}"/>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91E14E03-2929-485D-9A72-5C62B77DB30C}"/>
    <cellStyle name="Normal 12 3 2 2 2 3" xfId="12338" xr:uid="{ACC7D890-C1B7-4064-A46D-EEC821593B8F}"/>
    <cellStyle name="Normal 12 3 2 2 3" xfId="5084" xr:uid="{00000000-0005-0000-0000-0000220E0000}"/>
    <cellStyle name="Normal 12 3 2 2 3 2" xfId="14410" xr:uid="{24D6C44E-7A3E-41CD-8B09-B37B5A670CF9}"/>
    <cellStyle name="Normal 12 3 2 2 4" xfId="9505" xr:uid="{B127619B-367D-40AD-851E-01DDBB2DCD13}"/>
    <cellStyle name="Normal 12 3 2 2 5" xfId="10193" xr:uid="{CA353390-ADD0-411E-9B77-4BCE5716F646}"/>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AFB69F76-C9CA-4CC8-A821-434551FCEFE6}"/>
    <cellStyle name="Normal 12 3 2 3 2 3" xfId="12751" xr:uid="{211BD5B3-425B-4D19-BEFC-85A730C89176}"/>
    <cellStyle name="Normal 12 3 2 3 3" xfId="5497" xr:uid="{00000000-0005-0000-0000-0000260E0000}"/>
    <cellStyle name="Normal 12 3 2 3 3 2" xfId="14823" xr:uid="{CAA1B13F-431C-4C6F-946E-13B75996AC5B}"/>
    <cellStyle name="Normal 12 3 2 3 4" xfId="10606" xr:uid="{32BC6287-5261-47F6-95F9-2909BDF7CE45}"/>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E007D783-ECA3-4891-8DFA-EB4A1A2418FA}"/>
    <cellStyle name="Normal 12 3 2 4 2 3" xfId="13164" xr:uid="{B4D04B9F-4204-486F-816C-F433200E0A6D}"/>
    <cellStyle name="Normal 12 3 2 4 3" xfId="5910" xr:uid="{00000000-0005-0000-0000-00002A0E0000}"/>
    <cellStyle name="Normal 12 3 2 4 3 2" xfId="15236" xr:uid="{7AC0E849-7974-45E0-8E7C-CA59D6092CF2}"/>
    <cellStyle name="Normal 12 3 2 4 4" xfId="11019" xr:uid="{12CD4FB2-04DA-4EB5-A506-B0514EDC2B00}"/>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9B9EFDC0-38D6-456C-BB7E-AF7E99A31621}"/>
    <cellStyle name="Normal 12 3 2 5 2 3" xfId="13577" xr:uid="{E49790D2-3C0B-4A1D-B959-43BF238A4DF9}"/>
    <cellStyle name="Normal 12 3 2 5 3" xfId="6323" xr:uid="{00000000-0005-0000-0000-00002E0E0000}"/>
    <cellStyle name="Normal 12 3 2 5 3 2" xfId="15649" xr:uid="{182EE582-5A7F-41EF-AE30-A7B692071121}"/>
    <cellStyle name="Normal 12 3 2 5 4" xfId="11432" xr:uid="{B7A32BDF-3D56-4A3D-94EE-C4C4C4CAAEAA}"/>
    <cellStyle name="Normal 12 3 2 6" xfId="2453" xr:uid="{00000000-0005-0000-0000-00002F0E0000}"/>
    <cellStyle name="Normal 12 3 2 6 2" xfId="6736" xr:uid="{00000000-0005-0000-0000-0000300E0000}"/>
    <cellStyle name="Normal 12 3 2 6 2 2" xfId="16062" xr:uid="{53078D98-94DA-4679-BF2E-E0D05CD4314D}"/>
    <cellStyle name="Normal 12 3 2 6 3" xfId="11845" xr:uid="{D0E5E24C-C96E-45BE-B767-1324BE23B552}"/>
    <cellStyle name="Normal 12 3 2 7" xfId="4670" xr:uid="{00000000-0005-0000-0000-0000310E0000}"/>
    <cellStyle name="Normal 12 3 2 7 2" xfId="13996" xr:uid="{FBBD4D68-35F4-4F3E-A5EE-756AF0588E7C}"/>
    <cellStyle name="Normal 12 3 2 8" xfId="9080" xr:uid="{403F3083-4A9F-4295-B676-C31241B8936E}"/>
    <cellStyle name="Normal 12 3 2 9" xfId="9779" xr:uid="{24529A62-6793-4B3D-858D-54182A92281F}"/>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A70CA4CD-865F-48D3-BD2B-3894F20BC769}"/>
    <cellStyle name="Normal 12 3 3 2 3" xfId="12337" xr:uid="{84436218-7C50-457F-875D-B41AF0A2B786}"/>
    <cellStyle name="Normal 12 3 3 3" xfId="5083" xr:uid="{00000000-0005-0000-0000-0000350E0000}"/>
    <cellStyle name="Normal 12 3 3 3 2" xfId="14409" xr:uid="{26D3DDE8-8C4A-49AC-AFA4-7DBFE99EEA78}"/>
    <cellStyle name="Normal 12 3 3 4" xfId="9298" xr:uid="{A6F9D711-F86A-406D-B160-91678C261745}"/>
    <cellStyle name="Normal 12 3 3 5" xfId="10192" xr:uid="{1F339928-1CC2-4204-8BA3-4D3C8E3B49A4}"/>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D7C55175-077A-4D31-8873-0A8BCAE5BA94}"/>
    <cellStyle name="Normal 12 3 4 2 3" xfId="12750" xr:uid="{30AE96A9-1A58-42C9-87E0-9DAFA55E668D}"/>
    <cellStyle name="Normal 12 3 4 3" xfId="5496" xr:uid="{00000000-0005-0000-0000-0000390E0000}"/>
    <cellStyle name="Normal 12 3 4 3 2" xfId="14822" xr:uid="{D1D5655D-3157-47B1-B3D2-57D830A8D01E}"/>
    <cellStyle name="Normal 12 3 4 4" xfId="10605" xr:uid="{077F1C2D-BCAF-4928-A067-5443639F89B8}"/>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DAD20A61-9F44-4A5F-A282-E33EE2FC9F55}"/>
    <cellStyle name="Normal 12 3 5 2 3" xfId="13163" xr:uid="{B2E02D2D-4301-4644-B7F2-EDF18A737613}"/>
    <cellStyle name="Normal 12 3 5 3" xfId="5909" xr:uid="{00000000-0005-0000-0000-00003D0E0000}"/>
    <cellStyle name="Normal 12 3 5 3 2" xfId="15235" xr:uid="{336CCA31-051A-42DE-851E-E181820E75CB}"/>
    <cellStyle name="Normal 12 3 5 4" xfId="11018" xr:uid="{D6393B3E-A157-4407-B56F-E42D2B275C90}"/>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62953583-4817-42A1-AE51-4FB8F2721EEF}"/>
    <cellStyle name="Normal 12 3 6 2 3" xfId="13576" xr:uid="{8C19EC85-5ED5-41E6-B496-42BF19315BBF}"/>
    <cellStyle name="Normal 12 3 6 3" xfId="6322" xr:uid="{00000000-0005-0000-0000-0000410E0000}"/>
    <cellStyle name="Normal 12 3 6 3 2" xfId="15648" xr:uid="{A068DFB2-4D50-4C5C-BA4F-EAFFE6D4E1EA}"/>
    <cellStyle name="Normal 12 3 6 4" xfId="11431" xr:uid="{2FCAD185-66CE-452F-924E-E4713417905C}"/>
    <cellStyle name="Normal 12 3 7" xfId="2452" xr:uid="{00000000-0005-0000-0000-0000420E0000}"/>
    <cellStyle name="Normal 12 3 7 2" xfId="6735" xr:uid="{00000000-0005-0000-0000-0000430E0000}"/>
    <cellStyle name="Normal 12 3 7 2 2" xfId="16061" xr:uid="{4242F517-1FD8-4E2B-8CAE-D982BB1989DA}"/>
    <cellStyle name="Normal 12 3 7 3" xfId="11844" xr:uid="{49734A4E-2CD6-4F62-9C23-29F5DCFCB4D3}"/>
    <cellStyle name="Normal 12 3 8" xfId="4669" xr:uid="{00000000-0005-0000-0000-0000440E0000}"/>
    <cellStyle name="Normal 12 3 8 2" xfId="13995" xr:uid="{C1735E94-F1F1-4489-89B9-893F6B990F73}"/>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52895044-173B-4E7A-838D-F71AC9D9CCA0}"/>
    <cellStyle name="Normal 12 4 2 2 3" xfId="12339" xr:uid="{A35B41AD-67DB-411F-AE13-3B7BA7C5A8F6}"/>
    <cellStyle name="Normal 12 4 2 3" xfId="5085" xr:uid="{00000000-0005-0000-0000-0000490E0000}"/>
    <cellStyle name="Normal 12 4 2 3 2" xfId="14411" xr:uid="{7525C88C-5232-4B0B-86AA-45D6597BA6A4}"/>
    <cellStyle name="Normal 12 4 2 4" xfId="9402" xr:uid="{F40C9AB7-F4D0-4A65-BBAA-FF5409160FE5}"/>
    <cellStyle name="Normal 12 4 2 5" xfId="10194" xr:uid="{0A4A9A93-E780-4345-9B3A-008D0DB057DA}"/>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F2065088-E19E-4BE8-A8FE-8358A7289C54}"/>
    <cellStyle name="Normal 12 4 3 2 3" xfId="12752" xr:uid="{E7539CA9-0C94-48FA-9392-B824CAB7873C}"/>
    <cellStyle name="Normal 12 4 3 3" xfId="5498" xr:uid="{00000000-0005-0000-0000-00004D0E0000}"/>
    <cellStyle name="Normal 12 4 3 3 2" xfId="14824" xr:uid="{95AFBC6B-6AC7-4C97-8037-E19D6649E467}"/>
    <cellStyle name="Normal 12 4 3 4" xfId="10607" xr:uid="{6DB2F824-0583-4EAE-A616-71B280B24B09}"/>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697DB4A7-94E0-4AC6-8406-8AD0A57BC644}"/>
    <cellStyle name="Normal 12 4 4 2 3" xfId="13165" xr:uid="{0EB97E66-C45E-4FEC-B4DD-40120805D2A7}"/>
    <cellStyle name="Normal 12 4 4 3" xfId="5911" xr:uid="{00000000-0005-0000-0000-0000510E0000}"/>
    <cellStyle name="Normal 12 4 4 3 2" xfId="15237" xr:uid="{191B2B0C-D55B-40F3-A6EF-E122A3BD4760}"/>
    <cellStyle name="Normal 12 4 4 4" xfId="11020" xr:uid="{BFB6494D-AD51-4D20-ADB7-C2DC9E861D79}"/>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03E95BFD-733E-4CA6-9259-CC4B80E4039E}"/>
    <cellStyle name="Normal 12 4 5 2 3" xfId="13578" xr:uid="{3141287F-15E5-449D-A704-4AA7BA5267B5}"/>
    <cellStyle name="Normal 12 4 5 3" xfId="6324" xr:uid="{00000000-0005-0000-0000-0000550E0000}"/>
    <cellStyle name="Normal 12 4 5 3 2" xfId="15650" xr:uid="{31712A1B-8DFF-4E0F-B9AF-DD52838D4126}"/>
    <cellStyle name="Normal 12 4 5 4" xfId="11433" xr:uid="{1A4CC7CA-8ACC-4965-B141-195FA46995B5}"/>
    <cellStyle name="Normal 12 4 6" xfId="2454" xr:uid="{00000000-0005-0000-0000-0000560E0000}"/>
    <cellStyle name="Normal 12 4 6 2" xfId="6737" xr:uid="{00000000-0005-0000-0000-0000570E0000}"/>
    <cellStyle name="Normal 12 4 6 2 2" xfId="16063" xr:uid="{0788009D-CBD6-42DB-A355-F3FA982E7603}"/>
    <cellStyle name="Normal 12 4 6 3" xfId="11846" xr:uid="{660775AA-E612-44E0-BCE2-E3F525FEA4F1}"/>
    <cellStyle name="Normal 12 4 7" xfId="4671" xr:uid="{00000000-0005-0000-0000-0000580E0000}"/>
    <cellStyle name="Normal 12 4 7 2" xfId="13997" xr:uid="{9E642483-14B6-4B53-96AB-D635524930F5}"/>
    <cellStyle name="Normal 12 4 8" xfId="8977" xr:uid="{5BFFE5F3-99F6-4DA1-A3EF-BF749B3B7ACB}"/>
    <cellStyle name="Normal 12 4 9" xfId="9780" xr:uid="{9C106017-0256-413D-9D38-C8779B44F8E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6549" xr:uid="{A32E23A0-BFA8-449E-93C4-237971E283F3}"/>
    <cellStyle name="Normal 12 6 2 3" xfId="12332" xr:uid="{09AA27BB-643F-4F57-8654-743FF09F1DFB}"/>
    <cellStyle name="Normal 12 6 3" xfId="5078" xr:uid="{00000000-0005-0000-0000-00005D0E0000}"/>
    <cellStyle name="Normal 12 6 3 2" xfId="14404" xr:uid="{72E5E66F-0CDF-43E6-BB06-9AFA49AC2A3B}"/>
    <cellStyle name="Normal 12 6 4" xfId="9194" xr:uid="{92D32932-3865-4F6F-A551-9A99EC116A43}"/>
    <cellStyle name="Normal 12 6 5" xfId="10187" xr:uid="{9620E961-54D0-4C24-AE8E-6C08CEF96029}"/>
    <cellStyle name="Normal 12 7" xfId="1183" xr:uid="{00000000-0005-0000-0000-00005E0E0000}"/>
    <cellStyle name="Normal 12 7 2" xfId="3414" xr:uid="{00000000-0005-0000-0000-00005F0E0000}"/>
    <cellStyle name="Normal 12 7 2 2" xfId="7636" xr:uid="{00000000-0005-0000-0000-0000600E0000}"/>
    <cellStyle name="Normal 12 7 2 2 2" xfId="16962" xr:uid="{DE8210DB-8660-49AA-A12A-A2B181AB1DE8}"/>
    <cellStyle name="Normal 12 7 2 3" xfId="12745" xr:uid="{A68571AD-54DD-4C1C-8A31-40F2AAEE063D}"/>
    <cellStyle name="Normal 12 7 3" xfId="5491" xr:uid="{00000000-0005-0000-0000-0000610E0000}"/>
    <cellStyle name="Normal 12 7 3 2" xfId="14817" xr:uid="{BBC7A5E1-BF42-4B29-B9CC-98D3C10107A1}"/>
    <cellStyle name="Normal 12 7 4" xfId="10600" xr:uid="{BF157213-418A-4599-8BF1-FBFEBEEC3AD9}"/>
    <cellStyle name="Normal 12 8" xfId="1597" xr:uid="{00000000-0005-0000-0000-0000620E0000}"/>
    <cellStyle name="Normal 12 8 2" xfId="3827" xr:uid="{00000000-0005-0000-0000-0000630E0000}"/>
    <cellStyle name="Normal 12 8 2 2" xfId="8049" xr:uid="{00000000-0005-0000-0000-0000640E0000}"/>
    <cellStyle name="Normal 12 8 2 2 2" xfId="17375" xr:uid="{A9160E26-CC8C-4540-AB32-41ED0BA47252}"/>
    <cellStyle name="Normal 12 8 2 3" xfId="13158" xr:uid="{C0A9188A-FD03-45F8-97F6-DC92EAD6DACB}"/>
    <cellStyle name="Normal 12 8 3" xfId="5904" xr:uid="{00000000-0005-0000-0000-0000650E0000}"/>
    <cellStyle name="Normal 12 8 3 2" xfId="15230" xr:uid="{7AD779EE-BC3F-434A-9A21-70AC2F8E66B6}"/>
    <cellStyle name="Normal 12 8 4" xfId="11013" xr:uid="{25D15F46-290C-4774-9066-0C73A2B90D7F}"/>
    <cellStyle name="Normal 12 9" xfId="2011" xr:uid="{00000000-0005-0000-0000-0000660E0000}"/>
    <cellStyle name="Normal 12 9 2" xfId="4240" xr:uid="{00000000-0005-0000-0000-0000670E0000}"/>
    <cellStyle name="Normal 12 9 2 2" xfId="8462" xr:uid="{00000000-0005-0000-0000-0000680E0000}"/>
    <cellStyle name="Normal 12 9 2 2 2" xfId="17788" xr:uid="{C8251388-2F4D-4F93-9308-B53E42CC383C}"/>
    <cellStyle name="Normal 12 9 2 3" xfId="13571" xr:uid="{CA45EE36-B89E-4924-93C6-2319DACA36B1}"/>
    <cellStyle name="Normal 12 9 3" xfId="6317" xr:uid="{00000000-0005-0000-0000-0000690E0000}"/>
    <cellStyle name="Normal 12 9 3 2" xfId="15643" xr:uid="{C8B61A21-4B1C-4E8C-A213-D03F1E1F832B}"/>
    <cellStyle name="Normal 12 9 4" xfId="11426" xr:uid="{FFB65E0E-79F9-4459-9140-713770CA9E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57F03B8F-E0DE-4FA8-87B5-C326E49C2BDB}"/>
    <cellStyle name="Normal 14 2 2 3" xfId="12340" xr:uid="{DCA45C99-AB1A-44FC-A2B3-C872EACFEBFB}"/>
    <cellStyle name="Normal 14 2 3" xfId="5086" xr:uid="{00000000-0005-0000-0000-0000700E0000}"/>
    <cellStyle name="Normal 14 2 3 2" xfId="14412" xr:uid="{C8247897-10DA-468A-8DE6-7E9D2DBFEADE}"/>
    <cellStyle name="Normal 14 2 4" xfId="9371" xr:uid="{E1AFB5B4-F468-480A-B09F-3374B2F03BDA}"/>
    <cellStyle name="Normal 14 2 5" xfId="10195" xr:uid="{B0AFB44B-B7ED-44C3-AB1B-16DF44ABA255}"/>
    <cellStyle name="Normal 14 3" xfId="1191" xr:uid="{00000000-0005-0000-0000-0000710E0000}"/>
    <cellStyle name="Normal 14 3 2" xfId="3422" xr:uid="{00000000-0005-0000-0000-0000720E0000}"/>
    <cellStyle name="Normal 14 3 2 2" xfId="7644" xr:uid="{00000000-0005-0000-0000-0000730E0000}"/>
    <cellStyle name="Normal 14 3 2 2 2" xfId="16970" xr:uid="{40E9DD53-4F04-43B6-9A96-A45C9E7EB648}"/>
    <cellStyle name="Normal 14 3 2 3" xfId="12753" xr:uid="{23C3DAB1-149F-4F71-BF4F-68A8D3C9FF33}"/>
    <cellStyle name="Normal 14 3 3" xfId="5499" xr:uid="{00000000-0005-0000-0000-0000740E0000}"/>
    <cellStyle name="Normal 14 3 3 2" xfId="14825" xr:uid="{BC08170C-2571-4945-AFF4-C77E5CCDF696}"/>
    <cellStyle name="Normal 14 3 4" xfId="10608" xr:uid="{40AAADD7-0425-40F0-8251-068881739FF5}"/>
    <cellStyle name="Normal 14 4" xfId="1605" xr:uid="{00000000-0005-0000-0000-0000750E0000}"/>
    <cellStyle name="Normal 14 4 2" xfId="3835" xr:uid="{00000000-0005-0000-0000-0000760E0000}"/>
    <cellStyle name="Normal 14 4 2 2" xfId="8057" xr:uid="{00000000-0005-0000-0000-0000770E0000}"/>
    <cellStyle name="Normal 14 4 2 2 2" xfId="17383" xr:uid="{03673B20-64C2-435C-8851-2E54AD54F053}"/>
    <cellStyle name="Normal 14 4 2 3" xfId="13166" xr:uid="{743FB5F5-63E2-4283-A2B4-65BABF1B921B}"/>
    <cellStyle name="Normal 14 4 3" xfId="5912" xr:uid="{00000000-0005-0000-0000-0000780E0000}"/>
    <cellStyle name="Normal 14 4 3 2" xfId="15238" xr:uid="{D35B7090-9BE5-4080-8A39-9C6897713069}"/>
    <cellStyle name="Normal 14 4 4" xfId="11021" xr:uid="{C24275DF-DC9F-48A5-AD10-3B48A68C4809}"/>
    <cellStyle name="Normal 14 5" xfId="2019" xr:uid="{00000000-0005-0000-0000-0000790E0000}"/>
    <cellStyle name="Normal 14 5 2" xfId="4248" xr:uid="{00000000-0005-0000-0000-00007A0E0000}"/>
    <cellStyle name="Normal 14 5 2 2" xfId="8470" xr:uid="{00000000-0005-0000-0000-00007B0E0000}"/>
    <cellStyle name="Normal 14 5 2 2 2" xfId="17796" xr:uid="{997D9200-B9E0-4B8F-8549-1F4E56CA9FA2}"/>
    <cellStyle name="Normal 14 5 2 3" xfId="13579" xr:uid="{EFE92DF3-9631-4D40-8D18-0E159BDE4697}"/>
    <cellStyle name="Normal 14 5 3" xfId="6325" xr:uid="{00000000-0005-0000-0000-00007C0E0000}"/>
    <cellStyle name="Normal 14 5 3 2" xfId="15651" xr:uid="{CE89CFBA-F559-4E47-AB65-1100220771B9}"/>
    <cellStyle name="Normal 14 5 4" xfId="11434" xr:uid="{00D8E167-C70D-4CD2-938B-F09019EE649C}"/>
    <cellStyle name="Normal 14 6" xfId="2455" xr:uid="{00000000-0005-0000-0000-00007D0E0000}"/>
    <cellStyle name="Normal 14 6 2" xfId="6738" xr:uid="{00000000-0005-0000-0000-00007E0E0000}"/>
    <cellStyle name="Normal 14 6 2 2" xfId="16064" xr:uid="{B8E8200D-7B90-41B6-BD89-FC903F0B54C5}"/>
    <cellStyle name="Normal 14 6 3" xfId="11847" xr:uid="{DB0A4EE8-37DA-4147-B18A-E8FC709A146F}"/>
    <cellStyle name="Normal 14 7" xfId="4672" xr:uid="{00000000-0005-0000-0000-00007F0E0000}"/>
    <cellStyle name="Normal 14 7 2" xfId="13998" xr:uid="{48B1065F-1268-46E1-B216-AA0ED6827DEB}"/>
    <cellStyle name="Normal 14 8" xfId="8946" xr:uid="{DD997A1C-6669-41AA-8AC1-78121AFC796C}"/>
    <cellStyle name="Normal 14 9" xfId="9781" xr:uid="{6F1283B0-3912-43FA-A57C-86865C738291}"/>
    <cellStyle name="Normal 15" xfId="4496" xr:uid="{00000000-0005-0000-0000-0000800E0000}"/>
    <cellStyle name="Normal 15 2" xfId="9578" xr:uid="{99513E76-E7E2-49D8-ADC5-F882C61FFC79}"/>
    <cellStyle name="Normal 15 3" xfId="9155" xr:uid="{47700DD8-A88A-4CB4-BFAD-BA75A2D4FC8E}"/>
    <cellStyle name="Normal 15 4" xfId="13824" xr:uid="{15C318B5-C448-4C12-9B47-58748BE75C6E}"/>
    <cellStyle name="Normal 16" xfId="4500" xr:uid="{00000000-0005-0000-0000-0000810E0000}"/>
    <cellStyle name="Normal 16 2" xfId="8715" xr:uid="{00000000-0005-0000-0000-0000820E0000}"/>
    <cellStyle name="Normal 16 2 2" xfId="18041" xr:uid="{9213BC21-EF96-4E29-BFE3-4ED2EACDA334}"/>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3" xfId="18057" xr:uid="{1314AE05-13BF-4FCA-AD7E-7550AF41867B}"/>
    <cellStyle name="Normal 16 3 2 2 2 3" xfId="18054" xr:uid="{CFDA476E-DBC1-4C69-A25F-1B8C4FDEECA3}"/>
    <cellStyle name="Normal 16 3 2 2 3" xfId="18050" xr:uid="{CEA2B2A3-CB20-44F8-B614-3F438FFB4CF4}"/>
    <cellStyle name="Normal 16 3 2 3" xfId="18047" xr:uid="{C354BD04-F363-4DB5-8E24-88504D382138}"/>
    <cellStyle name="Normal 16 3 3" xfId="18044" xr:uid="{C17B821A-58A8-438D-9A99-5C4DA1440A38}"/>
    <cellStyle name="Normal 16 4" xfId="9612" xr:uid="{8729F6E8-3534-4DAE-B0B2-B2AF3CDCD313}"/>
    <cellStyle name="Normal 16 5" xfId="13827" xr:uid="{9322F89C-425D-431C-AB7C-2530567A1540}"/>
    <cellStyle name="Normal 17" xfId="8728" xr:uid="{3FF0972C-833B-4475-99D8-1A6907499E71}"/>
    <cellStyle name="Normal 17 2" xfId="9157" xr:uid="{6C872296-5E17-4821-9139-E52AD113B06C}"/>
    <cellStyle name="Normal 17 3" xfId="9154" xr:uid="{DC3FF210-EC1F-47CE-8CCE-F8F5460671B1}"/>
    <cellStyle name="Normal 17 4" xfId="18053" xr:uid="{18D9DC04-7526-4E26-82C2-85BA7798731C}"/>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1451D601-2571-42EC-8718-E4A7339338C2}"/>
    <cellStyle name="Normal 2 4 2 10 2 3" xfId="13580" xr:uid="{03365FF7-AC66-41B5-81EA-DAE01005D8AF}"/>
    <cellStyle name="Normal 2 4 2 10 3" xfId="6326" xr:uid="{00000000-0005-0000-0000-0000910E0000}"/>
    <cellStyle name="Normal 2 4 2 10 3 2" xfId="15652" xr:uid="{59FA9B0B-8A0A-4AEE-BE66-158040DF7327}"/>
    <cellStyle name="Normal 2 4 2 10 4" xfId="11435" xr:uid="{9211B764-4E6A-4861-BA26-D8E813DB9C4F}"/>
    <cellStyle name="Normal 2 4 2 11" xfId="2456" xr:uid="{00000000-0005-0000-0000-0000920E0000}"/>
    <cellStyle name="Normal 2 4 2 11 2" xfId="6739" xr:uid="{00000000-0005-0000-0000-0000930E0000}"/>
    <cellStyle name="Normal 2 4 2 11 2 2" xfId="16065" xr:uid="{638D3B4C-2F53-4A75-A271-2D904AC5A393}"/>
    <cellStyle name="Normal 2 4 2 11 3" xfId="11848" xr:uid="{D97A8A7E-5840-4994-B814-9A8FBB468D88}"/>
    <cellStyle name="Normal 2 4 2 12" xfId="4673" xr:uid="{00000000-0005-0000-0000-0000940E0000}"/>
    <cellStyle name="Normal 2 4 2 12 2" xfId="13999" xr:uid="{056DB671-4F20-4EC9-B955-D1EA817385BD}"/>
    <cellStyle name="Normal 2 4 2 13" xfId="8757" xr:uid="{563A76DD-F7DD-49F0-A61E-0419F4C31301}"/>
    <cellStyle name="Normal 2 4 2 14" xfId="9782" xr:uid="{922D59AE-975C-490E-8528-A2979AA05DD6}"/>
    <cellStyle name="Normal 2 4 2 2" xfId="280" xr:uid="{00000000-0005-0000-0000-0000950E0000}"/>
    <cellStyle name="Normal 2 4 2 3" xfId="281" xr:uid="{00000000-0005-0000-0000-0000960E0000}"/>
    <cellStyle name="Normal 2 4 2 3 10" xfId="4674" xr:uid="{00000000-0005-0000-0000-0000970E0000}"/>
    <cellStyle name="Normal 2 4 2 3 10 2" xfId="14000" xr:uid="{9C833538-A9D1-4FF9-95B4-806CFABD5373}"/>
    <cellStyle name="Normal 2 4 2 3 11" xfId="8788" xr:uid="{EAD3D227-C8EF-4F54-8D24-EE1EA1F017BB}"/>
    <cellStyle name="Normal 2 4 2 3 12" xfId="9783" xr:uid="{066BF5F9-E95D-463C-975A-DA3648CA2B04}"/>
    <cellStyle name="Normal 2 4 2 3 2" xfId="282" xr:uid="{00000000-0005-0000-0000-0000980E0000}"/>
    <cellStyle name="Normal 2 4 2 3 2 10" xfId="8813" xr:uid="{C03AE35D-2438-4E07-AE9C-6D04EC6DA2B7}"/>
    <cellStyle name="Normal 2 4 2 3 2 11" xfId="9784" xr:uid="{F5739F1D-2999-43ED-81AE-03E27F0C5BD1}"/>
    <cellStyle name="Normal 2 4 2 3 2 2" xfId="283" xr:uid="{00000000-0005-0000-0000-0000990E0000}"/>
    <cellStyle name="Normal 2 4 2 3 2 2 10" xfId="9785" xr:uid="{0509C141-DD97-4F4F-A6B1-AAF37DC21438}"/>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5E95AC83-3ED2-40B8-B4C3-C8B6E6774DC9}"/>
    <cellStyle name="Normal 2 4 2 3 2 2 2 2 2 3" xfId="12345" xr:uid="{B4C5444F-CAF4-4A35-A99E-B47C2731DB8B}"/>
    <cellStyle name="Normal 2 4 2 3 2 2 2 2 3" xfId="5091" xr:uid="{00000000-0005-0000-0000-00009E0E0000}"/>
    <cellStyle name="Normal 2 4 2 3 2 2 2 2 3 2" xfId="14417" xr:uid="{3D4037FE-C86C-420C-8746-2FEB47813F4E}"/>
    <cellStyle name="Normal 2 4 2 3 2 2 2 2 4" xfId="9548" xr:uid="{29E7289E-B3F4-4F63-9B9C-B531B0E50CEB}"/>
    <cellStyle name="Normal 2 4 2 3 2 2 2 2 5" xfId="10200" xr:uid="{548E79E0-D33A-4688-B788-D62BA2F3A011}"/>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06520135-958E-4BD5-81E4-4794F2B7596F}"/>
    <cellStyle name="Normal 2 4 2 3 2 2 2 3 2 3" xfId="12758" xr:uid="{A6A800A8-64D5-4174-A310-6B6E3F37231D}"/>
    <cellStyle name="Normal 2 4 2 3 2 2 2 3 3" xfId="5504" xr:uid="{00000000-0005-0000-0000-0000A20E0000}"/>
    <cellStyle name="Normal 2 4 2 3 2 2 2 3 3 2" xfId="14830" xr:uid="{85A9F4A2-D8B1-4BC0-A076-191F7E049900}"/>
    <cellStyle name="Normal 2 4 2 3 2 2 2 3 4" xfId="10613" xr:uid="{48D54691-809B-4997-A3CD-1BE2F98DE481}"/>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9820F699-A1EC-4D26-92DF-78F13A6F723B}"/>
    <cellStyle name="Normal 2 4 2 3 2 2 2 4 2 3" xfId="13171" xr:uid="{C8FBC607-654A-48A1-9E3D-DBF1430BC94C}"/>
    <cellStyle name="Normal 2 4 2 3 2 2 2 4 3" xfId="5917" xr:uid="{00000000-0005-0000-0000-0000A60E0000}"/>
    <cellStyle name="Normal 2 4 2 3 2 2 2 4 3 2" xfId="15243" xr:uid="{012B0BE0-2F29-4A29-AFA5-FC8754FE96FD}"/>
    <cellStyle name="Normal 2 4 2 3 2 2 2 4 4" xfId="11026" xr:uid="{A72A5F98-D443-497F-8190-70D4C93A0862}"/>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E1248372-CA47-4E28-89AB-8B9634D05F6B}"/>
    <cellStyle name="Normal 2 4 2 3 2 2 2 5 2 3" xfId="13584" xr:uid="{756C6F4A-DA0B-48CA-BCF4-02BF8957F20F}"/>
    <cellStyle name="Normal 2 4 2 3 2 2 2 5 3" xfId="6330" xr:uid="{00000000-0005-0000-0000-0000AA0E0000}"/>
    <cellStyle name="Normal 2 4 2 3 2 2 2 5 3 2" xfId="15656" xr:uid="{99105C0A-B01D-4116-9ADC-6EDAED93A71F}"/>
    <cellStyle name="Normal 2 4 2 3 2 2 2 5 4" xfId="11439" xr:uid="{0DE8FCBD-D43E-4DD2-BFA0-B4DBB295107B}"/>
    <cellStyle name="Normal 2 4 2 3 2 2 2 6" xfId="2460" xr:uid="{00000000-0005-0000-0000-0000AB0E0000}"/>
    <cellStyle name="Normal 2 4 2 3 2 2 2 6 2" xfId="6743" xr:uid="{00000000-0005-0000-0000-0000AC0E0000}"/>
    <cellStyle name="Normal 2 4 2 3 2 2 2 6 2 2" xfId="16069" xr:uid="{46F5649A-1632-4712-885A-11CE3F3F0602}"/>
    <cellStyle name="Normal 2 4 2 3 2 2 2 6 3" xfId="11852" xr:uid="{07BDA60F-DF8C-4B3A-BC3E-B2352BE3EDF8}"/>
    <cellStyle name="Normal 2 4 2 3 2 2 2 7" xfId="4677" xr:uid="{00000000-0005-0000-0000-0000AD0E0000}"/>
    <cellStyle name="Normal 2 4 2 3 2 2 2 7 2" xfId="14003" xr:uid="{2034F2FD-D5BB-46FE-8431-AFAED8E42EA6}"/>
    <cellStyle name="Normal 2 4 2 3 2 2 2 8" xfId="9123" xr:uid="{9F0183A9-880D-46D9-BB7D-5696E4723F5F}"/>
    <cellStyle name="Normal 2 4 2 3 2 2 2 9" xfId="9786" xr:uid="{C53665BC-A5A9-485B-8B79-28CF4E14FA55}"/>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A21039CA-A93B-4F23-BE2D-950690F1F5E6}"/>
    <cellStyle name="Normal 2 4 2 3 2 2 3 2 3" xfId="12344" xr:uid="{25DC2E05-F771-4636-8A8A-0AA0898D304A}"/>
    <cellStyle name="Normal 2 4 2 3 2 2 3 3" xfId="5090" xr:uid="{00000000-0005-0000-0000-0000B10E0000}"/>
    <cellStyle name="Normal 2 4 2 3 2 2 3 3 2" xfId="14416" xr:uid="{A52AE817-1640-47EA-B7C7-6953E5FCDC12}"/>
    <cellStyle name="Normal 2 4 2 3 2 2 3 4" xfId="9341" xr:uid="{4F113FF5-050D-47D1-A7D5-F829C93D993D}"/>
    <cellStyle name="Normal 2 4 2 3 2 2 3 5" xfId="10199" xr:uid="{15BF1267-4869-47AF-9845-EA66A2A96FC2}"/>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E19CE910-CA9B-42A7-85D1-7093C2DDF5E3}"/>
    <cellStyle name="Normal 2 4 2 3 2 2 4 2 3" xfId="12757" xr:uid="{6D5CBC48-B16F-4DF9-8ED7-A7FA208CA75F}"/>
    <cellStyle name="Normal 2 4 2 3 2 2 4 3" xfId="5503" xr:uid="{00000000-0005-0000-0000-0000B50E0000}"/>
    <cellStyle name="Normal 2 4 2 3 2 2 4 3 2" xfId="14829" xr:uid="{E65CB5D9-1013-4C4D-B21A-0D6C009520B5}"/>
    <cellStyle name="Normal 2 4 2 3 2 2 4 4" xfId="10612" xr:uid="{DC5A322D-0999-4C99-9D6F-F1DBB8DCC394}"/>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147ED6E8-5547-41DD-8D0B-3A02B6DD8DD2}"/>
    <cellStyle name="Normal 2 4 2 3 2 2 5 2 3" xfId="13170" xr:uid="{2B14C032-4280-41F3-89FF-106CAFED5074}"/>
    <cellStyle name="Normal 2 4 2 3 2 2 5 3" xfId="5916" xr:uid="{00000000-0005-0000-0000-0000B90E0000}"/>
    <cellStyle name="Normal 2 4 2 3 2 2 5 3 2" xfId="15242" xr:uid="{A90BEC3D-DCDB-43E9-BF10-E1D9709C15B1}"/>
    <cellStyle name="Normal 2 4 2 3 2 2 5 4" xfId="11025" xr:uid="{CD78C2EB-BCA9-4A67-BF83-C125F2E4B4BD}"/>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99DF6BF8-FC8A-417C-BFDD-BBEFC4266895}"/>
    <cellStyle name="Normal 2 4 2 3 2 2 6 2 3" xfId="13583" xr:uid="{BBE029E7-43A9-42C9-A99D-60254B76E875}"/>
    <cellStyle name="Normal 2 4 2 3 2 2 6 3" xfId="6329" xr:uid="{00000000-0005-0000-0000-0000BD0E0000}"/>
    <cellStyle name="Normal 2 4 2 3 2 2 6 3 2" xfId="15655" xr:uid="{9DD0E09F-979F-4AF4-B34A-2C0D5D680D51}"/>
    <cellStyle name="Normal 2 4 2 3 2 2 6 4" xfId="11438" xr:uid="{9FE851E9-92F7-4669-B562-F6AD37F2404D}"/>
    <cellStyle name="Normal 2 4 2 3 2 2 7" xfId="2459" xr:uid="{00000000-0005-0000-0000-0000BE0E0000}"/>
    <cellStyle name="Normal 2 4 2 3 2 2 7 2" xfId="6742" xr:uid="{00000000-0005-0000-0000-0000BF0E0000}"/>
    <cellStyle name="Normal 2 4 2 3 2 2 7 2 2" xfId="16068" xr:uid="{CB4B107B-B8BC-4AB7-9967-84E895EF9666}"/>
    <cellStyle name="Normal 2 4 2 3 2 2 7 3" xfId="11851" xr:uid="{AFFC1C8B-A88F-44B6-81A0-1D442849C772}"/>
    <cellStyle name="Normal 2 4 2 3 2 2 8" xfId="4676" xr:uid="{00000000-0005-0000-0000-0000C00E0000}"/>
    <cellStyle name="Normal 2 4 2 3 2 2 8 2" xfId="14002" xr:uid="{34B887E7-FC6E-40F0-8BA0-521767556937}"/>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A7CEFB97-8FB8-4ECD-9770-CCFD5EBD7FAD}"/>
    <cellStyle name="Normal 2 4 2 3 2 3 2 2 3" xfId="12346" xr:uid="{7E0248F6-713F-4898-BFBF-26E096077A41}"/>
    <cellStyle name="Normal 2 4 2 3 2 3 2 3" xfId="5092" xr:uid="{00000000-0005-0000-0000-0000C50E0000}"/>
    <cellStyle name="Normal 2 4 2 3 2 3 2 3 2" xfId="14418" xr:uid="{AA554E73-20CF-4C44-B966-501C4176BF37}"/>
    <cellStyle name="Normal 2 4 2 3 2 3 2 4" xfId="9445" xr:uid="{67F9E33C-8554-469D-8D7A-1147F632F3B0}"/>
    <cellStyle name="Normal 2 4 2 3 2 3 2 5" xfId="10201" xr:uid="{E9CF2C31-B7FC-4C42-8C1B-53D2E08541DC}"/>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213F15D3-764A-42C1-B880-FBD2F3F0D1DA}"/>
    <cellStyle name="Normal 2 4 2 3 2 3 3 2 3" xfId="12759" xr:uid="{0868D1C0-D01E-4573-98E2-C471245D59D6}"/>
    <cellStyle name="Normal 2 4 2 3 2 3 3 3" xfId="5505" xr:uid="{00000000-0005-0000-0000-0000C90E0000}"/>
    <cellStyle name="Normal 2 4 2 3 2 3 3 3 2" xfId="14831" xr:uid="{CA9ECC63-26E8-4C0A-956B-44991B948B5A}"/>
    <cellStyle name="Normal 2 4 2 3 2 3 3 4" xfId="10614" xr:uid="{339E02BA-EC07-498F-A821-F06B6E7A8E6F}"/>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39014C91-0850-4CDE-8C54-69AE15B54A4D}"/>
    <cellStyle name="Normal 2 4 2 3 2 3 4 2 3" xfId="13172" xr:uid="{7FF6B4EB-069A-4809-BBD1-B1BAF42C4451}"/>
    <cellStyle name="Normal 2 4 2 3 2 3 4 3" xfId="5918" xr:uid="{00000000-0005-0000-0000-0000CD0E0000}"/>
    <cellStyle name="Normal 2 4 2 3 2 3 4 3 2" xfId="15244" xr:uid="{1BC73744-C1B0-42FE-AD75-23A0602B8972}"/>
    <cellStyle name="Normal 2 4 2 3 2 3 4 4" xfId="11027" xr:uid="{25AD9592-452C-4BB3-8676-E21C3FF29CEB}"/>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91C25A63-A22A-4A28-9C47-8108CABE75B4}"/>
    <cellStyle name="Normal 2 4 2 3 2 3 5 2 3" xfId="13585" xr:uid="{14817ACC-3810-4D51-B80C-D8B7D98E2F7C}"/>
    <cellStyle name="Normal 2 4 2 3 2 3 5 3" xfId="6331" xr:uid="{00000000-0005-0000-0000-0000D10E0000}"/>
    <cellStyle name="Normal 2 4 2 3 2 3 5 3 2" xfId="15657" xr:uid="{F9D756C6-2D2C-4F76-98A5-46B6A0E077CF}"/>
    <cellStyle name="Normal 2 4 2 3 2 3 5 4" xfId="11440" xr:uid="{EACE78C5-214B-42F2-863F-8508C74E1976}"/>
    <cellStyle name="Normal 2 4 2 3 2 3 6" xfId="2461" xr:uid="{00000000-0005-0000-0000-0000D20E0000}"/>
    <cellStyle name="Normal 2 4 2 3 2 3 6 2" xfId="6744" xr:uid="{00000000-0005-0000-0000-0000D30E0000}"/>
    <cellStyle name="Normal 2 4 2 3 2 3 6 2 2" xfId="16070" xr:uid="{918B0DB9-59C7-45F8-9AD2-14ED876CEBFC}"/>
    <cellStyle name="Normal 2 4 2 3 2 3 6 3" xfId="11853" xr:uid="{AAEC8E79-0023-4DB1-9FD6-AA7D85ADBF7B}"/>
    <cellStyle name="Normal 2 4 2 3 2 3 7" xfId="4678" xr:uid="{00000000-0005-0000-0000-0000D40E0000}"/>
    <cellStyle name="Normal 2 4 2 3 2 3 7 2" xfId="14004" xr:uid="{7C97AEB0-1273-4A97-B8A9-5CEC4E7D446D}"/>
    <cellStyle name="Normal 2 4 2 3 2 3 8" xfId="9020" xr:uid="{5718F785-8E2C-4B45-91D1-4597173D90A6}"/>
    <cellStyle name="Normal 2 4 2 3 2 3 9" xfId="9787" xr:uid="{ABB8782E-65DC-4B3A-963E-232A7FAAC743}"/>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B7FA2B11-480E-4CBC-B4F2-1710E4B196D5}"/>
    <cellStyle name="Normal 2 4 2 3 2 4 2 3" xfId="12343" xr:uid="{B31EFC3A-CF53-4BD7-9730-732A3A6208D6}"/>
    <cellStyle name="Normal 2 4 2 3 2 4 3" xfId="5089" xr:uid="{00000000-0005-0000-0000-0000D80E0000}"/>
    <cellStyle name="Normal 2 4 2 3 2 4 3 2" xfId="14415" xr:uid="{03C4045D-1615-45FB-8870-0C989979F17D}"/>
    <cellStyle name="Normal 2 4 2 3 2 4 4" xfId="9238" xr:uid="{BC6E5A3D-C256-46E9-A109-D643C24AA206}"/>
    <cellStyle name="Normal 2 4 2 3 2 4 5" xfId="10198" xr:uid="{09A35599-52D4-4F5F-95B3-0C43B2F96167}"/>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3E90274F-E842-43D8-9A3D-66F5292EE444}"/>
    <cellStyle name="Normal 2 4 2 3 2 5 2 3" xfId="12756" xr:uid="{88817561-92DA-4404-B5CD-6920D12FC078}"/>
    <cellStyle name="Normal 2 4 2 3 2 5 3" xfId="5502" xr:uid="{00000000-0005-0000-0000-0000DC0E0000}"/>
    <cellStyle name="Normal 2 4 2 3 2 5 3 2" xfId="14828" xr:uid="{51F972C7-9629-4AA5-B971-6116349159AE}"/>
    <cellStyle name="Normal 2 4 2 3 2 5 4" xfId="10611" xr:uid="{DAFEDE69-3C61-4EC7-93A1-998618EC0113}"/>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6ED58AF4-518F-43CD-A2DF-580BD510C473}"/>
    <cellStyle name="Normal 2 4 2 3 2 6 2 3" xfId="13169" xr:uid="{B02D159C-F008-43E2-841B-F9D845142F38}"/>
    <cellStyle name="Normal 2 4 2 3 2 6 3" xfId="5915" xr:uid="{00000000-0005-0000-0000-0000E00E0000}"/>
    <cellStyle name="Normal 2 4 2 3 2 6 3 2" xfId="15241" xr:uid="{569F5175-1756-4ED9-B792-089C6FB8B52B}"/>
    <cellStyle name="Normal 2 4 2 3 2 6 4" xfId="11024" xr:uid="{41205CBA-03B8-41CA-AE60-39CE4078BF3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B6FA6389-CEB2-4FB8-A7E4-128D4D8D8A66}"/>
    <cellStyle name="Normal 2 4 2 3 2 7 2 3" xfId="13582" xr:uid="{94A60675-F8DA-44AB-AB07-DA5105557255}"/>
    <cellStyle name="Normal 2 4 2 3 2 7 3" xfId="6328" xr:uid="{00000000-0005-0000-0000-0000E40E0000}"/>
    <cellStyle name="Normal 2 4 2 3 2 7 3 2" xfId="15654" xr:uid="{76B5D261-61F1-4B48-9152-1640C43463ED}"/>
    <cellStyle name="Normal 2 4 2 3 2 7 4" xfId="11437" xr:uid="{90EA6450-ED8C-4A15-BFE8-EA6D457170D4}"/>
    <cellStyle name="Normal 2 4 2 3 2 8" xfId="2458" xr:uid="{00000000-0005-0000-0000-0000E50E0000}"/>
    <cellStyle name="Normal 2 4 2 3 2 8 2" xfId="6741" xr:uid="{00000000-0005-0000-0000-0000E60E0000}"/>
    <cellStyle name="Normal 2 4 2 3 2 8 2 2" xfId="16067" xr:uid="{843C75AD-0DE1-40B6-97EE-C4A9DCD0F904}"/>
    <cellStyle name="Normal 2 4 2 3 2 8 3" xfId="11850" xr:uid="{7A004D06-1D90-4210-B0CE-604F930CB947}"/>
    <cellStyle name="Normal 2 4 2 3 2 9" xfId="4675" xr:uid="{00000000-0005-0000-0000-0000E70E0000}"/>
    <cellStyle name="Normal 2 4 2 3 2 9 2" xfId="14001" xr:uid="{F5BF577F-5096-46D6-8D3B-C2375201ADF9}"/>
    <cellStyle name="Normal 2 4 2 3 3" xfId="286" xr:uid="{00000000-0005-0000-0000-0000E80E0000}"/>
    <cellStyle name="Normal 2 4 2 3 3 10" xfId="9788" xr:uid="{96BC94BA-F6C3-46C2-A7FB-7209C7A781D5}"/>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65C9D69A-E572-49E6-A914-BD956A66FD35}"/>
    <cellStyle name="Normal 2 4 2 3 3 2 2 2 3" xfId="12348" xr:uid="{CC598BD0-21C3-4534-8B8E-36EA577462B5}"/>
    <cellStyle name="Normal 2 4 2 3 3 2 2 3" xfId="5094" xr:uid="{00000000-0005-0000-0000-0000ED0E0000}"/>
    <cellStyle name="Normal 2 4 2 3 3 2 2 3 2" xfId="14420" xr:uid="{8CA093C7-0326-4804-A31E-59ED916C17B0}"/>
    <cellStyle name="Normal 2 4 2 3 3 2 2 4" xfId="9523" xr:uid="{49BCB42B-3FEB-4D87-8E20-52FE775F87DD}"/>
    <cellStyle name="Normal 2 4 2 3 3 2 2 5" xfId="10203" xr:uid="{508AB3EB-6032-45ED-BE8E-92D983FFB2E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EFC6348C-5983-453F-AB0A-E1BF78F9E26B}"/>
    <cellStyle name="Normal 2 4 2 3 3 2 3 2 3" xfId="12761" xr:uid="{79F95D9F-0DFC-4C78-A752-15A5BAAD399D}"/>
    <cellStyle name="Normal 2 4 2 3 3 2 3 3" xfId="5507" xr:uid="{00000000-0005-0000-0000-0000F10E0000}"/>
    <cellStyle name="Normal 2 4 2 3 3 2 3 3 2" xfId="14833" xr:uid="{548AD931-A258-4D1D-B4C1-CF94EA40EA93}"/>
    <cellStyle name="Normal 2 4 2 3 3 2 3 4" xfId="10616" xr:uid="{634B294D-3877-4D18-BC06-415D15ABEB5B}"/>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80E2EFB9-55C2-4FA0-8E72-6BAE52B8237F}"/>
    <cellStyle name="Normal 2 4 2 3 3 2 4 2 3" xfId="13174" xr:uid="{0C3D9987-CB61-44CE-BF88-8568CA094609}"/>
    <cellStyle name="Normal 2 4 2 3 3 2 4 3" xfId="5920" xr:uid="{00000000-0005-0000-0000-0000F50E0000}"/>
    <cellStyle name="Normal 2 4 2 3 3 2 4 3 2" xfId="15246" xr:uid="{0BA83684-BA6F-46AD-BA1C-42D14A6AA5AA}"/>
    <cellStyle name="Normal 2 4 2 3 3 2 4 4" xfId="11029" xr:uid="{A0646370-C2B8-475A-AE71-E67F1F9CCDAF}"/>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B2CCFB38-05C4-4BF4-AB5E-BB225C395971}"/>
    <cellStyle name="Normal 2 4 2 3 3 2 5 2 3" xfId="13587" xr:uid="{53E3F985-40DD-4030-9988-9A4EEC081F5D}"/>
    <cellStyle name="Normal 2 4 2 3 3 2 5 3" xfId="6333" xr:uid="{00000000-0005-0000-0000-0000F90E0000}"/>
    <cellStyle name="Normal 2 4 2 3 3 2 5 3 2" xfId="15659" xr:uid="{74420446-CFC9-44D8-B3EA-3FBFED437E39}"/>
    <cellStyle name="Normal 2 4 2 3 3 2 5 4" xfId="11442" xr:uid="{C14E71ED-E738-4E59-8D33-3B9EF048D696}"/>
    <cellStyle name="Normal 2 4 2 3 3 2 6" xfId="2463" xr:uid="{00000000-0005-0000-0000-0000FA0E0000}"/>
    <cellStyle name="Normal 2 4 2 3 3 2 6 2" xfId="6746" xr:uid="{00000000-0005-0000-0000-0000FB0E0000}"/>
    <cellStyle name="Normal 2 4 2 3 3 2 6 2 2" xfId="16072" xr:uid="{E4BC828B-872F-4EAF-908B-2F4B412545DF}"/>
    <cellStyle name="Normal 2 4 2 3 3 2 6 3" xfId="11855" xr:uid="{A22B0F24-E741-4948-A7EA-E10863294B6A}"/>
    <cellStyle name="Normal 2 4 2 3 3 2 7" xfId="4680" xr:uid="{00000000-0005-0000-0000-0000FC0E0000}"/>
    <cellStyle name="Normal 2 4 2 3 3 2 7 2" xfId="14006" xr:uid="{ADBBAFD7-2A34-43B2-A8E6-D2AD098968E6}"/>
    <cellStyle name="Normal 2 4 2 3 3 2 8" xfId="9098" xr:uid="{15335B31-FFDD-479D-88EC-FAB83DC4E6EC}"/>
    <cellStyle name="Normal 2 4 2 3 3 2 9" xfId="9789" xr:uid="{78DB8C78-053E-4E37-A683-2FBD1ADCDBB9}"/>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C69530F1-8FA2-44C7-BA93-6E4BED55F889}"/>
    <cellStyle name="Normal 2 4 2 3 3 3 2 3" xfId="12347" xr:uid="{DFDBBDFC-26A7-4E2D-B90A-1730C7932789}"/>
    <cellStyle name="Normal 2 4 2 3 3 3 3" xfId="5093" xr:uid="{00000000-0005-0000-0000-0000000F0000}"/>
    <cellStyle name="Normal 2 4 2 3 3 3 3 2" xfId="14419" xr:uid="{76D5820D-E571-46BF-82DE-47778F2ACDB2}"/>
    <cellStyle name="Normal 2 4 2 3 3 3 4" xfId="9316" xr:uid="{C8C83D09-5A3A-4C90-8A04-9D7CD8C85B11}"/>
    <cellStyle name="Normal 2 4 2 3 3 3 5" xfId="10202" xr:uid="{7CF30A35-BE87-4B26-92F7-2431FF2EF772}"/>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D646C3E3-E4E0-4C32-A90B-F9DACB4A3181}"/>
    <cellStyle name="Normal 2 4 2 3 3 4 2 3" xfId="12760" xr:uid="{7D976464-56A1-4607-8407-B9484439751B}"/>
    <cellStyle name="Normal 2 4 2 3 3 4 3" xfId="5506" xr:uid="{00000000-0005-0000-0000-0000040F0000}"/>
    <cellStyle name="Normal 2 4 2 3 3 4 3 2" xfId="14832" xr:uid="{6368017E-C194-471A-8C7A-49434316154B}"/>
    <cellStyle name="Normal 2 4 2 3 3 4 4" xfId="10615" xr:uid="{710D9806-653A-4286-9C7F-F781D78233E6}"/>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D81A56D0-91B9-4F79-9B3A-5C40118D7775}"/>
    <cellStyle name="Normal 2 4 2 3 3 5 2 3" xfId="13173" xr:uid="{28FB1935-E482-4AAE-8C12-0FE43F560022}"/>
    <cellStyle name="Normal 2 4 2 3 3 5 3" xfId="5919" xr:uid="{00000000-0005-0000-0000-0000080F0000}"/>
    <cellStyle name="Normal 2 4 2 3 3 5 3 2" xfId="15245" xr:uid="{4CC01F7A-676C-4DB0-A6F8-4B7FF427314F}"/>
    <cellStyle name="Normal 2 4 2 3 3 5 4" xfId="11028" xr:uid="{C1D26F8A-7A49-4BF4-9902-021DEC77BD39}"/>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CC5ED7DC-9C3D-4223-B7DB-D4D15E43EBA3}"/>
    <cellStyle name="Normal 2 4 2 3 3 6 2 3" xfId="13586" xr:uid="{2E9FD2C0-1F21-4BA0-90B6-6C8795CCB93B}"/>
    <cellStyle name="Normal 2 4 2 3 3 6 3" xfId="6332" xr:uid="{00000000-0005-0000-0000-00000C0F0000}"/>
    <cellStyle name="Normal 2 4 2 3 3 6 3 2" xfId="15658" xr:uid="{E2270BF6-D889-484A-881D-97258089D6F1}"/>
    <cellStyle name="Normal 2 4 2 3 3 6 4" xfId="11441" xr:uid="{36511158-F6A0-4844-A17F-D57F317FB9D0}"/>
    <cellStyle name="Normal 2 4 2 3 3 7" xfId="2462" xr:uid="{00000000-0005-0000-0000-00000D0F0000}"/>
    <cellStyle name="Normal 2 4 2 3 3 7 2" xfId="6745" xr:uid="{00000000-0005-0000-0000-00000E0F0000}"/>
    <cellStyle name="Normal 2 4 2 3 3 7 2 2" xfId="16071" xr:uid="{DB5075B0-C370-4467-A8B1-AEF3C28275A8}"/>
    <cellStyle name="Normal 2 4 2 3 3 7 3" xfId="11854" xr:uid="{8ED77B98-03DB-4B63-A903-C3D3686B7227}"/>
    <cellStyle name="Normal 2 4 2 3 3 8" xfId="4679" xr:uid="{00000000-0005-0000-0000-00000F0F0000}"/>
    <cellStyle name="Normal 2 4 2 3 3 8 2" xfId="14005" xr:uid="{40EA6B24-5C64-4680-A38A-2C0161B54AEA}"/>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6D29406D-D2A8-43B1-8C21-531D83E77612}"/>
    <cellStyle name="Normal 2 4 2 3 4 2 2 3" xfId="12349" xr:uid="{EAC3B937-6849-44C3-853F-1EB10F282E57}"/>
    <cellStyle name="Normal 2 4 2 3 4 2 3" xfId="5095" xr:uid="{00000000-0005-0000-0000-0000140F0000}"/>
    <cellStyle name="Normal 2 4 2 3 4 2 3 2" xfId="14421" xr:uid="{8ECBEBC9-C431-4102-9513-A2DC5F97FB3C}"/>
    <cellStyle name="Normal 2 4 2 3 4 2 4" xfId="9420" xr:uid="{49E252B3-99BC-416A-A0CB-FE2641ECFDE3}"/>
    <cellStyle name="Normal 2 4 2 3 4 2 5" xfId="10204" xr:uid="{04FD12F0-5F8F-4FE6-8466-A32ABC42FCC2}"/>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B9F67F7C-875A-4E20-8CE4-8A8695169C15}"/>
    <cellStyle name="Normal 2 4 2 3 4 3 2 3" xfId="12762" xr:uid="{5B9B6D19-CF0D-44DF-A4C7-C2DC077507E4}"/>
    <cellStyle name="Normal 2 4 2 3 4 3 3" xfId="5508" xr:uid="{00000000-0005-0000-0000-0000180F0000}"/>
    <cellStyle name="Normal 2 4 2 3 4 3 3 2" xfId="14834" xr:uid="{4A4D227D-CE7D-49BC-BB70-8675DC96D966}"/>
    <cellStyle name="Normal 2 4 2 3 4 3 4" xfId="10617" xr:uid="{561B4908-285F-4716-A19D-BF7F2CFC962E}"/>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16902066-1900-4618-BE2C-462BADDA9110}"/>
    <cellStyle name="Normal 2 4 2 3 4 4 2 3" xfId="13175" xr:uid="{E2EE7A48-175C-4738-B97F-4EC8B7253FD7}"/>
    <cellStyle name="Normal 2 4 2 3 4 4 3" xfId="5921" xr:uid="{00000000-0005-0000-0000-00001C0F0000}"/>
    <cellStyle name="Normal 2 4 2 3 4 4 3 2" xfId="15247" xr:uid="{8B2A622E-66A3-4685-8B68-E5DCB67E12D4}"/>
    <cellStyle name="Normal 2 4 2 3 4 4 4" xfId="11030" xr:uid="{4EAB287E-B07B-445A-9E9D-0C6DAAF96449}"/>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24CC8AE6-E915-4DF3-9D12-A208326F9077}"/>
    <cellStyle name="Normal 2 4 2 3 4 5 2 3" xfId="13588" xr:uid="{186C2479-B7C2-4B28-B6E7-7CDD514093F7}"/>
    <cellStyle name="Normal 2 4 2 3 4 5 3" xfId="6334" xr:uid="{00000000-0005-0000-0000-0000200F0000}"/>
    <cellStyle name="Normal 2 4 2 3 4 5 3 2" xfId="15660" xr:uid="{DE8EDAE7-22B2-4718-9872-4722DB93892D}"/>
    <cellStyle name="Normal 2 4 2 3 4 5 4" xfId="11443" xr:uid="{DDB66FC5-8C66-483B-82B7-272ACC8B69B3}"/>
    <cellStyle name="Normal 2 4 2 3 4 6" xfId="2464" xr:uid="{00000000-0005-0000-0000-0000210F0000}"/>
    <cellStyle name="Normal 2 4 2 3 4 6 2" xfId="6747" xr:uid="{00000000-0005-0000-0000-0000220F0000}"/>
    <cellStyle name="Normal 2 4 2 3 4 6 2 2" xfId="16073" xr:uid="{9294DAD5-7640-4361-BE6F-667458268CA0}"/>
    <cellStyle name="Normal 2 4 2 3 4 6 3" xfId="11856" xr:uid="{1CBE79F8-44AE-411D-9641-551E1646370B}"/>
    <cellStyle name="Normal 2 4 2 3 4 7" xfId="4681" xr:uid="{00000000-0005-0000-0000-0000230F0000}"/>
    <cellStyle name="Normal 2 4 2 3 4 7 2" xfId="14007" xr:uid="{14321277-4551-4564-A3A2-C05482ADFA51}"/>
    <cellStyle name="Normal 2 4 2 3 4 8" xfId="8995" xr:uid="{EEE25A27-4C18-4948-8341-FF27707A7A86}"/>
    <cellStyle name="Normal 2 4 2 3 4 9" xfId="9790" xr:uid="{6CE175F6-4768-4DCC-83B1-F997E38EEF9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EB0B008E-7120-4D94-80A3-0AC212B47C73}"/>
    <cellStyle name="Normal 2 4 2 3 5 2 3" xfId="12342" xr:uid="{B8B21F61-FEAF-473A-AEFB-B81F50E1852F}"/>
    <cellStyle name="Normal 2 4 2 3 5 3" xfId="5088" xr:uid="{00000000-0005-0000-0000-0000270F0000}"/>
    <cellStyle name="Normal 2 4 2 3 5 3 2" xfId="14414" xr:uid="{C68B43A3-F2F6-4A9B-9303-210EEA3F1B33}"/>
    <cellStyle name="Normal 2 4 2 3 5 4" xfId="9212" xr:uid="{39F1BF9F-C79C-4226-B2D8-665EAA6F3686}"/>
    <cellStyle name="Normal 2 4 2 3 5 5" xfId="10197" xr:uid="{B89B7100-7145-4AE3-90D9-B39239406174}"/>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311D08BF-80C0-4FA4-BB0F-C5D05A38A791}"/>
    <cellStyle name="Normal 2 4 2 3 6 2 3" xfId="12755" xr:uid="{E5365356-6010-4693-98C3-CAD0F6AFA907}"/>
    <cellStyle name="Normal 2 4 2 3 6 3" xfId="5501" xr:uid="{00000000-0005-0000-0000-00002B0F0000}"/>
    <cellStyle name="Normal 2 4 2 3 6 3 2" xfId="14827" xr:uid="{1CE28185-ADE7-4C07-8E40-AE9212D36DBE}"/>
    <cellStyle name="Normal 2 4 2 3 6 4" xfId="10610" xr:uid="{801860C3-1E3A-4171-A299-3E3C7D951022}"/>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E3D9987C-EFD8-488E-8A0A-EFB63C887EE7}"/>
    <cellStyle name="Normal 2 4 2 3 7 2 3" xfId="13168" xr:uid="{906FE714-EF06-461C-AF23-99340C5E445E}"/>
    <cellStyle name="Normal 2 4 2 3 7 3" xfId="5914" xr:uid="{00000000-0005-0000-0000-00002F0F0000}"/>
    <cellStyle name="Normal 2 4 2 3 7 3 2" xfId="15240" xr:uid="{4DA0163A-75D3-4F52-9A42-D82D2682A4F8}"/>
    <cellStyle name="Normal 2 4 2 3 7 4" xfId="11023" xr:uid="{169CE030-A01B-4CF8-90F9-DB985F06792E}"/>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63D7B8FB-F8C7-4592-BC59-814B3713EE57}"/>
    <cellStyle name="Normal 2 4 2 3 8 2 3" xfId="13581" xr:uid="{CAA7F3E6-751A-404F-B1DA-3E5F336C21A9}"/>
    <cellStyle name="Normal 2 4 2 3 8 3" xfId="6327" xr:uid="{00000000-0005-0000-0000-0000330F0000}"/>
    <cellStyle name="Normal 2 4 2 3 8 3 2" xfId="15653" xr:uid="{5285F128-9EAF-422A-B70F-4B9E67730D46}"/>
    <cellStyle name="Normal 2 4 2 3 8 4" xfId="11436" xr:uid="{F5C3B4EA-A8DF-4CD1-AB69-83856FFE5648}"/>
    <cellStyle name="Normal 2 4 2 3 9" xfId="2457" xr:uid="{00000000-0005-0000-0000-0000340F0000}"/>
    <cellStyle name="Normal 2 4 2 3 9 2" xfId="6740" xr:uid="{00000000-0005-0000-0000-0000350F0000}"/>
    <cellStyle name="Normal 2 4 2 3 9 2 2" xfId="16066" xr:uid="{536AFE40-4E5C-45DA-B702-CB020D6E8A4D}"/>
    <cellStyle name="Normal 2 4 2 3 9 3" xfId="11849" xr:uid="{20882520-FFAC-4F5B-A86B-55A3FF664A70}"/>
    <cellStyle name="Normal 2 4 2 4" xfId="289" xr:uid="{00000000-0005-0000-0000-0000360F0000}"/>
    <cellStyle name="Normal 2 4 2 4 10" xfId="8812" xr:uid="{C2E08BA7-2068-4F74-AFE2-E0AED0B82FE2}"/>
    <cellStyle name="Normal 2 4 2 4 11" xfId="9791" xr:uid="{C17A9D24-4476-43C2-8D25-E6D2E7942934}"/>
    <cellStyle name="Normal 2 4 2 4 2" xfId="290" xr:uid="{00000000-0005-0000-0000-0000370F0000}"/>
    <cellStyle name="Normal 2 4 2 4 2 10" xfId="9792" xr:uid="{08F86590-9641-4292-AD11-12500EA6AB57}"/>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F4ADE7E1-1998-4A35-B434-0BC44339CEE8}"/>
    <cellStyle name="Normal 2 4 2 4 2 2 2 2 3" xfId="12352" xr:uid="{8647DF92-A01F-43DF-A624-0523EA1727E5}"/>
    <cellStyle name="Normal 2 4 2 4 2 2 2 3" xfId="5098" xr:uid="{00000000-0005-0000-0000-00003C0F0000}"/>
    <cellStyle name="Normal 2 4 2 4 2 2 2 3 2" xfId="14424" xr:uid="{2C88CF78-03EE-4D9C-9451-0C11F5AFE1FB}"/>
    <cellStyle name="Normal 2 4 2 4 2 2 2 4" xfId="9547" xr:uid="{F8909421-8B16-4168-8B85-A5523C430C3C}"/>
    <cellStyle name="Normal 2 4 2 4 2 2 2 5" xfId="10207" xr:uid="{9D01CB7D-7483-4403-AA73-75A916DF1D9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890AAC0B-0940-43D7-A6C6-4D3E94B0FCD5}"/>
    <cellStyle name="Normal 2 4 2 4 2 2 3 2 3" xfId="12765" xr:uid="{F43495BA-57E1-418F-9E27-F48A5EBAEC78}"/>
    <cellStyle name="Normal 2 4 2 4 2 2 3 3" xfId="5511" xr:uid="{00000000-0005-0000-0000-0000400F0000}"/>
    <cellStyle name="Normal 2 4 2 4 2 2 3 3 2" xfId="14837" xr:uid="{6FF4A12F-0146-4C35-A8A3-32AE7624D19B}"/>
    <cellStyle name="Normal 2 4 2 4 2 2 3 4" xfId="10620" xr:uid="{C660021F-C1E9-4452-B5A6-966E225C04BE}"/>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9034B984-7D95-4E33-9B69-E5C7574C9378}"/>
    <cellStyle name="Normal 2 4 2 4 2 2 4 2 3" xfId="13178" xr:uid="{077BB50B-11FC-4F4F-B6CF-008DD7A39CB3}"/>
    <cellStyle name="Normal 2 4 2 4 2 2 4 3" xfId="5924" xr:uid="{00000000-0005-0000-0000-0000440F0000}"/>
    <cellStyle name="Normal 2 4 2 4 2 2 4 3 2" xfId="15250" xr:uid="{93633CAA-01E5-4D32-A798-FEBBD20F2FC0}"/>
    <cellStyle name="Normal 2 4 2 4 2 2 4 4" xfId="11033" xr:uid="{49439842-4D52-4B3A-B4BB-16FB45C09C34}"/>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3B2129CE-0131-4935-9371-6F7B8AAE1BDB}"/>
    <cellStyle name="Normal 2 4 2 4 2 2 5 2 3" xfId="13591" xr:uid="{14CC1243-65DC-409F-80AB-F93F543AE29C}"/>
    <cellStyle name="Normal 2 4 2 4 2 2 5 3" xfId="6337" xr:uid="{00000000-0005-0000-0000-0000480F0000}"/>
    <cellStyle name="Normal 2 4 2 4 2 2 5 3 2" xfId="15663" xr:uid="{79804465-5DEA-4C8A-997D-05C8FB07456D}"/>
    <cellStyle name="Normal 2 4 2 4 2 2 5 4" xfId="11446" xr:uid="{503AFA91-F882-4EA3-8A6A-C8C1F50F5A55}"/>
    <cellStyle name="Normal 2 4 2 4 2 2 6" xfId="2467" xr:uid="{00000000-0005-0000-0000-0000490F0000}"/>
    <cellStyle name="Normal 2 4 2 4 2 2 6 2" xfId="6750" xr:uid="{00000000-0005-0000-0000-00004A0F0000}"/>
    <cellStyle name="Normal 2 4 2 4 2 2 6 2 2" xfId="16076" xr:uid="{4C4BA47F-880A-417F-81CD-BA386C833EA7}"/>
    <cellStyle name="Normal 2 4 2 4 2 2 6 3" xfId="11859" xr:uid="{45313B70-0B03-4674-9846-23EDD3E036CB}"/>
    <cellStyle name="Normal 2 4 2 4 2 2 7" xfId="4684" xr:uid="{00000000-0005-0000-0000-00004B0F0000}"/>
    <cellStyle name="Normal 2 4 2 4 2 2 7 2" xfId="14010" xr:uid="{0EC3C8CF-D670-4571-B0B3-0034692B8B74}"/>
    <cellStyle name="Normal 2 4 2 4 2 2 8" xfId="9122" xr:uid="{861CB008-611F-4F3F-9D09-5BCA5A4CB255}"/>
    <cellStyle name="Normal 2 4 2 4 2 2 9" xfId="9793" xr:uid="{47349A77-D288-476E-BC2C-75B3D7A3AB6F}"/>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3BD5DD6C-F951-4425-895C-FB3D0948EB71}"/>
    <cellStyle name="Normal 2 4 2 4 2 3 2 3" xfId="12351" xr:uid="{74A9B08B-6E60-4F02-A8EA-236DF917D0B6}"/>
    <cellStyle name="Normal 2 4 2 4 2 3 3" xfId="5097" xr:uid="{00000000-0005-0000-0000-00004F0F0000}"/>
    <cellStyle name="Normal 2 4 2 4 2 3 3 2" xfId="14423" xr:uid="{1637B8FF-C56A-488D-8B41-4EC204E20F01}"/>
    <cellStyle name="Normal 2 4 2 4 2 3 4" xfId="9340" xr:uid="{2D1F2F91-F6E8-42AC-98D0-B8667E0ECE37}"/>
    <cellStyle name="Normal 2 4 2 4 2 3 5" xfId="10206" xr:uid="{6ABD30AE-F06F-46D1-9A34-4A3DB1B40F83}"/>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522ECF4C-3C46-4C60-A8CA-A853DF8E01D4}"/>
    <cellStyle name="Normal 2 4 2 4 2 4 2 3" xfId="12764" xr:uid="{3DC8797C-181C-426B-B6A8-BA2B0C156EF4}"/>
    <cellStyle name="Normal 2 4 2 4 2 4 3" xfId="5510" xr:uid="{00000000-0005-0000-0000-0000530F0000}"/>
    <cellStyle name="Normal 2 4 2 4 2 4 3 2" xfId="14836" xr:uid="{306FE725-5F10-4575-8F41-4C74BFBA5842}"/>
    <cellStyle name="Normal 2 4 2 4 2 4 4" xfId="10619" xr:uid="{616A01AD-D7F7-40CB-95D3-ECDFA733E684}"/>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6E00A773-40B8-4FE3-B58D-D885F01D880C}"/>
    <cellStyle name="Normal 2 4 2 4 2 5 2 3" xfId="13177" xr:uid="{F97B03C8-ECDF-48A8-A29F-8E660EC8E66F}"/>
    <cellStyle name="Normal 2 4 2 4 2 5 3" xfId="5923" xr:uid="{00000000-0005-0000-0000-0000570F0000}"/>
    <cellStyle name="Normal 2 4 2 4 2 5 3 2" xfId="15249" xr:uid="{CAE67CE1-30A8-4C9E-B98A-FCEBEB1851CB}"/>
    <cellStyle name="Normal 2 4 2 4 2 5 4" xfId="11032" xr:uid="{F1BFD775-0904-4E88-84A5-6B13D9A5C49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DD1ACF6C-8AF4-4D46-BEFA-47DC5C33B1E2}"/>
    <cellStyle name="Normal 2 4 2 4 2 6 2 3" xfId="13590" xr:uid="{29948A87-6E56-44FE-8257-09CFE3510605}"/>
    <cellStyle name="Normal 2 4 2 4 2 6 3" xfId="6336" xr:uid="{00000000-0005-0000-0000-00005B0F0000}"/>
    <cellStyle name="Normal 2 4 2 4 2 6 3 2" xfId="15662" xr:uid="{FC9BACF3-EF8C-4809-97AE-577927C7C5FA}"/>
    <cellStyle name="Normal 2 4 2 4 2 6 4" xfId="11445" xr:uid="{7B97A848-AC35-4DC1-A77D-491FBF7CD658}"/>
    <cellStyle name="Normal 2 4 2 4 2 7" xfId="2466" xr:uid="{00000000-0005-0000-0000-00005C0F0000}"/>
    <cellStyle name="Normal 2 4 2 4 2 7 2" xfId="6749" xr:uid="{00000000-0005-0000-0000-00005D0F0000}"/>
    <cellStyle name="Normal 2 4 2 4 2 7 2 2" xfId="16075" xr:uid="{AFE089E2-E9A1-44D5-B940-AEA1AD8CE8B9}"/>
    <cellStyle name="Normal 2 4 2 4 2 7 3" xfId="11858" xr:uid="{FD6D2B6E-6AAE-40DE-9C56-C274BBD04990}"/>
    <cellStyle name="Normal 2 4 2 4 2 8" xfId="4683" xr:uid="{00000000-0005-0000-0000-00005E0F0000}"/>
    <cellStyle name="Normal 2 4 2 4 2 8 2" xfId="14009" xr:uid="{E3429EAB-5BAB-4394-B430-91434C98BD6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E84A08B5-EFFB-47DD-B4FA-68C8ECE37DC1}"/>
    <cellStyle name="Normal 2 4 2 4 3 2 2 3" xfId="12353" xr:uid="{4726286E-19C6-4160-B408-E15B3D5323C4}"/>
    <cellStyle name="Normal 2 4 2 4 3 2 3" xfId="5099" xr:uid="{00000000-0005-0000-0000-0000630F0000}"/>
    <cellStyle name="Normal 2 4 2 4 3 2 3 2" xfId="14425" xr:uid="{4F214A29-2838-4457-91BA-28CBEC933C5D}"/>
    <cellStyle name="Normal 2 4 2 4 3 2 4" xfId="9444" xr:uid="{807939DF-E7C0-4015-A3D8-AE9E56020172}"/>
    <cellStyle name="Normal 2 4 2 4 3 2 5" xfId="10208" xr:uid="{D331B364-70F0-4A32-AB69-A7C1EDDE0D5B}"/>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F9A4195B-E97C-45E5-8F9F-7F9A5F6F1247}"/>
    <cellStyle name="Normal 2 4 2 4 3 3 2 3" xfId="12766" xr:uid="{8460BABD-690F-488B-AA53-4FFED022CEB9}"/>
    <cellStyle name="Normal 2 4 2 4 3 3 3" xfId="5512" xr:uid="{00000000-0005-0000-0000-0000670F0000}"/>
    <cellStyle name="Normal 2 4 2 4 3 3 3 2" xfId="14838" xr:uid="{071EF964-9C9B-4473-B799-ED5358F9FB2E}"/>
    <cellStyle name="Normal 2 4 2 4 3 3 4" xfId="10621" xr:uid="{BDCE2B7A-D816-4926-AB5B-9BE1694393A6}"/>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4E0BAEBC-90BA-40C0-8DE1-CCE487CFF49D}"/>
    <cellStyle name="Normal 2 4 2 4 3 4 2 3" xfId="13179" xr:uid="{3F2DB1CF-2253-432B-99F6-9B2B31673CCB}"/>
    <cellStyle name="Normal 2 4 2 4 3 4 3" xfId="5925" xr:uid="{00000000-0005-0000-0000-00006B0F0000}"/>
    <cellStyle name="Normal 2 4 2 4 3 4 3 2" xfId="15251" xr:uid="{BEF6D76E-FF7C-42AD-9274-C45C98D85A3C}"/>
    <cellStyle name="Normal 2 4 2 4 3 4 4" xfId="11034" xr:uid="{06D5B856-AAAC-4634-8936-F21563A0D19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EEE8D6E0-9837-4315-A7A0-9976C01CABC5}"/>
    <cellStyle name="Normal 2 4 2 4 3 5 2 3" xfId="13592" xr:uid="{07E0B456-9836-475E-B1F9-2B236689DCD6}"/>
    <cellStyle name="Normal 2 4 2 4 3 5 3" xfId="6338" xr:uid="{00000000-0005-0000-0000-00006F0F0000}"/>
    <cellStyle name="Normal 2 4 2 4 3 5 3 2" xfId="15664" xr:uid="{15D01EC2-D220-4D25-8B27-09FFE5CB7EA1}"/>
    <cellStyle name="Normal 2 4 2 4 3 5 4" xfId="11447" xr:uid="{DA9FB589-25DD-4D16-BA36-85EFDF0D4687}"/>
    <cellStyle name="Normal 2 4 2 4 3 6" xfId="2468" xr:uid="{00000000-0005-0000-0000-0000700F0000}"/>
    <cellStyle name="Normal 2 4 2 4 3 6 2" xfId="6751" xr:uid="{00000000-0005-0000-0000-0000710F0000}"/>
    <cellStyle name="Normal 2 4 2 4 3 6 2 2" xfId="16077" xr:uid="{1FDBDDD6-A4BF-4023-B95A-A95531762D1D}"/>
    <cellStyle name="Normal 2 4 2 4 3 6 3" xfId="11860" xr:uid="{FD167D52-CAB7-41AF-A4F4-118FAF2C021D}"/>
    <cellStyle name="Normal 2 4 2 4 3 7" xfId="4685" xr:uid="{00000000-0005-0000-0000-0000720F0000}"/>
    <cellStyle name="Normal 2 4 2 4 3 7 2" xfId="14011" xr:uid="{81F90E4D-DEE3-4210-8E1A-387F8221406A}"/>
    <cellStyle name="Normal 2 4 2 4 3 8" xfId="9019" xr:uid="{1F22810F-FF7D-4FF4-861A-F2BA8F253428}"/>
    <cellStyle name="Normal 2 4 2 4 3 9" xfId="9794" xr:uid="{594B5DEE-A13F-4E99-A5A2-E4B4D867C8F5}"/>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8D874F07-542C-4AD2-B4B8-C8989968AE9A}"/>
    <cellStyle name="Normal 2 4 2 4 4 2 3" xfId="12350" xr:uid="{01008E3F-FD78-43F3-985E-C337F6B10599}"/>
    <cellStyle name="Normal 2 4 2 4 4 3" xfId="5096" xr:uid="{00000000-0005-0000-0000-0000760F0000}"/>
    <cellStyle name="Normal 2 4 2 4 4 3 2" xfId="14422" xr:uid="{B8821EEB-7F62-4AA6-8310-224FE75A787F}"/>
    <cellStyle name="Normal 2 4 2 4 4 4" xfId="9237" xr:uid="{FF4B133D-A40B-4895-9E3D-E727B18E66C8}"/>
    <cellStyle name="Normal 2 4 2 4 4 5" xfId="10205" xr:uid="{EE059828-8658-41F2-B845-3CCCD1CA73A4}"/>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ABC5B6B7-89A9-4CB1-97F2-9C6C35326C67}"/>
    <cellStyle name="Normal 2 4 2 4 5 2 3" xfId="12763" xr:uid="{14910E53-F30A-4CA2-BBE1-8BA9D964FDE7}"/>
    <cellStyle name="Normal 2 4 2 4 5 3" xfId="5509" xr:uid="{00000000-0005-0000-0000-00007A0F0000}"/>
    <cellStyle name="Normal 2 4 2 4 5 3 2" xfId="14835" xr:uid="{E7AE2E0F-5A1D-42CE-BF08-2FE6E5D2E0F2}"/>
    <cellStyle name="Normal 2 4 2 4 5 4" xfId="10618" xr:uid="{FF679650-A485-4FC2-9101-AD6F7D156AA2}"/>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C463E695-828C-4071-BCC3-FA4B3167A04A}"/>
    <cellStyle name="Normal 2 4 2 4 6 2 3" xfId="13176" xr:uid="{A7DFB750-0101-4C01-8A1E-79F90E1F569E}"/>
    <cellStyle name="Normal 2 4 2 4 6 3" xfId="5922" xr:uid="{00000000-0005-0000-0000-00007E0F0000}"/>
    <cellStyle name="Normal 2 4 2 4 6 3 2" xfId="15248" xr:uid="{6F69EF2C-E98F-41DE-80D1-6F448A21874B}"/>
    <cellStyle name="Normal 2 4 2 4 6 4" xfId="11031" xr:uid="{301FC3BA-0EDD-4815-A778-5E9349424A48}"/>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72DBD6A6-49E1-4521-8C0F-C61FD2906CB1}"/>
    <cellStyle name="Normal 2 4 2 4 7 2 3" xfId="13589" xr:uid="{6976BE5F-08A5-4981-9765-491DAD85F0B4}"/>
    <cellStyle name="Normal 2 4 2 4 7 3" xfId="6335" xr:uid="{00000000-0005-0000-0000-0000820F0000}"/>
    <cellStyle name="Normal 2 4 2 4 7 3 2" xfId="15661" xr:uid="{E24FC57C-A7E6-4145-998E-7A540A144596}"/>
    <cellStyle name="Normal 2 4 2 4 7 4" xfId="11444" xr:uid="{E7BBCD6A-E4FC-4683-94D3-18E8A72EB75F}"/>
    <cellStyle name="Normal 2 4 2 4 8" xfId="2465" xr:uid="{00000000-0005-0000-0000-0000830F0000}"/>
    <cellStyle name="Normal 2 4 2 4 8 2" xfId="6748" xr:uid="{00000000-0005-0000-0000-0000840F0000}"/>
    <cellStyle name="Normal 2 4 2 4 8 2 2" xfId="16074" xr:uid="{A5E81274-A939-4B8A-AAA1-0451CE52141E}"/>
    <cellStyle name="Normal 2 4 2 4 8 3" xfId="11857" xr:uid="{7E1F822D-D9C8-4F5B-AF36-994F681D8BAB}"/>
    <cellStyle name="Normal 2 4 2 4 9" xfId="4682" xr:uid="{00000000-0005-0000-0000-0000850F0000}"/>
    <cellStyle name="Normal 2 4 2 4 9 2" xfId="14008" xr:uid="{5E2BA76C-CF50-4305-A748-E19386795D85}"/>
    <cellStyle name="Normal 2 4 2 5" xfId="293" xr:uid="{00000000-0005-0000-0000-0000860F0000}"/>
    <cellStyle name="Normal 2 4 2 5 10" xfId="9795" xr:uid="{1D3A2D07-B335-4087-91DF-77AE03A1A162}"/>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04FAB0AD-6619-4A81-8293-C872EFC84045}"/>
    <cellStyle name="Normal 2 4 2 5 2 2 2 3" xfId="12355" xr:uid="{5DFE194F-5EFF-463D-94C5-84266AB279EF}"/>
    <cellStyle name="Normal 2 4 2 5 2 2 3" xfId="5101" xr:uid="{00000000-0005-0000-0000-00008B0F0000}"/>
    <cellStyle name="Normal 2 4 2 5 2 2 3 2" xfId="14427" xr:uid="{0B457328-454B-45C8-ADC8-FC058C84C180}"/>
    <cellStyle name="Normal 2 4 2 5 2 2 4" xfId="9492" xr:uid="{07DC9204-2F52-408E-80EE-617A106DD9FD}"/>
    <cellStyle name="Normal 2 4 2 5 2 2 5" xfId="10210" xr:uid="{EEEB13A6-D292-4464-A6F4-794F13AB557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8F811894-956C-4751-808F-AC660CBF882B}"/>
    <cellStyle name="Normal 2 4 2 5 2 3 2 3" xfId="12768" xr:uid="{70E7CE42-89A9-4111-9362-62E881EBAA16}"/>
    <cellStyle name="Normal 2 4 2 5 2 3 3" xfId="5514" xr:uid="{00000000-0005-0000-0000-00008F0F0000}"/>
    <cellStyle name="Normal 2 4 2 5 2 3 3 2" xfId="14840" xr:uid="{C8DDB9B6-C55F-487D-AA8D-38E783F26246}"/>
    <cellStyle name="Normal 2 4 2 5 2 3 4" xfId="10623" xr:uid="{3BF7505F-6210-45CF-8415-A893DE1A0EF8}"/>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AD56486C-B612-4BF3-9386-DA471A17AA6C}"/>
    <cellStyle name="Normal 2 4 2 5 2 4 2 3" xfId="13181" xr:uid="{4B9D29E9-4110-4E95-9179-3BBCE70BAA16}"/>
    <cellStyle name="Normal 2 4 2 5 2 4 3" xfId="5927" xr:uid="{00000000-0005-0000-0000-0000930F0000}"/>
    <cellStyle name="Normal 2 4 2 5 2 4 3 2" xfId="15253" xr:uid="{7E63ABAA-923A-4BAD-8B81-0504C30B12B5}"/>
    <cellStyle name="Normal 2 4 2 5 2 4 4" xfId="11036" xr:uid="{257758BA-5ABE-4ACF-A9AA-DCF0DD39C2C4}"/>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9A742A0A-941D-4919-B26B-762AD068F88D}"/>
    <cellStyle name="Normal 2 4 2 5 2 5 2 3" xfId="13594" xr:uid="{9DDF3BFF-AACF-43EE-9E2A-43FE57E15A49}"/>
    <cellStyle name="Normal 2 4 2 5 2 5 3" xfId="6340" xr:uid="{00000000-0005-0000-0000-0000970F0000}"/>
    <cellStyle name="Normal 2 4 2 5 2 5 3 2" xfId="15666" xr:uid="{63415A27-F4B9-46D5-9987-F6FCAC779A44}"/>
    <cellStyle name="Normal 2 4 2 5 2 5 4" xfId="11449" xr:uid="{C0F4F960-094F-4375-85BE-2026C01F4116}"/>
    <cellStyle name="Normal 2 4 2 5 2 6" xfId="2470" xr:uid="{00000000-0005-0000-0000-0000980F0000}"/>
    <cellStyle name="Normal 2 4 2 5 2 6 2" xfId="6753" xr:uid="{00000000-0005-0000-0000-0000990F0000}"/>
    <cellStyle name="Normal 2 4 2 5 2 6 2 2" xfId="16079" xr:uid="{34309DA0-C583-4F86-818F-E455FC255050}"/>
    <cellStyle name="Normal 2 4 2 5 2 6 3" xfId="11862" xr:uid="{AF9B408B-D33C-4565-B51F-C510453E01BA}"/>
    <cellStyle name="Normal 2 4 2 5 2 7" xfId="4687" xr:uid="{00000000-0005-0000-0000-00009A0F0000}"/>
    <cellStyle name="Normal 2 4 2 5 2 7 2" xfId="14013" xr:uid="{0BCC1BF0-9147-46DE-9ED1-545254D851F0}"/>
    <cellStyle name="Normal 2 4 2 5 2 8" xfId="9067" xr:uid="{89D5CB5A-ADE0-44B8-BC1E-FDE984B579C9}"/>
    <cellStyle name="Normal 2 4 2 5 2 9" xfId="9796" xr:uid="{E398DD37-F34F-43FA-9537-FF88E2FC87B2}"/>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DF9AD07C-60EF-4306-B64C-C34C4BE871C0}"/>
    <cellStyle name="Normal 2 4 2 5 3 2 3" xfId="12354" xr:uid="{1745C194-40A6-4B85-90CD-7E485334A891}"/>
    <cellStyle name="Normal 2 4 2 5 3 3" xfId="5100" xr:uid="{00000000-0005-0000-0000-00009E0F0000}"/>
    <cellStyle name="Normal 2 4 2 5 3 3 2" xfId="14426" xr:uid="{A691C8DB-D497-4915-A40F-4F73304FC1A6}"/>
    <cellStyle name="Normal 2 4 2 5 3 4" xfId="9285" xr:uid="{5DA39FB9-904E-46D3-8E24-58BF2F19DA5B}"/>
    <cellStyle name="Normal 2 4 2 5 3 5" xfId="10209" xr:uid="{400B74B6-77A6-438E-9A37-2F35452F6856}"/>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23D9354D-4ED7-44E9-90CD-0154D8C892B9}"/>
    <cellStyle name="Normal 2 4 2 5 4 2 3" xfId="12767" xr:uid="{F768E137-EA03-44B7-ADFF-C9DF98EF6514}"/>
    <cellStyle name="Normal 2 4 2 5 4 3" xfId="5513" xr:uid="{00000000-0005-0000-0000-0000A20F0000}"/>
    <cellStyle name="Normal 2 4 2 5 4 3 2" xfId="14839" xr:uid="{3B6F1D13-E056-4D78-8C49-AEC464631718}"/>
    <cellStyle name="Normal 2 4 2 5 4 4" xfId="10622" xr:uid="{3DD0FB1B-87CF-4BA7-87AA-185224053AEB}"/>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D8B1A198-3B8E-4AAE-BF9C-1E538F88EDD6}"/>
    <cellStyle name="Normal 2 4 2 5 5 2 3" xfId="13180" xr:uid="{6EC5C096-1DA4-4A93-8537-BB5A586363D8}"/>
    <cellStyle name="Normal 2 4 2 5 5 3" xfId="5926" xr:uid="{00000000-0005-0000-0000-0000A60F0000}"/>
    <cellStyle name="Normal 2 4 2 5 5 3 2" xfId="15252" xr:uid="{EF9A9CAC-9794-4E9D-8E4E-2DB4F40A2046}"/>
    <cellStyle name="Normal 2 4 2 5 5 4" xfId="11035" xr:uid="{02FA71F1-19FD-4E33-841F-AB49AD6BB547}"/>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05AAB9D3-68D6-4E16-921A-8F431DE8FC5D}"/>
    <cellStyle name="Normal 2 4 2 5 6 2 3" xfId="13593" xr:uid="{18BE023A-A4E0-418E-9F91-830BC33F906A}"/>
    <cellStyle name="Normal 2 4 2 5 6 3" xfId="6339" xr:uid="{00000000-0005-0000-0000-0000AA0F0000}"/>
    <cellStyle name="Normal 2 4 2 5 6 3 2" xfId="15665" xr:uid="{BF1C345F-AECE-462A-8550-6CF492810F0D}"/>
    <cellStyle name="Normal 2 4 2 5 6 4" xfId="11448" xr:uid="{D3CC857A-A630-4788-A19D-E4D80576ECC3}"/>
    <cellStyle name="Normal 2 4 2 5 7" xfId="2469" xr:uid="{00000000-0005-0000-0000-0000AB0F0000}"/>
    <cellStyle name="Normal 2 4 2 5 7 2" xfId="6752" xr:uid="{00000000-0005-0000-0000-0000AC0F0000}"/>
    <cellStyle name="Normal 2 4 2 5 7 2 2" xfId="16078" xr:uid="{697945C7-BE65-4879-B91E-1A564A9D14F7}"/>
    <cellStyle name="Normal 2 4 2 5 7 3" xfId="11861" xr:uid="{8E004F48-3FE2-46B3-98BD-40FE2D59D92A}"/>
    <cellStyle name="Normal 2 4 2 5 8" xfId="4686" xr:uid="{00000000-0005-0000-0000-0000AD0F0000}"/>
    <cellStyle name="Normal 2 4 2 5 8 2" xfId="14012" xr:uid="{7BB5BFC9-870A-4196-BD4C-32CF038E435D}"/>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DF9EC633-83CD-47AA-9EBD-9F20D45FA5C8}"/>
    <cellStyle name="Normal 2 4 2 6 2 2 3" xfId="12356" xr:uid="{9D4E8161-0682-4353-A194-BDF981BDF29E}"/>
    <cellStyle name="Normal 2 4 2 6 2 3" xfId="5102" xr:uid="{00000000-0005-0000-0000-0000B20F0000}"/>
    <cellStyle name="Normal 2 4 2 6 2 3 2" xfId="14428" xr:uid="{623524E3-734E-42BA-8FC0-17F4320A08E8}"/>
    <cellStyle name="Normal 2 4 2 6 2 4" xfId="9401" xr:uid="{C89DD342-23DD-474B-84C5-F9DED42F169B}"/>
    <cellStyle name="Normal 2 4 2 6 2 5" xfId="10211" xr:uid="{6C90B4CE-8224-471D-A123-173DEA962E5F}"/>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7290317A-6A0F-44DC-83FD-A082217608C2}"/>
    <cellStyle name="Normal 2 4 2 6 3 2 3" xfId="12769" xr:uid="{7CD44C66-0172-414A-B070-2B1076738201}"/>
    <cellStyle name="Normal 2 4 2 6 3 3" xfId="5515" xr:uid="{00000000-0005-0000-0000-0000B60F0000}"/>
    <cellStyle name="Normal 2 4 2 6 3 3 2" xfId="14841" xr:uid="{831B30FB-B318-4B4F-9B0D-CA7289682992}"/>
    <cellStyle name="Normal 2 4 2 6 3 4" xfId="10624" xr:uid="{7E951662-B303-4720-892B-3104873E1197}"/>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D219ED96-40A3-46A5-97CD-53FF80DFF105}"/>
    <cellStyle name="Normal 2 4 2 6 4 2 3" xfId="13182" xr:uid="{3F3449B5-4E9D-4E01-81E9-DC340FE2291E}"/>
    <cellStyle name="Normal 2 4 2 6 4 3" xfId="5928" xr:uid="{00000000-0005-0000-0000-0000BA0F0000}"/>
    <cellStyle name="Normal 2 4 2 6 4 3 2" xfId="15254" xr:uid="{5B1A2115-2366-4C48-9A37-BA12EBD1CFD8}"/>
    <cellStyle name="Normal 2 4 2 6 4 4" xfId="11037" xr:uid="{E52572DE-5806-49B5-B1D3-89F820F1364F}"/>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C846DEA6-84CD-4CFA-AFC0-B0218C376DA4}"/>
    <cellStyle name="Normal 2 4 2 6 5 2 3" xfId="13595" xr:uid="{D39972DC-12F1-4B2B-9DFB-69F7D2B9A81D}"/>
    <cellStyle name="Normal 2 4 2 6 5 3" xfId="6341" xr:uid="{00000000-0005-0000-0000-0000BE0F0000}"/>
    <cellStyle name="Normal 2 4 2 6 5 3 2" xfId="15667" xr:uid="{6D7B563A-19E6-4507-95A7-F75EC6443A4B}"/>
    <cellStyle name="Normal 2 4 2 6 5 4" xfId="11450" xr:uid="{5C90282D-0DA0-4B65-B252-F8D1EBB108C2}"/>
    <cellStyle name="Normal 2 4 2 6 6" xfId="2471" xr:uid="{00000000-0005-0000-0000-0000BF0F0000}"/>
    <cellStyle name="Normal 2 4 2 6 6 2" xfId="6754" xr:uid="{00000000-0005-0000-0000-0000C00F0000}"/>
    <cellStyle name="Normal 2 4 2 6 6 2 2" xfId="16080" xr:uid="{8027A00B-A61D-4E16-BE84-D94461B2066D}"/>
    <cellStyle name="Normal 2 4 2 6 6 3" xfId="11863" xr:uid="{0A6E38AB-C5A5-4EE5-A3C6-0F301661D276}"/>
    <cellStyle name="Normal 2 4 2 6 7" xfId="4688" xr:uid="{00000000-0005-0000-0000-0000C10F0000}"/>
    <cellStyle name="Normal 2 4 2 6 7 2" xfId="14014" xr:uid="{A6B41DC1-DE88-4BBE-984A-098B103359E5}"/>
    <cellStyle name="Normal 2 4 2 6 8" xfId="8976" xr:uid="{6DEAFF8C-68CB-4364-A161-479509F453AE}"/>
    <cellStyle name="Normal 2 4 2 6 9" xfId="9797" xr:uid="{1D89C985-1F7F-4A87-937B-2A0DCE655CAF}"/>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61D5D889-DEB2-49C3-A784-A8A0AF749346}"/>
    <cellStyle name="Normal 2 4 2 7 2 3" xfId="12341" xr:uid="{C9124DC6-22EE-406A-AB6B-EADE98A22E9C}"/>
    <cellStyle name="Normal 2 4 2 7 3" xfId="5087" xr:uid="{00000000-0005-0000-0000-0000C50F0000}"/>
    <cellStyle name="Normal 2 4 2 7 3 2" xfId="14413" xr:uid="{F1DF59ED-7948-4A4A-9785-3D21628AB03A}"/>
    <cellStyle name="Normal 2 4 2 7 4" xfId="9179" xr:uid="{D1C44CED-398E-43B3-AFA3-1E7DC60C5D92}"/>
    <cellStyle name="Normal 2 4 2 7 5" xfId="10196" xr:uid="{793781FA-CE74-40BE-BCAC-233A5B61A127}"/>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9F008BF9-8AD0-495A-AC05-6FEDC4687D9F}"/>
    <cellStyle name="Normal 2 4 2 8 2 3" xfId="12754" xr:uid="{D8177CE9-A83E-4C3B-BC73-5DB449EF7D9B}"/>
    <cellStyle name="Normal 2 4 2 8 3" xfId="5500" xr:uid="{00000000-0005-0000-0000-0000C90F0000}"/>
    <cellStyle name="Normal 2 4 2 8 3 2" xfId="14826" xr:uid="{8F352C7D-8E0A-4010-A0EE-B3D77562A09E}"/>
    <cellStyle name="Normal 2 4 2 8 4" xfId="10609" xr:uid="{F179A710-86EF-42B0-AD15-B48CB7377491}"/>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CFE565DB-858E-4B85-AABB-51DAB3AFE2B7}"/>
    <cellStyle name="Normal 2 4 2 9 2 3" xfId="13167" xr:uid="{C87B2971-DCDE-4A54-843A-F4EA714A8CA2}"/>
    <cellStyle name="Normal 2 4 2 9 3" xfId="5913" xr:uid="{00000000-0005-0000-0000-0000CD0F0000}"/>
    <cellStyle name="Normal 2 4 2 9 3 2" xfId="15239" xr:uid="{B55C27C2-97AF-444D-8AEA-87965C54F326}"/>
    <cellStyle name="Normal 2 4 2 9 4" xfId="11022" xr:uid="{A6CAE660-35AB-4922-9616-2A3A0EBF5279}"/>
    <cellStyle name="Normal 2 4 3" xfId="296" xr:uid="{00000000-0005-0000-0000-0000CE0F0000}"/>
    <cellStyle name="Normal 2 4 3 10" xfId="9798" xr:uid="{4A9AAFC1-01ED-4BC5-A5DE-5C7F72E88C3B}"/>
    <cellStyle name="Normal 2 4 3 2" xfId="297" xr:uid="{00000000-0005-0000-0000-0000CF0F0000}"/>
    <cellStyle name="Normal 2 4 3 3" xfId="298" xr:uid="{00000000-0005-0000-0000-0000D00F0000}"/>
    <cellStyle name="Normal 2 4 3 3 10" xfId="8814" xr:uid="{F78EFD99-FCC5-4915-ACA3-DFC3FC0D45A5}"/>
    <cellStyle name="Normal 2 4 3 3 11" xfId="9799" xr:uid="{03DDCB17-687A-480C-AA3E-0AABAE6D4607}"/>
    <cellStyle name="Normal 2 4 3 3 2" xfId="299" xr:uid="{00000000-0005-0000-0000-0000D10F0000}"/>
    <cellStyle name="Normal 2 4 3 3 2 10" xfId="9800" xr:uid="{E7EBB2B8-A893-42A1-9B24-B17DEC44C9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8E19A9B3-5099-44EA-AB3F-251866B2109E}"/>
    <cellStyle name="Normal 2 4 3 3 2 2 2 2 3" xfId="12360" xr:uid="{8EC65C5E-061E-4ABB-83FC-419457A89957}"/>
    <cellStyle name="Normal 2 4 3 3 2 2 2 3" xfId="5106" xr:uid="{00000000-0005-0000-0000-0000D60F0000}"/>
    <cellStyle name="Normal 2 4 3 3 2 2 2 3 2" xfId="14432" xr:uid="{6F23BDFF-1D02-42ED-902B-A9B61AE7C3FB}"/>
    <cellStyle name="Normal 2 4 3 3 2 2 2 4" xfId="9549" xr:uid="{EA88B7BC-E37D-4688-A768-0D7FE5EF9F42}"/>
    <cellStyle name="Normal 2 4 3 3 2 2 2 5" xfId="10215" xr:uid="{3294E142-3C91-4413-AD96-3A23179D4391}"/>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1D58FDF0-8D4F-465B-843C-F1E98AB17AC7}"/>
    <cellStyle name="Normal 2 4 3 3 2 2 3 2 3" xfId="12773" xr:uid="{1F2919B7-8BDA-4F2F-9852-7FF218A9BC81}"/>
    <cellStyle name="Normal 2 4 3 3 2 2 3 3" xfId="5519" xr:uid="{00000000-0005-0000-0000-0000DA0F0000}"/>
    <cellStyle name="Normal 2 4 3 3 2 2 3 3 2" xfId="14845" xr:uid="{4D0949B5-BD8A-4C30-A2A5-ACF59AC5E70B}"/>
    <cellStyle name="Normal 2 4 3 3 2 2 3 4" xfId="10628" xr:uid="{18BB478F-7220-40D4-90E9-CA1E76C7BE96}"/>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7506E7D4-D9EA-4F67-8D5F-6D2F910D515E}"/>
    <cellStyle name="Normal 2 4 3 3 2 2 4 2 3" xfId="13186" xr:uid="{C4ABD144-C9E0-4039-989F-81377C615422}"/>
    <cellStyle name="Normal 2 4 3 3 2 2 4 3" xfId="5932" xr:uid="{00000000-0005-0000-0000-0000DE0F0000}"/>
    <cellStyle name="Normal 2 4 3 3 2 2 4 3 2" xfId="15258" xr:uid="{8EB2F184-CAAA-4FCD-A6A9-20C4A4F55A48}"/>
    <cellStyle name="Normal 2 4 3 3 2 2 4 4" xfId="11041" xr:uid="{4235319C-5EEF-4B30-854E-89C1405E2B6E}"/>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96C95D9B-6979-46EF-A14F-378BF6114F2F}"/>
    <cellStyle name="Normal 2 4 3 3 2 2 5 2 3" xfId="13599" xr:uid="{C7A07E13-9D7C-47F7-8B47-9A4BDE4CBB16}"/>
    <cellStyle name="Normal 2 4 3 3 2 2 5 3" xfId="6345" xr:uid="{00000000-0005-0000-0000-0000E20F0000}"/>
    <cellStyle name="Normal 2 4 3 3 2 2 5 3 2" xfId="15671" xr:uid="{D407BB19-BC85-4294-840B-06E7CB1706EC}"/>
    <cellStyle name="Normal 2 4 3 3 2 2 5 4" xfId="11454" xr:uid="{419B289C-D85B-4302-BD98-12E80DEBAD03}"/>
    <cellStyle name="Normal 2 4 3 3 2 2 6" xfId="2475" xr:uid="{00000000-0005-0000-0000-0000E30F0000}"/>
    <cellStyle name="Normal 2 4 3 3 2 2 6 2" xfId="6758" xr:uid="{00000000-0005-0000-0000-0000E40F0000}"/>
    <cellStyle name="Normal 2 4 3 3 2 2 6 2 2" xfId="16084" xr:uid="{C20C5712-B28E-4A76-A4D6-2A56283D5DDA}"/>
    <cellStyle name="Normal 2 4 3 3 2 2 6 3" xfId="11867" xr:uid="{B2986EE9-D30F-4B2E-AF24-A13352E38AE5}"/>
    <cellStyle name="Normal 2 4 3 3 2 2 7" xfId="4692" xr:uid="{00000000-0005-0000-0000-0000E50F0000}"/>
    <cellStyle name="Normal 2 4 3 3 2 2 7 2" xfId="14018" xr:uid="{283113D9-06E9-44A1-8A42-65165492152C}"/>
    <cellStyle name="Normal 2 4 3 3 2 2 8" xfId="9124" xr:uid="{1FF2B195-09C8-4D7B-A363-E8AF809A669B}"/>
    <cellStyle name="Normal 2 4 3 3 2 2 9" xfId="9801" xr:uid="{F96A3829-DC47-4C44-972B-3072F027C87A}"/>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D3D8F05F-2703-4D2A-BFDA-9B7E0430FAAE}"/>
    <cellStyle name="Normal 2 4 3 3 2 3 2 3" xfId="12359" xr:uid="{4D7849A8-1582-44E7-A246-FC1142A38BFD}"/>
    <cellStyle name="Normal 2 4 3 3 2 3 3" xfId="5105" xr:uid="{00000000-0005-0000-0000-0000E90F0000}"/>
    <cellStyle name="Normal 2 4 3 3 2 3 3 2" xfId="14431" xr:uid="{BEB70C85-78C4-4B91-9447-3AA64E2CB33C}"/>
    <cellStyle name="Normal 2 4 3 3 2 3 4" xfId="9342" xr:uid="{41454CF9-47C1-4E8A-868A-8F39341308EB}"/>
    <cellStyle name="Normal 2 4 3 3 2 3 5" xfId="10214" xr:uid="{57517502-594B-46A8-B924-A10D2C3A2E5E}"/>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99767450-45A1-46A7-B199-E9EAE313DD9B}"/>
    <cellStyle name="Normal 2 4 3 3 2 4 2 3" xfId="12772" xr:uid="{01B7DF44-C4B8-4B36-AF8B-D76B5CF7E07D}"/>
    <cellStyle name="Normal 2 4 3 3 2 4 3" xfId="5518" xr:uid="{00000000-0005-0000-0000-0000ED0F0000}"/>
    <cellStyle name="Normal 2 4 3 3 2 4 3 2" xfId="14844" xr:uid="{62170196-E3B6-43C4-93F0-C74A518D94C9}"/>
    <cellStyle name="Normal 2 4 3 3 2 4 4" xfId="10627" xr:uid="{655A6D48-70DB-43FC-914B-276999BCC331}"/>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482EB790-A51A-4932-A44E-3DC2E7ADE9A2}"/>
    <cellStyle name="Normal 2 4 3 3 2 5 2 3" xfId="13185" xr:uid="{D5BA1E1C-CF84-4317-BAC6-104D62F58701}"/>
    <cellStyle name="Normal 2 4 3 3 2 5 3" xfId="5931" xr:uid="{00000000-0005-0000-0000-0000F10F0000}"/>
    <cellStyle name="Normal 2 4 3 3 2 5 3 2" xfId="15257" xr:uid="{D14A0022-1C1A-4D92-911E-6D02E8135696}"/>
    <cellStyle name="Normal 2 4 3 3 2 5 4" xfId="11040" xr:uid="{F4000991-DF7B-42CD-861C-AF58CBEAA8ED}"/>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1E129AF7-6C32-4C43-AC93-CE94F932DDD3}"/>
    <cellStyle name="Normal 2 4 3 3 2 6 2 3" xfId="13598" xr:uid="{F69C28FE-BDF5-4244-A503-DAB530BBDA53}"/>
    <cellStyle name="Normal 2 4 3 3 2 6 3" xfId="6344" xr:uid="{00000000-0005-0000-0000-0000F50F0000}"/>
    <cellStyle name="Normal 2 4 3 3 2 6 3 2" xfId="15670" xr:uid="{011A7706-250C-4F44-AEFF-044439367666}"/>
    <cellStyle name="Normal 2 4 3 3 2 6 4" xfId="11453" xr:uid="{6B5F872D-00AE-4182-BB5F-1D51B38D9F7C}"/>
    <cellStyle name="Normal 2 4 3 3 2 7" xfId="2474" xr:uid="{00000000-0005-0000-0000-0000F60F0000}"/>
    <cellStyle name="Normal 2 4 3 3 2 7 2" xfId="6757" xr:uid="{00000000-0005-0000-0000-0000F70F0000}"/>
    <cellStyle name="Normal 2 4 3 3 2 7 2 2" xfId="16083" xr:uid="{1368DA61-ABDB-48DA-9251-33D544E274E6}"/>
    <cellStyle name="Normal 2 4 3 3 2 7 3" xfId="11866" xr:uid="{D6AAB5C8-A12D-425E-AE2D-1E14018173E8}"/>
    <cellStyle name="Normal 2 4 3 3 2 8" xfId="4691" xr:uid="{00000000-0005-0000-0000-0000F80F0000}"/>
    <cellStyle name="Normal 2 4 3 3 2 8 2" xfId="14017" xr:uid="{89152908-6041-47F6-92FC-5548F7CDC2C5}"/>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45A4097E-9C99-4EE6-B9ED-033B3F9A5C99}"/>
    <cellStyle name="Normal 2 4 3 3 3 2 2 3" xfId="12361" xr:uid="{A67FC5D3-71B2-49C2-90AA-293A2A4C4AC8}"/>
    <cellStyle name="Normal 2 4 3 3 3 2 3" xfId="5107" xr:uid="{00000000-0005-0000-0000-0000FD0F0000}"/>
    <cellStyle name="Normal 2 4 3 3 3 2 3 2" xfId="14433" xr:uid="{FAC0D0F1-3DAE-431B-BDA7-7DD6CCBED4FB}"/>
    <cellStyle name="Normal 2 4 3 3 3 2 4" xfId="9446" xr:uid="{7ACDBBC8-943F-41CF-9832-96F56BCB3985}"/>
    <cellStyle name="Normal 2 4 3 3 3 2 5" xfId="10216" xr:uid="{03414905-6B6C-4B8F-A9AF-2AF7A8363C56}"/>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24DFC076-EECE-43ED-BD34-882749DA8E97}"/>
    <cellStyle name="Normal 2 4 3 3 3 3 2 3" xfId="12774" xr:uid="{FE1C4472-FA66-4D6E-BD51-72FA7B687922}"/>
    <cellStyle name="Normal 2 4 3 3 3 3 3" xfId="5520" xr:uid="{00000000-0005-0000-0000-000001100000}"/>
    <cellStyle name="Normal 2 4 3 3 3 3 3 2" xfId="14846" xr:uid="{6B7E98FF-5FAF-4F9E-8F13-92A40121922C}"/>
    <cellStyle name="Normal 2 4 3 3 3 3 4" xfId="10629" xr:uid="{64AE2D0A-A508-4792-BE2C-444CAB161E3C}"/>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D9A298AC-89AF-42E5-B965-A86255F51879}"/>
    <cellStyle name="Normal 2 4 3 3 3 4 2 3" xfId="13187" xr:uid="{8111D879-ED31-43A9-9135-BA5929BB7B80}"/>
    <cellStyle name="Normal 2 4 3 3 3 4 3" xfId="5933" xr:uid="{00000000-0005-0000-0000-000005100000}"/>
    <cellStyle name="Normal 2 4 3 3 3 4 3 2" xfId="15259" xr:uid="{6EC957AD-BB42-44E7-A296-DDC9686B8BE2}"/>
    <cellStyle name="Normal 2 4 3 3 3 4 4" xfId="11042" xr:uid="{B7145F34-EBAF-4A44-8CA1-A6A90909A95E}"/>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98745BC0-299A-4BCB-AEF1-51F2BE58B7AD}"/>
    <cellStyle name="Normal 2 4 3 3 3 5 2 3" xfId="13600" xr:uid="{E36ECDEC-C213-4AD1-9D11-DC6C97EF1C57}"/>
    <cellStyle name="Normal 2 4 3 3 3 5 3" xfId="6346" xr:uid="{00000000-0005-0000-0000-000009100000}"/>
    <cellStyle name="Normal 2 4 3 3 3 5 3 2" xfId="15672" xr:uid="{2748E8B4-21F9-4B71-B0AB-C6A387EE1330}"/>
    <cellStyle name="Normal 2 4 3 3 3 5 4" xfId="11455" xr:uid="{C280D34A-04E6-4E23-B550-171E426A1963}"/>
    <cellStyle name="Normal 2 4 3 3 3 6" xfId="2476" xr:uid="{00000000-0005-0000-0000-00000A100000}"/>
    <cellStyle name="Normal 2 4 3 3 3 6 2" xfId="6759" xr:uid="{00000000-0005-0000-0000-00000B100000}"/>
    <cellStyle name="Normal 2 4 3 3 3 6 2 2" xfId="16085" xr:uid="{84D181F6-CD3B-4EA0-A1EC-82C86E7558DF}"/>
    <cellStyle name="Normal 2 4 3 3 3 6 3" xfId="11868" xr:uid="{7C22D92C-2722-4DC7-81DF-6F8B81CB08FD}"/>
    <cellStyle name="Normal 2 4 3 3 3 7" xfId="4693" xr:uid="{00000000-0005-0000-0000-00000C100000}"/>
    <cellStyle name="Normal 2 4 3 3 3 7 2" xfId="14019" xr:uid="{B785B4BA-B70C-4321-A1FF-DC0616DF9366}"/>
    <cellStyle name="Normal 2 4 3 3 3 8" xfId="9021" xr:uid="{4EC0F035-DC07-4262-9C58-7142AC357944}"/>
    <cellStyle name="Normal 2 4 3 3 3 9" xfId="9802" xr:uid="{8366A9F6-F2B1-49F7-AA64-BE9708B4001F}"/>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A0C2398E-5EB0-4742-B110-DC9C2BC08803}"/>
    <cellStyle name="Normal 2 4 3 3 4 2 3" xfId="12358" xr:uid="{95824F4F-F621-432B-968A-9136B39C2421}"/>
    <cellStyle name="Normal 2 4 3 3 4 3" xfId="5104" xr:uid="{00000000-0005-0000-0000-000010100000}"/>
    <cellStyle name="Normal 2 4 3 3 4 3 2" xfId="14430" xr:uid="{5A93BC79-B34E-4117-B138-4E565C2394EE}"/>
    <cellStyle name="Normal 2 4 3 3 4 4" xfId="9239" xr:uid="{3DCBA9AF-C63D-4CA9-81B6-AC7CB7B67292}"/>
    <cellStyle name="Normal 2 4 3 3 4 5" xfId="10213" xr:uid="{620FE7ED-67D3-4B5A-860E-1BDE1C79E9AC}"/>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C20F6958-7F58-4DD9-93ED-C4099F6C1028}"/>
    <cellStyle name="Normal 2 4 3 3 5 2 3" xfId="12771" xr:uid="{C881DC39-5AF7-46DE-80B7-1CF69819C4A4}"/>
    <cellStyle name="Normal 2 4 3 3 5 3" xfId="5517" xr:uid="{00000000-0005-0000-0000-000014100000}"/>
    <cellStyle name="Normal 2 4 3 3 5 3 2" xfId="14843" xr:uid="{D7FB4CCD-B6D5-45CD-A7FF-5185D89242A4}"/>
    <cellStyle name="Normal 2 4 3 3 5 4" xfId="10626" xr:uid="{6EB691DE-A9AD-428B-B724-C0482986316D}"/>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CE6FD266-692A-434C-8668-263D2F406231}"/>
    <cellStyle name="Normal 2 4 3 3 6 2 3" xfId="13184" xr:uid="{2293D7A0-3324-45B2-A7A8-C4B4EC822A8D}"/>
    <cellStyle name="Normal 2 4 3 3 6 3" xfId="5930" xr:uid="{00000000-0005-0000-0000-000018100000}"/>
    <cellStyle name="Normal 2 4 3 3 6 3 2" xfId="15256" xr:uid="{11EF688D-F945-4DB2-8206-E58322A4B508}"/>
    <cellStyle name="Normal 2 4 3 3 6 4" xfId="11039" xr:uid="{BBE881D8-3BE7-4AD6-AB15-4E8348820F3D}"/>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EF99AA77-4989-4F7B-87C5-5013D90F1ED8}"/>
    <cellStyle name="Normal 2 4 3 3 7 2 3" xfId="13597" xr:uid="{1FA332F1-00AA-442C-897B-039C17B12522}"/>
    <cellStyle name="Normal 2 4 3 3 7 3" xfId="6343" xr:uid="{00000000-0005-0000-0000-00001C100000}"/>
    <cellStyle name="Normal 2 4 3 3 7 3 2" xfId="15669" xr:uid="{7D7A8DFA-B95A-441A-88EB-C8117A0519DF}"/>
    <cellStyle name="Normal 2 4 3 3 7 4" xfId="11452" xr:uid="{854E0AF1-4839-44FE-BF60-36485A0657BF}"/>
    <cellStyle name="Normal 2 4 3 3 8" xfId="2473" xr:uid="{00000000-0005-0000-0000-00001D100000}"/>
    <cellStyle name="Normal 2 4 3 3 8 2" xfId="6756" xr:uid="{00000000-0005-0000-0000-00001E100000}"/>
    <cellStyle name="Normal 2 4 3 3 8 2 2" xfId="16082" xr:uid="{3D6E8A21-AE34-4293-8029-1C3F2290F0F4}"/>
    <cellStyle name="Normal 2 4 3 3 8 3" xfId="11865" xr:uid="{9A83CACC-AEE7-4ADF-8927-20F648011DC8}"/>
    <cellStyle name="Normal 2 4 3 3 9" xfId="4690" xr:uid="{00000000-0005-0000-0000-00001F100000}"/>
    <cellStyle name="Normal 2 4 3 3 9 2" xfId="14016" xr:uid="{3B8E7966-9775-412A-AF9F-6D6EC8D0048A}"/>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A903CFEB-648F-4AB0-9277-80C322AF78FD}"/>
    <cellStyle name="Normal 2 4 3 4 2 3" xfId="12357" xr:uid="{5503A05F-3F42-47A9-9B93-59B0F72BAED4}"/>
    <cellStyle name="Normal 2 4 3 4 3" xfId="5103" xr:uid="{00000000-0005-0000-0000-000023100000}"/>
    <cellStyle name="Normal 2 4 3 4 3 2" xfId="14429" xr:uid="{C2E1799C-8F95-4C4C-889E-0CA4EEC7FBDB}"/>
    <cellStyle name="Normal 2 4 3 4 4" xfId="9605" xr:uid="{31B075F0-6828-4EC6-AC77-4B4B0626A722}"/>
    <cellStyle name="Normal 2 4 3 4 5" xfId="10212" xr:uid="{2D308FF7-7643-4635-BB57-24CDA0238E56}"/>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8993279E-46B9-4D66-B490-D5A318C0C09C}"/>
    <cellStyle name="Normal 2 4 3 5 2 3" xfId="12770" xr:uid="{E002C66C-687F-4106-9C44-06E96F635AAB}"/>
    <cellStyle name="Normal 2 4 3 5 3" xfId="5516" xr:uid="{00000000-0005-0000-0000-000027100000}"/>
    <cellStyle name="Normal 2 4 3 5 3 2" xfId="14842" xr:uid="{2A35023F-6007-4BBF-AAD6-223E33DA1AC9}"/>
    <cellStyle name="Normal 2 4 3 5 4" xfId="10625" xr:uid="{EEA67D06-B2D2-42B0-9C86-011FBB0BD3DB}"/>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8B5D7AAA-A561-400E-BCE7-80316196AFF0}"/>
    <cellStyle name="Normal 2 4 3 6 2 3" xfId="13183" xr:uid="{81A31223-42D8-4039-9E61-887984A3BA30}"/>
    <cellStyle name="Normal 2 4 3 6 3" xfId="5929" xr:uid="{00000000-0005-0000-0000-00002B100000}"/>
    <cellStyle name="Normal 2 4 3 6 3 2" xfId="15255" xr:uid="{A0FF5CE9-0403-4AC5-BEDB-B9C166A69D07}"/>
    <cellStyle name="Normal 2 4 3 6 4" xfId="11038" xr:uid="{F3CA4E44-B42A-4E02-BE51-E9B53CB3B4FA}"/>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0A27220D-13B9-45A2-8432-24F5B9B46DC2}"/>
    <cellStyle name="Normal 2 4 3 7 2 3" xfId="13596" xr:uid="{3E1DF5BC-FAFE-4F26-8528-19986A1EE9AA}"/>
    <cellStyle name="Normal 2 4 3 7 3" xfId="6342" xr:uid="{00000000-0005-0000-0000-00002F100000}"/>
    <cellStyle name="Normal 2 4 3 7 3 2" xfId="15668" xr:uid="{E7B88994-3EE4-4552-81DB-7E54C93C2402}"/>
    <cellStyle name="Normal 2 4 3 7 4" xfId="11451" xr:uid="{95E0127C-09E9-4A4F-8499-A77A9D09EF17}"/>
    <cellStyle name="Normal 2 4 3 8" xfId="2472" xr:uid="{00000000-0005-0000-0000-000030100000}"/>
    <cellStyle name="Normal 2 4 3 8 2" xfId="6755" xr:uid="{00000000-0005-0000-0000-000031100000}"/>
    <cellStyle name="Normal 2 4 3 8 2 2" xfId="16081" xr:uid="{9E17ECAE-057C-46E4-B746-5C32C46E0A0E}"/>
    <cellStyle name="Normal 2 4 3 8 3" xfId="11864" xr:uid="{DA546ABB-F03D-4DC5-AB3F-B2028A47C451}"/>
    <cellStyle name="Normal 2 4 3 9" xfId="4689" xr:uid="{00000000-0005-0000-0000-000032100000}"/>
    <cellStyle name="Normal 2 4 3 9 2" xfId="14015" xr:uid="{2FAFD664-5263-474E-849C-DB64E891142B}"/>
    <cellStyle name="Normal 2 4 4" xfId="302" xr:uid="{00000000-0005-0000-0000-000033100000}"/>
    <cellStyle name="Normal 2 4 5" xfId="303" xr:uid="{00000000-0005-0000-0000-000034100000}"/>
    <cellStyle name="Normal 2 4 5 10" xfId="4694" xr:uid="{00000000-0005-0000-0000-000035100000}"/>
    <cellStyle name="Normal 2 4 5 10 2" xfId="14020" xr:uid="{2BEC839F-7BBD-4A54-A049-2A57FAEF0A12}"/>
    <cellStyle name="Normal 2 4 5 11" xfId="8780" xr:uid="{7650B30D-5C17-47F0-B17B-A5E27258C29E}"/>
    <cellStyle name="Normal 2 4 5 12" xfId="9803" xr:uid="{A956EACB-1E05-4A23-A324-663DE4F4A560}"/>
    <cellStyle name="Normal 2 4 5 2" xfId="304" xr:uid="{00000000-0005-0000-0000-000036100000}"/>
    <cellStyle name="Normal 2 4 5 2 10" xfId="8815" xr:uid="{40A5EFE5-2EC9-4F25-B9EC-CAF9321E00F7}"/>
    <cellStyle name="Normal 2 4 5 2 11" xfId="9804" xr:uid="{AC2F41C2-0375-482C-9C1B-47CCFA8C4E6B}"/>
    <cellStyle name="Normal 2 4 5 2 2" xfId="305" xr:uid="{00000000-0005-0000-0000-000037100000}"/>
    <cellStyle name="Normal 2 4 5 2 2 10" xfId="9805" xr:uid="{BCCE9B4B-82EB-4732-8CB5-A4EAEBAB4A84}"/>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36333504-FBFB-496E-A10D-D38FE596E0F7}"/>
    <cellStyle name="Normal 2 4 5 2 2 2 2 2 3" xfId="12365" xr:uid="{0403DE3A-045E-40DB-86F3-077BF209C29D}"/>
    <cellStyle name="Normal 2 4 5 2 2 2 2 3" xfId="5111" xr:uid="{00000000-0005-0000-0000-00003C100000}"/>
    <cellStyle name="Normal 2 4 5 2 2 2 2 3 2" xfId="14437" xr:uid="{04BCB9EC-B7FF-4EC4-9B8D-4113CF58ABDB}"/>
    <cellStyle name="Normal 2 4 5 2 2 2 2 4" xfId="9550" xr:uid="{8A7671EC-AB7E-4F51-9B1B-FE1F0FDC42A9}"/>
    <cellStyle name="Normal 2 4 5 2 2 2 2 5" xfId="10220" xr:uid="{F6BE2809-E2AD-4A7A-B169-0068766CFB37}"/>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514CF257-AAB5-4CD7-B3C2-45EDCFE3DE31}"/>
    <cellStyle name="Normal 2 4 5 2 2 2 3 2 3" xfId="12778" xr:uid="{2DCB6736-7933-4714-9852-21791E7A07D3}"/>
    <cellStyle name="Normal 2 4 5 2 2 2 3 3" xfId="5524" xr:uid="{00000000-0005-0000-0000-000040100000}"/>
    <cellStyle name="Normal 2 4 5 2 2 2 3 3 2" xfId="14850" xr:uid="{D16D8C15-C920-489E-A73F-0BAB99E421CA}"/>
    <cellStyle name="Normal 2 4 5 2 2 2 3 4" xfId="10633" xr:uid="{664A5FFC-D424-440A-8D38-C00FB47917BA}"/>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2FD06382-472F-498F-9F1C-47E445644909}"/>
    <cellStyle name="Normal 2 4 5 2 2 2 4 2 3" xfId="13191" xr:uid="{405F9C34-81B7-4644-812E-62AC9082ECD1}"/>
    <cellStyle name="Normal 2 4 5 2 2 2 4 3" xfId="5937" xr:uid="{00000000-0005-0000-0000-000044100000}"/>
    <cellStyle name="Normal 2 4 5 2 2 2 4 3 2" xfId="15263" xr:uid="{965D2262-D667-44F2-B1F6-8674435CD7BE}"/>
    <cellStyle name="Normal 2 4 5 2 2 2 4 4" xfId="11046" xr:uid="{A1580A1F-D407-4D04-B457-435E2D5CF819}"/>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48929C41-9969-4C0E-AC4C-D6864CE627AC}"/>
    <cellStyle name="Normal 2 4 5 2 2 2 5 2 3" xfId="13604" xr:uid="{93AE79D4-848E-4709-88BB-209215F416BC}"/>
    <cellStyle name="Normal 2 4 5 2 2 2 5 3" xfId="6350" xr:uid="{00000000-0005-0000-0000-000048100000}"/>
    <cellStyle name="Normal 2 4 5 2 2 2 5 3 2" xfId="15676" xr:uid="{282B9C1A-1B76-4563-87A6-32B9B346D8E2}"/>
    <cellStyle name="Normal 2 4 5 2 2 2 5 4" xfId="11459" xr:uid="{23FA1237-0586-4944-A16C-9B29A2099F35}"/>
    <cellStyle name="Normal 2 4 5 2 2 2 6" xfId="2480" xr:uid="{00000000-0005-0000-0000-000049100000}"/>
    <cellStyle name="Normal 2 4 5 2 2 2 6 2" xfId="6763" xr:uid="{00000000-0005-0000-0000-00004A100000}"/>
    <cellStyle name="Normal 2 4 5 2 2 2 6 2 2" xfId="16089" xr:uid="{A683D782-E6E6-4982-92B0-B29F7EBE33C3}"/>
    <cellStyle name="Normal 2 4 5 2 2 2 6 3" xfId="11872" xr:uid="{005F6ED6-8732-47C4-84F1-B09577FE5A3E}"/>
    <cellStyle name="Normal 2 4 5 2 2 2 7" xfId="4697" xr:uid="{00000000-0005-0000-0000-00004B100000}"/>
    <cellStyle name="Normal 2 4 5 2 2 2 7 2" xfId="14023" xr:uid="{9C91EC83-D19C-4DD9-9BC3-706F4ED2BC69}"/>
    <cellStyle name="Normal 2 4 5 2 2 2 8" xfId="9125" xr:uid="{AE6B93A1-5C0B-49F1-AF15-6FC3FAFFE3B2}"/>
    <cellStyle name="Normal 2 4 5 2 2 2 9" xfId="9806" xr:uid="{06E96649-A599-48BB-9690-5B6C8FF67C8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769FD807-E4F8-4705-B90C-A9854AF48591}"/>
    <cellStyle name="Normal 2 4 5 2 2 3 2 3" xfId="12364" xr:uid="{C74882A0-BA62-4C82-A202-5BDF661F9140}"/>
    <cellStyle name="Normal 2 4 5 2 2 3 3" xfId="5110" xr:uid="{00000000-0005-0000-0000-00004F100000}"/>
    <cellStyle name="Normal 2 4 5 2 2 3 3 2" xfId="14436" xr:uid="{92F4F6FA-421D-4371-93F3-4FFAD2507083}"/>
    <cellStyle name="Normal 2 4 5 2 2 3 4" xfId="9343" xr:uid="{FC4CD386-4202-45E2-8021-2A85CACF4E8B}"/>
    <cellStyle name="Normal 2 4 5 2 2 3 5" xfId="10219" xr:uid="{DB8EA109-309E-44AE-9B03-AC1BC7B61B82}"/>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5A439DA6-E8C2-423D-8FC4-645E9C6F01EE}"/>
    <cellStyle name="Normal 2 4 5 2 2 4 2 3" xfId="12777" xr:uid="{D12AD6AC-B415-4CB7-80A3-DBCBD135C001}"/>
    <cellStyle name="Normal 2 4 5 2 2 4 3" xfId="5523" xr:uid="{00000000-0005-0000-0000-000053100000}"/>
    <cellStyle name="Normal 2 4 5 2 2 4 3 2" xfId="14849" xr:uid="{0538DD65-F56B-4B50-85E6-46C2A78B9164}"/>
    <cellStyle name="Normal 2 4 5 2 2 4 4" xfId="10632" xr:uid="{7AC550D5-E14A-4540-9EED-0275651163E7}"/>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CA33E5C0-4447-4513-A4BF-2661A60536EA}"/>
    <cellStyle name="Normal 2 4 5 2 2 5 2 3" xfId="13190" xr:uid="{D08476F4-8C63-4552-9F81-42197BBB11D9}"/>
    <cellStyle name="Normal 2 4 5 2 2 5 3" xfId="5936" xr:uid="{00000000-0005-0000-0000-000057100000}"/>
    <cellStyle name="Normal 2 4 5 2 2 5 3 2" xfId="15262" xr:uid="{855F30CE-69F4-4AD0-B88A-9948CEF58F97}"/>
    <cellStyle name="Normal 2 4 5 2 2 5 4" xfId="11045" xr:uid="{78F2ADA5-CBC1-4A57-9A4B-5A813977B62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1D974A10-939E-4C95-9EEC-065B0A613FF7}"/>
    <cellStyle name="Normal 2 4 5 2 2 6 2 3" xfId="13603" xr:uid="{AAE9DD2F-6ACF-4159-8A25-20CD47769DD2}"/>
    <cellStyle name="Normal 2 4 5 2 2 6 3" xfId="6349" xr:uid="{00000000-0005-0000-0000-00005B100000}"/>
    <cellStyle name="Normal 2 4 5 2 2 6 3 2" xfId="15675" xr:uid="{7008262D-F417-4297-864E-B46F349FB02E}"/>
    <cellStyle name="Normal 2 4 5 2 2 6 4" xfId="11458" xr:uid="{AA011700-E6E4-438B-B0F4-7483297F8C7A}"/>
    <cellStyle name="Normal 2 4 5 2 2 7" xfId="2479" xr:uid="{00000000-0005-0000-0000-00005C100000}"/>
    <cellStyle name="Normal 2 4 5 2 2 7 2" xfId="6762" xr:uid="{00000000-0005-0000-0000-00005D100000}"/>
    <cellStyle name="Normal 2 4 5 2 2 7 2 2" xfId="16088" xr:uid="{DC557045-8F36-4153-A04F-6D15F6C8D253}"/>
    <cellStyle name="Normal 2 4 5 2 2 7 3" xfId="11871" xr:uid="{AA7D2BEF-8010-4E37-B8FF-23298ABC22EF}"/>
    <cellStyle name="Normal 2 4 5 2 2 8" xfId="4696" xr:uid="{00000000-0005-0000-0000-00005E100000}"/>
    <cellStyle name="Normal 2 4 5 2 2 8 2" xfId="14022" xr:uid="{6E37E42E-1D39-4EB9-9445-C92000527FF2}"/>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0F4AC72C-E99E-4E7E-9EDB-A51E52FF999A}"/>
    <cellStyle name="Normal 2 4 5 2 3 2 2 3" xfId="12366" xr:uid="{7FFC78AA-759A-4592-B3C4-B1DD0F34AD2A}"/>
    <cellStyle name="Normal 2 4 5 2 3 2 3" xfId="5112" xr:uid="{00000000-0005-0000-0000-000063100000}"/>
    <cellStyle name="Normal 2 4 5 2 3 2 3 2" xfId="14438" xr:uid="{27241ED8-5EA4-400F-8CE5-B9E4F6E977E2}"/>
    <cellStyle name="Normal 2 4 5 2 3 2 4" xfId="9447" xr:uid="{5DAE67B2-15F6-4C7F-9310-B9C816D42F72}"/>
    <cellStyle name="Normal 2 4 5 2 3 2 5" xfId="10221" xr:uid="{277182B9-139C-4F45-B15C-95AD7F825A4E}"/>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E0471E01-1185-42E6-BC1D-E69C2A2A88BA}"/>
    <cellStyle name="Normal 2 4 5 2 3 3 2 3" xfId="12779" xr:uid="{83636627-2995-4AE2-864C-94F43F4DA41B}"/>
    <cellStyle name="Normal 2 4 5 2 3 3 3" xfId="5525" xr:uid="{00000000-0005-0000-0000-000067100000}"/>
    <cellStyle name="Normal 2 4 5 2 3 3 3 2" xfId="14851" xr:uid="{EF110895-2146-4042-B724-0C13095600E1}"/>
    <cellStyle name="Normal 2 4 5 2 3 3 4" xfId="10634" xr:uid="{D916BCDD-8F7E-499D-B718-D249A30D87A7}"/>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F8C5391C-DE09-4649-8F1F-EB433A29B0A5}"/>
    <cellStyle name="Normal 2 4 5 2 3 4 2 3" xfId="13192" xr:uid="{BB9CAFAA-DC9C-4226-9725-056441BE3B33}"/>
    <cellStyle name="Normal 2 4 5 2 3 4 3" xfId="5938" xr:uid="{00000000-0005-0000-0000-00006B100000}"/>
    <cellStyle name="Normal 2 4 5 2 3 4 3 2" xfId="15264" xr:uid="{9893DD31-A4DD-4F87-95B2-8B7738D73F6D}"/>
    <cellStyle name="Normal 2 4 5 2 3 4 4" xfId="11047" xr:uid="{431D9627-91FF-4E48-86C9-075E691DAB6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88DFBD68-2F41-4648-AB64-7DAE9F5BBF63}"/>
    <cellStyle name="Normal 2 4 5 2 3 5 2 3" xfId="13605" xr:uid="{6BC60046-06A5-48C5-B838-48B180ACF4B3}"/>
    <cellStyle name="Normal 2 4 5 2 3 5 3" xfId="6351" xr:uid="{00000000-0005-0000-0000-00006F100000}"/>
    <cellStyle name="Normal 2 4 5 2 3 5 3 2" xfId="15677" xr:uid="{EC0388A3-6688-4EAA-ACC4-10E98B332082}"/>
    <cellStyle name="Normal 2 4 5 2 3 5 4" xfId="11460" xr:uid="{ABB2E813-D4AF-4DD8-85CB-EB604AFF0F76}"/>
    <cellStyle name="Normal 2 4 5 2 3 6" xfId="2481" xr:uid="{00000000-0005-0000-0000-000070100000}"/>
    <cellStyle name="Normal 2 4 5 2 3 6 2" xfId="6764" xr:uid="{00000000-0005-0000-0000-000071100000}"/>
    <cellStyle name="Normal 2 4 5 2 3 6 2 2" xfId="16090" xr:uid="{AA58CBBF-5FA5-4653-8E2C-64B1A6839238}"/>
    <cellStyle name="Normal 2 4 5 2 3 6 3" xfId="11873" xr:uid="{12BB8660-B484-4B0F-A0E8-649DDF3BD5EC}"/>
    <cellStyle name="Normal 2 4 5 2 3 7" xfId="4698" xr:uid="{00000000-0005-0000-0000-000072100000}"/>
    <cellStyle name="Normal 2 4 5 2 3 7 2" xfId="14024" xr:uid="{F04FC8FD-FD90-4616-AA4A-9B7B5C623BCC}"/>
    <cellStyle name="Normal 2 4 5 2 3 8" xfId="9022" xr:uid="{B979F5DF-A88B-437D-B1B4-B92D08856DC7}"/>
    <cellStyle name="Normal 2 4 5 2 3 9" xfId="9807" xr:uid="{C7AC6B88-0CC4-4281-8F6C-70741F273190}"/>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C7B47685-EEFE-4659-8461-4C75C21F4DA4}"/>
    <cellStyle name="Normal 2 4 5 2 4 2 3" xfId="12363" xr:uid="{2ACEBBA6-4351-4236-853B-5A9A56EFD689}"/>
    <cellStyle name="Normal 2 4 5 2 4 3" xfId="5109" xr:uid="{00000000-0005-0000-0000-000076100000}"/>
    <cellStyle name="Normal 2 4 5 2 4 3 2" xfId="14435" xr:uid="{BD2A3272-8DD5-41F2-A0D0-B799031DAEFD}"/>
    <cellStyle name="Normal 2 4 5 2 4 4" xfId="9240" xr:uid="{16FBE981-4867-4157-8C0D-9C1339DB5B3F}"/>
    <cellStyle name="Normal 2 4 5 2 4 5" xfId="10218" xr:uid="{6423B693-EFD9-400D-8A9F-1325D3CD8974}"/>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E9FB0B1E-5833-4424-B712-078558379CF2}"/>
    <cellStyle name="Normal 2 4 5 2 5 2 3" xfId="12776" xr:uid="{A56D36A7-13A3-452C-BCD3-B365D3F0BA4B}"/>
    <cellStyle name="Normal 2 4 5 2 5 3" xfId="5522" xr:uid="{00000000-0005-0000-0000-00007A100000}"/>
    <cellStyle name="Normal 2 4 5 2 5 3 2" xfId="14848" xr:uid="{89C4A3D8-1F5E-4AC6-B781-3ACF2DA2E903}"/>
    <cellStyle name="Normal 2 4 5 2 5 4" xfId="10631" xr:uid="{7E4DCE2E-C122-4F56-91BC-C8ED18AFD0FF}"/>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0E6C0693-C59B-4766-840E-A7CB81A85666}"/>
    <cellStyle name="Normal 2 4 5 2 6 2 3" xfId="13189" xr:uid="{0B3CE1A1-8983-4B96-9E09-0525D85EA9B6}"/>
    <cellStyle name="Normal 2 4 5 2 6 3" xfId="5935" xr:uid="{00000000-0005-0000-0000-00007E100000}"/>
    <cellStyle name="Normal 2 4 5 2 6 3 2" xfId="15261" xr:uid="{0863BE6E-4A6B-499A-A262-60B9FF732518}"/>
    <cellStyle name="Normal 2 4 5 2 6 4" xfId="11044" xr:uid="{EA8FE30E-DA65-4D07-A86F-FE7B4A292CA3}"/>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5B6C5160-9134-45BA-8CD4-D66719765BF8}"/>
    <cellStyle name="Normal 2 4 5 2 7 2 3" xfId="13602" xr:uid="{2E782A38-0446-4194-8E21-A43CF9F06C9C}"/>
    <cellStyle name="Normal 2 4 5 2 7 3" xfId="6348" xr:uid="{00000000-0005-0000-0000-000082100000}"/>
    <cellStyle name="Normal 2 4 5 2 7 3 2" xfId="15674" xr:uid="{8FC4A667-5AE2-4394-B4F3-39DE06A15418}"/>
    <cellStyle name="Normal 2 4 5 2 7 4" xfId="11457" xr:uid="{3D86F6DF-5FA6-46BE-9B86-F7E1AF18F37A}"/>
    <cellStyle name="Normal 2 4 5 2 8" xfId="2478" xr:uid="{00000000-0005-0000-0000-000083100000}"/>
    <cellStyle name="Normal 2 4 5 2 8 2" xfId="6761" xr:uid="{00000000-0005-0000-0000-000084100000}"/>
    <cellStyle name="Normal 2 4 5 2 8 2 2" xfId="16087" xr:uid="{5F3C9CA0-CC74-4537-8114-91DF728C9D97}"/>
    <cellStyle name="Normal 2 4 5 2 8 3" xfId="11870" xr:uid="{993687F9-EEE8-4D19-87BF-842E3DA4386E}"/>
    <cellStyle name="Normal 2 4 5 2 9" xfId="4695" xr:uid="{00000000-0005-0000-0000-000085100000}"/>
    <cellStyle name="Normal 2 4 5 2 9 2" xfId="14021" xr:uid="{A2AC5D75-97A6-43DD-91C7-D782FA28BEEF}"/>
    <cellStyle name="Normal 2 4 5 3" xfId="308" xr:uid="{00000000-0005-0000-0000-000086100000}"/>
    <cellStyle name="Normal 2 4 5 3 10" xfId="9808" xr:uid="{F010735B-9B7A-46D3-AB43-CCED07D7FABC}"/>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68508CA9-A052-4CE1-B9E8-3EC47260397B}"/>
    <cellStyle name="Normal 2 4 5 3 2 2 2 3" xfId="12368" xr:uid="{583B98A5-F155-4AFC-B133-A5752B95DA10}"/>
    <cellStyle name="Normal 2 4 5 3 2 2 3" xfId="5114" xr:uid="{00000000-0005-0000-0000-00008B100000}"/>
    <cellStyle name="Normal 2 4 5 3 2 2 3 2" xfId="14440" xr:uid="{D51C6402-C2CD-4963-B0A1-94625063122E}"/>
    <cellStyle name="Normal 2 4 5 3 2 2 4" xfId="9515" xr:uid="{A1D6949C-773D-44DB-B26F-4DD01D24FF00}"/>
    <cellStyle name="Normal 2 4 5 3 2 2 5" xfId="10223" xr:uid="{3934B1C9-9F08-45AA-8980-A8823B533B3D}"/>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31398B47-A9CD-4537-8E33-0E4B2C74685D}"/>
    <cellStyle name="Normal 2 4 5 3 2 3 2 3" xfId="12781" xr:uid="{DC84A20A-9446-448C-9BD3-279910072421}"/>
    <cellStyle name="Normal 2 4 5 3 2 3 3" xfId="5527" xr:uid="{00000000-0005-0000-0000-00008F100000}"/>
    <cellStyle name="Normal 2 4 5 3 2 3 3 2" xfId="14853" xr:uid="{15ADCF6F-0949-4E88-89B0-1E28CE5DF1D1}"/>
    <cellStyle name="Normal 2 4 5 3 2 3 4" xfId="10636" xr:uid="{7E3D55F3-F0E3-405D-8A08-827BEB4A78B1}"/>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145A43B9-F399-4FD2-B2B7-F3C749A16E8F}"/>
    <cellStyle name="Normal 2 4 5 3 2 4 2 3" xfId="13194" xr:uid="{ABF54937-04CA-4509-88C2-8EBCC3798E5A}"/>
    <cellStyle name="Normal 2 4 5 3 2 4 3" xfId="5940" xr:uid="{00000000-0005-0000-0000-000093100000}"/>
    <cellStyle name="Normal 2 4 5 3 2 4 3 2" xfId="15266" xr:uid="{4AF06787-53B6-40CC-8868-49C55854217C}"/>
    <cellStyle name="Normal 2 4 5 3 2 4 4" xfId="11049" xr:uid="{F6138C5B-C0C1-424D-A81C-7082FD7042B4}"/>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EFB66342-25B5-452B-9A42-E75B49BCF667}"/>
    <cellStyle name="Normal 2 4 5 3 2 5 2 3" xfId="13607" xr:uid="{65DCB78B-51D9-4BDD-A198-DF953F7BA373}"/>
    <cellStyle name="Normal 2 4 5 3 2 5 3" xfId="6353" xr:uid="{00000000-0005-0000-0000-000097100000}"/>
    <cellStyle name="Normal 2 4 5 3 2 5 3 2" xfId="15679" xr:uid="{6F0DDE16-E6D7-4F1D-B98B-708C146FC20B}"/>
    <cellStyle name="Normal 2 4 5 3 2 5 4" xfId="11462" xr:uid="{CDD2AF04-7142-4D46-9754-DC86757E2AC0}"/>
    <cellStyle name="Normal 2 4 5 3 2 6" xfId="2483" xr:uid="{00000000-0005-0000-0000-000098100000}"/>
    <cellStyle name="Normal 2 4 5 3 2 6 2" xfId="6766" xr:uid="{00000000-0005-0000-0000-000099100000}"/>
    <cellStyle name="Normal 2 4 5 3 2 6 2 2" xfId="16092" xr:uid="{BDA489FB-9709-4F53-BD2C-57330F7B7E0F}"/>
    <cellStyle name="Normal 2 4 5 3 2 6 3" xfId="11875" xr:uid="{329D41AA-B463-4064-B92D-9EA8635E6C27}"/>
    <cellStyle name="Normal 2 4 5 3 2 7" xfId="4700" xr:uid="{00000000-0005-0000-0000-00009A100000}"/>
    <cellStyle name="Normal 2 4 5 3 2 7 2" xfId="14026" xr:uid="{6C959827-9F6F-4E47-95AA-371F6111E41D}"/>
    <cellStyle name="Normal 2 4 5 3 2 8" xfId="9090" xr:uid="{4B64C5F8-5AC3-43D3-B94A-46850BBF79A5}"/>
    <cellStyle name="Normal 2 4 5 3 2 9" xfId="9809" xr:uid="{A5781EFB-14BC-4B96-83EC-194B2A8A52EF}"/>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6C80021F-35A5-4542-A819-C0A1B22366D9}"/>
    <cellStyle name="Normal 2 4 5 3 3 2 3" xfId="12367" xr:uid="{B3C0786E-259F-482F-BF24-337ADDE6EBAB}"/>
    <cellStyle name="Normal 2 4 5 3 3 3" xfId="5113" xr:uid="{00000000-0005-0000-0000-00009E100000}"/>
    <cellStyle name="Normal 2 4 5 3 3 3 2" xfId="14439" xr:uid="{59A55792-F98C-475C-B7BA-30857B2EEB46}"/>
    <cellStyle name="Normal 2 4 5 3 3 4" xfId="9308" xr:uid="{40198FFA-4C90-42BE-90C8-42459F1A2A1C}"/>
    <cellStyle name="Normal 2 4 5 3 3 5" xfId="10222" xr:uid="{E15ACD50-4F10-44AA-9BB6-83494304F105}"/>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D626EF94-EE17-48CA-9C81-40C354A33F29}"/>
    <cellStyle name="Normal 2 4 5 3 4 2 3" xfId="12780" xr:uid="{4BE162E3-BA97-46D5-907D-0E8180A2BA0B}"/>
    <cellStyle name="Normal 2 4 5 3 4 3" xfId="5526" xr:uid="{00000000-0005-0000-0000-0000A2100000}"/>
    <cellStyle name="Normal 2 4 5 3 4 3 2" xfId="14852" xr:uid="{F794C332-1790-4DA8-96E1-7A7AD38BB699}"/>
    <cellStyle name="Normal 2 4 5 3 4 4" xfId="10635" xr:uid="{4A6909F8-8E20-4CBE-89C4-3027B7EEFDE2}"/>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0D275FD7-611E-4FE7-97C7-8E7CB8BAA0E5}"/>
    <cellStyle name="Normal 2 4 5 3 5 2 3" xfId="13193" xr:uid="{7D0C1789-D0DA-4BD7-9EDC-20BAD256668F}"/>
    <cellStyle name="Normal 2 4 5 3 5 3" xfId="5939" xr:uid="{00000000-0005-0000-0000-0000A6100000}"/>
    <cellStyle name="Normal 2 4 5 3 5 3 2" xfId="15265" xr:uid="{983F8B00-6A8A-4FFB-8A63-6405CAC655BA}"/>
    <cellStyle name="Normal 2 4 5 3 5 4" xfId="11048" xr:uid="{73E062BA-55E6-4786-B332-5D177BC9BA4D}"/>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02CC8A6D-0E5F-435F-B179-F38913BBDF00}"/>
    <cellStyle name="Normal 2 4 5 3 6 2 3" xfId="13606" xr:uid="{9566BD02-8ECB-4498-A6B4-51D7824F8A9B}"/>
    <cellStyle name="Normal 2 4 5 3 6 3" xfId="6352" xr:uid="{00000000-0005-0000-0000-0000AA100000}"/>
    <cellStyle name="Normal 2 4 5 3 6 3 2" xfId="15678" xr:uid="{3CD350A2-491F-4972-947E-16B02AA3BBF0}"/>
    <cellStyle name="Normal 2 4 5 3 6 4" xfId="11461" xr:uid="{3AE173A0-A7C6-485D-A285-60496704DA53}"/>
    <cellStyle name="Normal 2 4 5 3 7" xfId="2482" xr:uid="{00000000-0005-0000-0000-0000AB100000}"/>
    <cellStyle name="Normal 2 4 5 3 7 2" xfId="6765" xr:uid="{00000000-0005-0000-0000-0000AC100000}"/>
    <cellStyle name="Normal 2 4 5 3 7 2 2" xfId="16091" xr:uid="{FC87C535-2C11-4BA5-B877-02F440FEFEEF}"/>
    <cellStyle name="Normal 2 4 5 3 7 3" xfId="11874" xr:uid="{DCA5A5FD-C526-426D-BCD8-9DACE29B92FD}"/>
    <cellStyle name="Normal 2 4 5 3 8" xfId="4699" xr:uid="{00000000-0005-0000-0000-0000AD100000}"/>
    <cellStyle name="Normal 2 4 5 3 8 2" xfId="14025" xr:uid="{295068CF-5B10-413F-B900-143E21C59715}"/>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59057A26-6033-4BAF-8714-DCD012E12F04}"/>
    <cellStyle name="Normal 2 4 5 4 2 2 3" xfId="12369" xr:uid="{81571BF1-1D85-4D7A-A2AB-0160794E7697}"/>
    <cellStyle name="Normal 2 4 5 4 2 3" xfId="5115" xr:uid="{00000000-0005-0000-0000-0000B2100000}"/>
    <cellStyle name="Normal 2 4 5 4 2 3 2" xfId="14441" xr:uid="{76462D8B-8A3E-4B8C-AE7D-386CFEBDEE22}"/>
    <cellStyle name="Normal 2 4 5 4 2 4" xfId="9412" xr:uid="{0ECAC303-3EA0-4623-AA0F-854157CA32E5}"/>
    <cellStyle name="Normal 2 4 5 4 2 5" xfId="10224" xr:uid="{09D9C4D4-2C81-4303-BED3-DEDDC011FC68}"/>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FB7BB7DA-ECDA-4528-A48D-8B79E1C36757}"/>
    <cellStyle name="Normal 2 4 5 4 3 2 3" xfId="12782" xr:uid="{D40E6848-7110-473D-98E8-63068ABCB47A}"/>
    <cellStyle name="Normal 2 4 5 4 3 3" xfId="5528" xr:uid="{00000000-0005-0000-0000-0000B6100000}"/>
    <cellStyle name="Normal 2 4 5 4 3 3 2" xfId="14854" xr:uid="{4A53928D-F17A-4F92-BC3E-B3DAE02BD130}"/>
    <cellStyle name="Normal 2 4 5 4 3 4" xfId="10637" xr:uid="{BD1C66A7-FD31-4625-A3DA-B65DA95074CD}"/>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38CD8158-CD98-4C2C-9AF4-4CD029E6415E}"/>
    <cellStyle name="Normal 2 4 5 4 4 2 3" xfId="13195" xr:uid="{92FF645D-E002-4EAD-9B66-DA328CCE45A8}"/>
    <cellStyle name="Normal 2 4 5 4 4 3" xfId="5941" xr:uid="{00000000-0005-0000-0000-0000BA100000}"/>
    <cellStyle name="Normal 2 4 5 4 4 3 2" xfId="15267" xr:uid="{B9797C71-5CF8-4524-BE12-A96E5FD24D57}"/>
    <cellStyle name="Normal 2 4 5 4 4 4" xfId="11050" xr:uid="{506E3A5B-1677-4D14-9645-F6D438D3D533}"/>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790EE113-8F4D-4A02-A1FA-6FFD95ABC3C4}"/>
    <cellStyle name="Normal 2 4 5 4 5 2 3" xfId="13608" xr:uid="{B7F5BE22-EC50-4308-B019-2C40393F8C31}"/>
    <cellStyle name="Normal 2 4 5 4 5 3" xfId="6354" xr:uid="{00000000-0005-0000-0000-0000BE100000}"/>
    <cellStyle name="Normal 2 4 5 4 5 3 2" xfId="15680" xr:uid="{30511A43-C933-489A-B63F-06BFCB882740}"/>
    <cellStyle name="Normal 2 4 5 4 5 4" xfId="11463" xr:uid="{3AB3BCF6-A080-40B5-8C5F-502B8D59D396}"/>
    <cellStyle name="Normal 2 4 5 4 6" xfId="2484" xr:uid="{00000000-0005-0000-0000-0000BF100000}"/>
    <cellStyle name="Normal 2 4 5 4 6 2" xfId="6767" xr:uid="{00000000-0005-0000-0000-0000C0100000}"/>
    <cellStyle name="Normal 2 4 5 4 6 2 2" xfId="16093" xr:uid="{AE16D9B0-6D41-4733-8769-4C970226569C}"/>
    <cellStyle name="Normal 2 4 5 4 6 3" xfId="11876" xr:uid="{E2D14193-218F-48F1-9C9C-BDF1056DEF75}"/>
    <cellStyle name="Normal 2 4 5 4 7" xfId="4701" xr:uid="{00000000-0005-0000-0000-0000C1100000}"/>
    <cellStyle name="Normal 2 4 5 4 7 2" xfId="14027" xr:uid="{D6758A70-72A6-4EE7-8EDB-99306FA4FF16}"/>
    <cellStyle name="Normal 2 4 5 4 8" xfId="8987" xr:uid="{8DC2C01A-3078-41AD-BCFB-AA1CA8EE9C0A}"/>
    <cellStyle name="Normal 2 4 5 4 9" xfId="9810" xr:uid="{E1691661-CD4D-46D4-A2D8-84C63C8C8BD4}"/>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23F2676A-9EEA-45D8-9937-F74ACF6DB177}"/>
    <cellStyle name="Normal 2 4 5 5 2 3" xfId="12362" xr:uid="{982F3F60-A080-44A4-9D94-0CB663188586}"/>
    <cellStyle name="Normal 2 4 5 5 3" xfId="5108" xr:uid="{00000000-0005-0000-0000-0000C5100000}"/>
    <cellStyle name="Normal 2 4 5 5 3 2" xfId="14434" xr:uid="{FFA9E1EF-2EDB-44E0-8200-F295E2676930}"/>
    <cellStyle name="Normal 2 4 5 5 4" xfId="9204" xr:uid="{BE34B337-03EE-47D8-9E35-2EE6FAB30236}"/>
    <cellStyle name="Normal 2 4 5 5 5" xfId="10217" xr:uid="{7117E44D-8E32-4E8D-B977-F41B77F69A7A}"/>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4C5E04E2-568F-4E8D-ACDE-22B8251220DB}"/>
    <cellStyle name="Normal 2 4 5 6 2 3" xfId="12775" xr:uid="{5BD93868-9604-4716-8A04-70F8DBBC941D}"/>
    <cellStyle name="Normal 2 4 5 6 3" xfId="5521" xr:uid="{00000000-0005-0000-0000-0000C9100000}"/>
    <cellStyle name="Normal 2 4 5 6 3 2" xfId="14847" xr:uid="{85CA7F34-7810-42D5-AD75-0850EFD7BA5E}"/>
    <cellStyle name="Normal 2 4 5 6 4" xfId="10630" xr:uid="{AEDD3599-6561-4847-8E1F-DE1DE70EB1D0}"/>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0556824D-22F5-4C83-A05A-917D878277ED}"/>
    <cellStyle name="Normal 2 4 5 7 2 3" xfId="13188" xr:uid="{BD06D00C-6C1F-43D8-B488-2F5C2E7F4B84}"/>
    <cellStyle name="Normal 2 4 5 7 3" xfId="5934" xr:uid="{00000000-0005-0000-0000-0000CD100000}"/>
    <cellStyle name="Normal 2 4 5 7 3 2" xfId="15260" xr:uid="{894ECF22-904E-4623-89EC-B1CA275DF045}"/>
    <cellStyle name="Normal 2 4 5 7 4" xfId="11043" xr:uid="{7D28FAFB-38CB-4C58-BEE3-270008A4D345}"/>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A8F8E185-A86F-45A6-946F-5D364EECFDBA}"/>
    <cellStyle name="Normal 2 4 5 8 2 3" xfId="13601" xr:uid="{EA2AEE11-2CF3-42FB-B2EB-8B6BAD829C14}"/>
    <cellStyle name="Normal 2 4 5 8 3" xfId="6347" xr:uid="{00000000-0005-0000-0000-0000D1100000}"/>
    <cellStyle name="Normal 2 4 5 8 3 2" xfId="15673" xr:uid="{F26E87CC-9234-494D-84C2-C33C01DDA173}"/>
    <cellStyle name="Normal 2 4 5 8 4" xfId="11456" xr:uid="{FBECBE96-0802-4294-9F93-81E44A936DA1}"/>
    <cellStyle name="Normal 2 4 5 9" xfId="2477" xr:uid="{00000000-0005-0000-0000-0000D2100000}"/>
    <cellStyle name="Normal 2 4 5 9 2" xfId="6760" xr:uid="{00000000-0005-0000-0000-0000D3100000}"/>
    <cellStyle name="Normal 2 4 5 9 2 2" xfId="16086" xr:uid="{FCBB7959-059A-4972-9F81-4EEDC9A7CDBD}"/>
    <cellStyle name="Normal 2 4 5 9 3" xfId="11869" xr:uid="{F5B8B783-87A5-4F2A-8E8C-63713FE9FA98}"/>
    <cellStyle name="Normal 2 4 6" xfId="311" xr:uid="{00000000-0005-0000-0000-0000D4100000}"/>
    <cellStyle name="Normal 2 4 7" xfId="312" xr:uid="{00000000-0005-0000-0000-0000D5100000}"/>
    <cellStyle name="Normal 2 4 7 10" xfId="9811" xr:uid="{0A8B05CA-894C-43B9-83B0-9655BE452976}"/>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B9B96AE8-C76A-4135-AD72-323906200206}"/>
    <cellStyle name="Normal 2 4 7 2 2 2 3" xfId="12371" xr:uid="{3CF616F2-2FCA-44BC-B57C-D8FD70A59E23}"/>
    <cellStyle name="Normal 2 4 7 2 2 3" xfId="5117" xr:uid="{00000000-0005-0000-0000-0000DA100000}"/>
    <cellStyle name="Normal 2 4 7 2 2 3 2" xfId="14443" xr:uid="{8F40EFE2-E036-42DB-B778-91271F7178A6}"/>
    <cellStyle name="Normal 2 4 7 2 2 4" xfId="9483" xr:uid="{3D7EFF6F-050D-4214-91CB-DF2673F23584}"/>
    <cellStyle name="Normal 2 4 7 2 2 5" xfId="10226" xr:uid="{4BB16F00-7004-4698-B3BA-D6915331DE03}"/>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3479F10B-9C20-4BDA-88D0-F2811B271323}"/>
    <cellStyle name="Normal 2 4 7 2 3 2 3" xfId="12784" xr:uid="{50616D44-4A68-46F6-ADAF-833EBF3C7482}"/>
    <cellStyle name="Normal 2 4 7 2 3 3" xfId="5530" xr:uid="{00000000-0005-0000-0000-0000DE100000}"/>
    <cellStyle name="Normal 2 4 7 2 3 3 2" xfId="14856" xr:uid="{B797B0F5-72AA-4D54-9F31-A9769F05974A}"/>
    <cellStyle name="Normal 2 4 7 2 3 4" xfId="10639" xr:uid="{33C4EA58-CC73-4E57-8FF2-F8DD5E691032}"/>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F432025B-84C8-4FD8-8735-DF77060C012D}"/>
    <cellStyle name="Normal 2 4 7 2 4 2 3" xfId="13197" xr:uid="{0E81A3B2-A92A-4EBE-B73F-F6A7066F34ED}"/>
    <cellStyle name="Normal 2 4 7 2 4 3" xfId="5943" xr:uid="{00000000-0005-0000-0000-0000E2100000}"/>
    <cellStyle name="Normal 2 4 7 2 4 3 2" xfId="15269" xr:uid="{28F12017-A5CA-4F5A-9B29-218C1DC2186B}"/>
    <cellStyle name="Normal 2 4 7 2 4 4" xfId="11052" xr:uid="{FE442691-F274-45A6-8951-91F1E57E21DF}"/>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ABF6AF57-6CE8-4E46-BEF9-F60A6DC11394}"/>
    <cellStyle name="Normal 2 4 7 2 5 2 3" xfId="13610" xr:uid="{274AD614-AC8F-408D-95DF-9B545C8C8D31}"/>
    <cellStyle name="Normal 2 4 7 2 5 3" xfId="6356" xr:uid="{00000000-0005-0000-0000-0000E6100000}"/>
    <cellStyle name="Normal 2 4 7 2 5 3 2" xfId="15682" xr:uid="{33716C56-2028-4C41-8060-72229620FA9C}"/>
    <cellStyle name="Normal 2 4 7 2 5 4" xfId="11465" xr:uid="{7419BB70-E49F-4E7C-8894-FCDB181A696D}"/>
    <cellStyle name="Normal 2 4 7 2 6" xfId="2486" xr:uid="{00000000-0005-0000-0000-0000E7100000}"/>
    <cellStyle name="Normal 2 4 7 2 6 2" xfId="6769" xr:uid="{00000000-0005-0000-0000-0000E8100000}"/>
    <cellStyle name="Normal 2 4 7 2 6 2 2" xfId="16095" xr:uid="{B2C81B11-FEB3-40BB-98D3-F48A5E72AC54}"/>
    <cellStyle name="Normal 2 4 7 2 6 3" xfId="11878" xr:uid="{27FCC500-E979-4BB0-966D-A708DFC9FCDD}"/>
    <cellStyle name="Normal 2 4 7 2 7" xfId="4703" xr:uid="{00000000-0005-0000-0000-0000E9100000}"/>
    <cellStyle name="Normal 2 4 7 2 7 2" xfId="14029" xr:uid="{DFEBC0E2-91BC-47BF-A911-D749B0E97636}"/>
    <cellStyle name="Normal 2 4 7 2 8" xfId="9058" xr:uid="{FCEC438E-EF6A-4A00-BFE3-0DA309169A82}"/>
    <cellStyle name="Normal 2 4 7 2 9" xfId="9812" xr:uid="{C50CAF40-0AD7-4942-9E3D-136DB75B65B1}"/>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34362B01-A32D-42BC-B206-E68C3A551001}"/>
    <cellStyle name="Normal 2 4 7 3 2 3" xfId="12370" xr:uid="{8D219F75-C8F9-48AC-9285-D0284D08B195}"/>
    <cellStyle name="Normal 2 4 7 3 3" xfId="5116" xr:uid="{00000000-0005-0000-0000-0000ED100000}"/>
    <cellStyle name="Normal 2 4 7 3 3 2" xfId="14442" xr:uid="{E495669F-0B17-4B84-9D42-2F924C745225}"/>
    <cellStyle name="Normal 2 4 7 3 4" xfId="9276" xr:uid="{90A81E61-1719-41E4-8673-7681E805C2E0}"/>
    <cellStyle name="Normal 2 4 7 3 5" xfId="10225" xr:uid="{1283EDC9-6F4B-4750-B8F5-B21A9A97DC41}"/>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EF21A95C-97BF-439B-9858-81C784E219B4}"/>
    <cellStyle name="Normal 2 4 7 4 2 3" xfId="12783" xr:uid="{654D752F-CB03-400F-BA3E-20E8BF816B24}"/>
    <cellStyle name="Normal 2 4 7 4 3" xfId="5529" xr:uid="{00000000-0005-0000-0000-0000F1100000}"/>
    <cellStyle name="Normal 2 4 7 4 3 2" xfId="14855" xr:uid="{6C0A3127-057F-4764-9DA0-FCE38B9769C7}"/>
    <cellStyle name="Normal 2 4 7 4 4" xfId="10638" xr:uid="{0FAB62A3-C3D0-484E-A28C-B4E97F1D9DCB}"/>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890724ED-4197-475E-A7AE-F9ABB7E0A042}"/>
    <cellStyle name="Normal 2 4 7 5 2 3" xfId="13196" xr:uid="{C3863692-C15B-4853-9895-9CD181DF20C4}"/>
    <cellStyle name="Normal 2 4 7 5 3" xfId="5942" xr:uid="{00000000-0005-0000-0000-0000F5100000}"/>
    <cellStyle name="Normal 2 4 7 5 3 2" xfId="15268" xr:uid="{9CFA8E56-ADFD-450A-8C7C-87362E4EBE34}"/>
    <cellStyle name="Normal 2 4 7 5 4" xfId="11051" xr:uid="{673B2BFB-316B-4477-A413-29B3E0699950}"/>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6A350CBD-796F-4AA0-8669-466B0D2D51FE}"/>
    <cellStyle name="Normal 2 4 7 6 2 3" xfId="13609" xr:uid="{D8C43B38-7890-4778-9502-8F08A7A598F2}"/>
    <cellStyle name="Normal 2 4 7 6 3" xfId="6355" xr:uid="{00000000-0005-0000-0000-0000F9100000}"/>
    <cellStyle name="Normal 2 4 7 6 3 2" xfId="15681" xr:uid="{060F37C0-DFB6-4230-B215-3256EA5A4E77}"/>
    <cellStyle name="Normal 2 4 7 6 4" xfId="11464" xr:uid="{BDA0DD80-B600-4798-8533-9BF3DA257548}"/>
    <cellStyle name="Normal 2 4 7 7" xfId="2485" xr:uid="{00000000-0005-0000-0000-0000FA100000}"/>
    <cellStyle name="Normal 2 4 7 7 2" xfId="6768" xr:uid="{00000000-0005-0000-0000-0000FB100000}"/>
    <cellStyle name="Normal 2 4 7 7 2 2" xfId="16094" xr:uid="{A11B1D64-948D-4109-BCAB-1BE896ED47C3}"/>
    <cellStyle name="Normal 2 4 7 7 3" xfId="11877" xr:uid="{CD032CED-F6EF-4F90-9EE3-1D85699CE114}"/>
    <cellStyle name="Normal 2 4 7 8" xfId="4702" xr:uid="{00000000-0005-0000-0000-0000FC100000}"/>
    <cellStyle name="Normal 2 4 7 8 2" xfId="14028" xr:uid="{EC2361EE-C3A0-4F2B-883A-187DDA77FEE6}"/>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A33F65CC-0169-4E6D-B3DF-7328B371355F}"/>
    <cellStyle name="Normal 2 4 8 2 2 3" xfId="12372" xr:uid="{1DB91095-D4B4-49C4-881B-3E8A2B02100F}"/>
    <cellStyle name="Normal 2 4 8 2 3" xfId="5118" xr:uid="{00000000-0005-0000-0000-000001110000}"/>
    <cellStyle name="Normal 2 4 8 2 3 2" xfId="14444" xr:uid="{1D0CAAA5-1513-4F1D-881D-8E1C7232E1E5}"/>
    <cellStyle name="Normal 2 4 8 2 4" xfId="9392" xr:uid="{812B973E-E5C9-43CD-85B0-C8CA30BD9BF3}"/>
    <cellStyle name="Normal 2 4 8 2 5" xfId="10227" xr:uid="{70A1A989-07AD-4AD5-8E6D-7FFCE0357B67}"/>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43000916-AF5C-4DD9-965A-6341D24CA117}"/>
    <cellStyle name="Normal 2 4 8 3 2 3" xfId="12785" xr:uid="{CC0552A4-4EFD-4DBD-A082-6E9C400DADEF}"/>
    <cellStyle name="Normal 2 4 8 3 3" xfId="5531" xr:uid="{00000000-0005-0000-0000-000005110000}"/>
    <cellStyle name="Normal 2 4 8 3 3 2" xfId="14857" xr:uid="{A75C7D03-A3A2-47CA-90FE-F8D61E55B356}"/>
    <cellStyle name="Normal 2 4 8 3 4" xfId="10640" xr:uid="{119EE441-D411-4713-A2EC-BC2D212D03D7}"/>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1F63A438-C73E-4ED9-AEA8-D31F1DC9C6E0}"/>
    <cellStyle name="Normal 2 4 8 4 2 3" xfId="13198" xr:uid="{38A6E7DF-ED75-4614-8D57-C5136B0CF1FE}"/>
    <cellStyle name="Normal 2 4 8 4 3" xfId="5944" xr:uid="{00000000-0005-0000-0000-000009110000}"/>
    <cellStyle name="Normal 2 4 8 4 3 2" xfId="15270" xr:uid="{F9033544-61D0-4471-9B27-334AE8F790E4}"/>
    <cellStyle name="Normal 2 4 8 4 4" xfId="11053" xr:uid="{62BD8AF4-B1A9-4BE9-B4C8-5D9971F73DC5}"/>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F1DD06F9-7012-4C4F-BB3D-4FD2CC400EBC}"/>
    <cellStyle name="Normal 2 4 8 5 2 3" xfId="13611" xr:uid="{E82F05AF-83B1-46C3-8230-E2913B48F362}"/>
    <cellStyle name="Normal 2 4 8 5 3" xfId="6357" xr:uid="{00000000-0005-0000-0000-00000D110000}"/>
    <cellStyle name="Normal 2 4 8 5 3 2" xfId="15683" xr:uid="{2712511F-0E67-49ED-A9A4-6B5E4EE8F8D1}"/>
    <cellStyle name="Normal 2 4 8 5 4" xfId="11466" xr:uid="{71BC2C2D-0801-44BF-9BC4-018FE0FDE83A}"/>
    <cellStyle name="Normal 2 4 8 6" xfId="2487" xr:uid="{00000000-0005-0000-0000-00000E110000}"/>
    <cellStyle name="Normal 2 4 8 6 2" xfId="6770" xr:uid="{00000000-0005-0000-0000-00000F110000}"/>
    <cellStyle name="Normal 2 4 8 6 2 2" xfId="16096" xr:uid="{8FA28B6D-8F39-4BB9-908E-790F1046627D}"/>
    <cellStyle name="Normal 2 4 8 6 3" xfId="11879" xr:uid="{FBC8540A-9AB3-4D9F-8898-7B53A91F6476}"/>
    <cellStyle name="Normal 2 4 8 7" xfId="4704" xr:uid="{00000000-0005-0000-0000-000010110000}"/>
    <cellStyle name="Normal 2 4 8 7 2" xfId="14030" xr:uid="{6E82F7CD-4E30-4F33-B2F6-E2874CE7C473}"/>
    <cellStyle name="Normal 2 4 8 8" xfId="8967" xr:uid="{32AC97CD-D3FD-4AE1-A8B2-07BEA9D5DE52}"/>
    <cellStyle name="Normal 2 4 8 9" xfId="9813" xr:uid="{77E6EC32-8624-4807-8A14-8C912CC9FBB3}"/>
    <cellStyle name="Normal 2 4 9" xfId="9170" xr:uid="{5569C060-E090-4551-A44D-517EC3FD1834}"/>
    <cellStyle name="Normal 2 5" xfId="315" xr:uid="{00000000-0005-0000-0000-000011110000}"/>
    <cellStyle name="Normal 2 5 10" xfId="4705" xr:uid="{00000000-0005-0000-0000-000012110000}"/>
    <cellStyle name="Normal 2 5 10 2" xfId="14031" xr:uid="{B99AE238-AA26-4FE1-8616-9038FE7A98E1}"/>
    <cellStyle name="Normal 2 5 11" xfId="9814" xr:uid="{C4EF01C1-2235-4FB7-98F2-AF0C744A2D02}"/>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1" xfId="9815" xr:uid="{2EB69F60-2135-4A5C-9667-D89B90E5C187}"/>
    <cellStyle name="Normal 2 5 4 2" xfId="319" xr:uid="{00000000-0005-0000-0000-000016110000}"/>
    <cellStyle name="Normal 2 5 4 2 10" xfId="9816" xr:uid="{2889A914-A45F-44C8-95D5-4D36A9248437}"/>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30FF53B5-0D57-4B01-9280-D2EFD9C003FF}"/>
    <cellStyle name="Normal 2 5 4 2 2 2 2 3" xfId="12376" xr:uid="{3A41DBCD-29D5-4EB9-8F1D-8FCF062003ED}"/>
    <cellStyle name="Normal 2 5 4 2 2 2 3" xfId="5122" xr:uid="{00000000-0005-0000-0000-00001B110000}"/>
    <cellStyle name="Normal 2 5 4 2 2 2 3 2" xfId="14448" xr:uid="{63656DB7-E740-4342-9843-7DFAD018EA3A}"/>
    <cellStyle name="Normal 2 5 4 2 2 2 4" xfId="9551" xr:uid="{392D7741-6781-4EA5-9C28-040053C1B05B}"/>
    <cellStyle name="Normal 2 5 4 2 2 2 5" xfId="10231" xr:uid="{B2865D76-9407-45EA-B1BB-D45D54CA580F}"/>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AB03BED4-AEAC-4D98-9930-CE2E5A505EB8}"/>
    <cellStyle name="Normal 2 5 4 2 2 3 2 3" xfId="12789" xr:uid="{280438B2-0334-4606-B3E5-C48F7F43A08D}"/>
    <cellStyle name="Normal 2 5 4 2 2 3 3" xfId="5535" xr:uid="{00000000-0005-0000-0000-00001F110000}"/>
    <cellStyle name="Normal 2 5 4 2 2 3 3 2" xfId="14861" xr:uid="{5FB2A4BE-FD22-49B1-8B6D-611E2A2A7619}"/>
    <cellStyle name="Normal 2 5 4 2 2 3 4" xfId="10644" xr:uid="{8001E739-88D3-42B8-97EF-0489D34CA24B}"/>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4B3084C1-23C2-4E47-9BC3-B1A924C1AE57}"/>
    <cellStyle name="Normal 2 5 4 2 2 4 2 3" xfId="13202" xr:uid="{211125EA-E502-48BD-A517-074C9D3EC59B}"/>
    <cellStyle name="Normal 2 5 4 2 2 4 3" xfId="5948" xr:uid="{00000000-0005-0000-0000-000023110000}"/>
    <cellStyle name="Normal 2 5 4 2 2 4 3 2" xfId="15274" xr:uid="{EB36A713-E6A4-4765-A9F1-A26F8C7E97D9}"/>
    <cellStyle name="Normal 2 5 4 2 2 4 4" xfId="11057" xr:uid="{29267EE3-BC69-4FA3-B8DE-9857B86DD7DF}"/>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9BA7ECA0-B60F-4A22-A8F2-C089AEC0907A}"/>
    <cellStyle name="Normal 2 5 4 2 2 5 2 3" xfId="13615" xr:uid="{F5B307AA-9552-4C0D-830F-83D470E5ABB3}"/>
    <cellStyle name="Normal 2 5 4 2 2 5 3" xfId="6361" xr:uid="{00000000-0005-0000-0000-000027110000}"/>
    <cellStyle name="Normal 2 5 4 2 2 5 3 2" xfId="15687" xr:uid="{949FCE2E-8D5E-416F-BAAF-0EDC4232CAD2}"/>
    <cellStyle name="Normal 2 5 4 2 2 5 4" xfId="11470" xr:uid="{390AD8A0-5D5F-4162-A6F1-7912C7B17DB4}"/>
    <cellStyle name="Normal 2 5 4 2 2 6" xfId="2491" xr:uid="{00000000-0005-0000-0000-000028110000}"/>
    <cellStyle name="Normal 2 5 4 2 2 6 2" xfId="6774" xr:uid="{00000000-0005-0000-0000-000029110000}"/>
    <cellStyle name="Normal 2 5 4 2 2 6 2 2" xfId="16100" xr:uid="{36B97B7E-F480-483C-A5F0-B6CF26A4EC33}"/>
    <cellStyle name="Normal 2 5 4 2 2 6 3" xfId="11883" xr:uid="{706BCFB9-D2A7-4556-AF2E-38063BB7773A}"/>
    <cellStyle name="Normal 2 5 4 2 2 7" xfId="4708" xr:uid="{00000000-0005-0000-0000-00002A110000}"/>
    <cellStyle name="Normal 2 5 4 2 2 7 2" xfId="14034" xr:uid="{37ADA519-D94B-465B-A826-47ADDA06CF99}"/>
    <cellStyle name="Normal 2 5 4 2 2 8" xfId="9126" xr:uid="{C2CF4AFD-4082-4555-941B-6E9759C32D63}"/>
    <cellStyle name="Normal 2 5 4 2 2 9" xfId="9817" xr:uid="{56F613B8-7C32-4226-B08E-D14872E0E0FD}"/>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B3128563-ED75-459C-B938-B6AAB6CE1B34}"/>
    <cellStyle name="Normal 2 5 4 2 3 2 3" xfId="12375" xr:uid="{9B5801F2-8FEF-49DB-B59C-6605B828816E}"/>
    <cellStyle name="Normal 2 5 4 2 3 3" xfId="5121" xr:uid="{00000000-0005-0000-0000-00002E110000}"/>
    <cellStyle name="Normal 2 5 4 2 3 3 2" xfId="14447" xr:uid="{1DA18A6B-E86B-4691-9556-C3EEC955D81E}"/>
    <cellStyle name="Normal 2 5 4 2 3 4" xfId="9344" xr:uid="{207B8A34-09D9-4349-A9C7-5A5A998C6B6F}"/>
    <cellStyle name="Normal 2 5 4 2 3 5" xfId="10230" xr:uid="{6E553D13-8AD5-4C25-BD82-DC67997E5169}"/>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75F548CA-1F7E-4E05-9C7B-21253C09A74C}"/>
    <cellStyle name="Normal 2 5 4 2 4 2 3" xfId="12788" xr:uid="{203C33FF-0DBA-465E-B84C-2E334770CB3C}"/>
    <cellStyle name="Normal 2 5 4 2 4 3" xfId="5534" xr:uid="{00000000-0005-0000-0000-000032110000}"/>
    <cellStyle name="Normal 2 5 4 2 4 3 2" xfId="14860" xr:uid="{87E9F3F3-BF2C-4DEA-9B40-E403FF1DD55B}"/>
    <cellStyle name="Normal 2 5 4 2 4 4" xfId="10643" xr:uid="{DAE91736-AEBD-4A82-A764-DB5A65098CF7}"/>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1C158B68-3B84-4B1F-8060-1353EC7A0331}"/>
    <cellStyle name="Normal 2 5 4 2 5 2 3" xfId="13201" xr:uid="{E41FDBE2-FFEA-4241-97BC-2D1D870EA10E}"/>
    <cellStyle name="Normal 2 5 4 2 5 3" xfId="5947" xr:uid="{00000000-0005-0000-0000-000036110000}"/>
    <cellStyle name="Normal 2 5 4 2 5 3 2" xfId="15273" xr:uid="{A4E92D5F-50E5-42A5-81A3-CFBBF8346799}"/>
    <cellStyle name="Normal 2 5 4 2 5 4" xfId="11056" xr:uid="{AF411601-20B9-4EF9-9217-8566C72A82A5}"/>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37B2C08F-02A4-4C67-A841-92AD1762AAF8}"/>
    <cellStyle name="Normal 2 5 4 2 6 2 3" xfId="13614" xr:uid="{B395496A-1E01-45A4-9489-4D9E77808A58}"/>
    <cellStyle name="Normal 2 5 4 2 6 3" xfId="6360" xr:uid="{00000000-0005-0000-0000-00003A110000}"/>
    <cellStyle name="Normal 2 5 4 2 6 3 2" xfId="15686" xr:uid="{1AC77360-7610-4422-A712-42401B80B4BA}"/>
    <cellStyle name="Normal 2 5 4 2 6 4" xfId="11469" xr:uid="{5BCBFF0D-8A08-4070-90C2-930C59DD35DE}"/>
    <cellStyle name="Normal 2 5 4 2 7" xfId="2490" xr:uid="{00000000-0005-0000-0000-00003B110000}"/>
    <cellStyle name="Normal 2 5 4 2 7 2" xfId="6773" xr:uid="{00000000-0005-0000-0000-00003C110000}"/>
    <cellStyle name="Normal 2 5 4 2 7 2 2" xfId="16099" xr:uid="{8536DC98-9B49-46C8-8CFE-0ED56159FE27}"/>
    <cellStyle name="Normal 2 5 4 2 7 3" xfId="11882" xr:uid="{94F01501-3711-4911-89D0-11910FB8E72A}"/>
    <cellStyle name="Normal 2 5 4 2 8" xfId="4707" xr:uid="{00000000-0005-0000-0000-00003D110000}"/>
    <cellStyle name="Normal 2 5 4 2 8 2" xfId="14033" xr:uid="{A1D2F46C-6723-4F7E-89CF-90DE28C06AF9}"/>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82D6CE2B-7196-4AB7-A423-B4E4E48FF5F8}"/>
    <cellStyle name="Normal 2 5 4 3 2 2 3" xfId="12377" xr:uid="{F2E7FE54-DA03-437C-BC8B-1B1C23A946AE}"/>
    <cellStyle name="Normal 2 5 4 3 2 3" xfId="5123" xr:uid="{00000000-0005-0000-0000-000042110000}"/>
    <cellStyle name="Normal 2 5 4 3 2 3 2" xfId="14449" xr:uid="{5EFB060A-01BA-4315-85AF-32001FBCEE9C}"/>
    <cellStyle name="Normal 2 5 4 3 2 4" xfId="9448" xr:uid="{0C1738F2-697E-4430-8A3F-E67747B3EDB0}"/>
    <cellStyle name="Normal 2 5 4 3 2 5" xfId="10232" xr:uid="{313C3D6B-3213-4EA4-B2ED-C12AA24B70C3}"/>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6E59582B-DEB1-4ED1-9D32-F8DFE1792822}"/>
    <cellStyle name="Normal 2 5 4 3 3 2 3" xfId="12790" xr:uid="{EC1C781B-E22A-4C3F-9DF0-77C00CC9EB7E}"/>
    <cellStyle name="Normal 2 5 4 3 3 3" xfId="5536" xr:uid="{00000000-0005-0000-0000-000046110000}"/>
    <cellStyle name="Normal 2 5 4 3 3 3 2" xfId="14862" xr:uid="{1D220051-E6CD-4D65-821C-1E3D97D362B1}"/>
    <cellStyle name="Normal 2 5 4 3 3 4" xfId="10645" xr:uid="{E4D16108-6247-440B-9FE7-509A834B61BC}"/>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1BF5256D-6B04-4AD0-9B3A-8F9840AB50C1}"/>
    <cellStyle name="Normal 2 5 4 3 4 2 3" xfId="13203" xr:uid="{751D6E43-B37D-48A3-B43E-4DE68FB41F18}"/>
    <cellStyle name="Normal 2 5 4 3 4 3" xfId="5949" xr:uid="{00000000-0005-0000-0000-00004A110000}"/>
    <cellStyle name="Normal 2 5 4 3 4 3 2" xfId="15275" xr:uid="{7FF13401-3CC1-4FD3-B669-A9C437038D00}"/>
    <cellStyle name="Normal 2 5 4 3 4 4" xfId="11058" xr:uid="{EA1CA5F2-103B-458A-B047-AE7508FF6A1E}"/>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7E150392-31D3-48EB-A5B0-A2B39D368BB2}"/>
    <cellStyle name="Normal 2 5 4 3 5 2 3" xfId="13616" xr:uid="{80CE546F-1616-4597-85CB-C8D5FBAA9839}"/>
    <cellStyle name="Normal 2 5 4 3 5 3" xfId="6362" xr:uid="{00000000-0005-0000-0000-00004E110000}"/>
    <cellStyle name="Normal 2 5 4 3 5 3 2" xfId="15688" xr:uid="{9D4AB530-FFB0-49ED-9E0B-847A5FBF88C8}"/>
    <cellStyle name="Normal 2 5 4 3 5 4" xfId="11471" xr:uid="{C3E46009-106E-405E-9952-C68F7F99091C}"/>
    <cellStyle name="Normal 2 5 4 3 6" xfId="2492" xr:uid="{00000000-0005-0000-0000-00004F110000}"/>
    <cellStyle name="Normal 2 5 4 3 6 2" xfId="6775" xr:uid="{00000000-0005-0000-0000-000050110000}"/>
    <cellStyle name="Normal 2 5 4 3 6 2 2" xfId="16101" xr:uid="{70EAC90F-5B19-4A68-A873-923D6C7D2AAE}"/>
    <cellStyle name="Normal 2 5 4 3 6 3" xfId="11884" xr:uid="{CCAA7E2A-FFCA-4598-BEE0-94054ECD21ED}"/>
    <cellStyle name="Normal 2 5 4 3 7" xfId="4709" xr:uid="{00000000-0005-0000-0000-000051110000}"/>
    <cellStyle name="Normal 2 5 4 3 7 2" xfId="14035" xr:uid="{AE6CC79E-33DF-47C3-B7FA-8DC25516CEFD}"/>
    <cellStyle name="Normal 2 5 4 3 8" xfId="9023" xr:uid="{9B869639-3DD4-4511-AD70-D5125D34938F}"/>
    <cellStyle name="Normal 2 5 4 3 9" xfId="9818" xr:uid="{C5EBB12C-C4D3-458B-A7E2-81CB54DD8CE4}"/>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385DD860-3D06-438E-B16A-41F2EBE9D1FE}"/>
    <cellStyle name="Normal 2 5 4 4 2 3" xfId="12374" xr:uid="{C0015C81-2A71-48E2-9E20-E7B7AC7E8E51}"/>
    <cellStyle name="Normal 2 5 4 4 3" xfId="5120" xr:uid="{00000000-0005-0000-0000-000055110000}"/>
    <cellStyle name="Normal 2 5 4 4 3 2" xfId="14446" xr:uid="{2DE7B684-623E-41CC-8E78-758B4C82D908}"/>
    <cellStyle name="Normal 2 5 4 4 4" xfId="9241" xr:uid="{2BD2F05F-E4C9-46B4-B3C9-F0D081C1F38F}"/>
    <cellStyle name="Normal 2 5 4 4 5" xfId="10229" xr:uid="{5ED448BD-FD6B-4E7B-A364-2D59B1218C45}"/>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960D76AC-7E7D-4191-AFCE-EA891B679EDE}"/>
    <cellStyle name="Normal 2 5 4 5 2 3" xfId="12787" xr:uid="{EC7403BE-EC7F-4EE4-9995-F56FEA82A107}"/>
    <cellStyle name="Normal 2 5 4 5 3" xfId="5533" xr:uid="{00000000-0005-0000-0000-000059110000}"/>
    <cellStyle name="Normal 2 5 4 5 3 2" xfId="14859" xr:uid="{BCED20ED-5C28-4FAA-8141-E161F5C9799B}"/>
    <cellStyle name="Normal 2 5 4 5 4" xfId="10642" xr:uid="{8E5A094D-35EB-41FD-AD09-71869CB636BD}"/>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68502739-8C0A-436E-85AC-6C38056A1EF1}"/>
    <cellStyle name="Normal 2 5 4 6 2 3" xfId="13200" xr:uid="{11E74432-E8FC-4FE3-9915-78E27EC7CF7D}"/>
    <cellStyle name="Normal 2 5 4 6 3" xfId="5946" xr:uid="{00000000-0005-0000-0000-00005D110000}"/>
    <cellStyle name="Normal 2 5 4 6 3 2" xfId="15272" xr:uid="{C3CD5982-A65C-4469-9607-AF4B1E068BEF}"/>
    <cellStyle name="Normal 2 5 4 6 4" xfId="11055" xr:uid="{8249B00C-4E0E-41BA-A97F-DFAB1FE00E0D}"/>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4CB11864-5B68-4780-A367-12150C14D661}"/>
    <cellStyle name="Normal 2 5 4 7 2 3" xfId="13613" xr:uid="{2567E83D-5CD0-430C-A00B-B0604EBAC257}"/>
    <cellStyle name="Normal 2 5 4 7 3" xfId="6359" xr:uid="{00000000-0005-0000-0000-000061110000}"/>
    <cellStyle name="Normal 2 5 4 7 3 2" xfId="15685" xr:uid="{08C325DA-520D-44BE-8FB9-801CD3CC3332}"/>
    <cellStyle name="Normal 2 5 4 7 4" xfId="11468" xr:uid="{8F123D36-90B8-4477-BDD0-4678642ACFA9}"/>
    <cellStyle name="Normal 2 5 4 8" xfId="2489" xr:uid="{00000000-0005-0000-0000-000062110000}"/>
    <cellStyle name="Normal 2 5 4 8 2" xfId="6772" xr:uid="{00000000-0005-0000-0000-000063110000}"/>
    <cellStyle name="Normal 2 5 4 8 2 2" xfId="16098" xr:uid="{B7393A61-1EC2-457C-B7EA-6B41EE314A90}"/>
    <cellStyle name="Normal 2 5 4 8 3" xfId="11881" xr:uid="{CD07CB64-53F1-45C3-9DF2-22B13372A53B}"/>
    <cellStyle name="Normal 2 5 4 9" xfId="4706" xr:uid="{00000000-0005-0000-0000-000064110000}"/>
    <cellStyle name="Normal 2 5 4 9 2" xfId="14032" xr:uid="{CFE1FD5E-7479-43B7-9D3B-90EFEBECCB90}"/>
    <cellStyle name="Normal 2 5 5" xfId="803" xr:uid="{00000000-0005-0000-0000-000065110000}"/>
    <cellStyle name="Normal 2 5 5 2" xfId="3042" xr:uid="{00000000-0005-0000-0000-000066110000}"/>
    <cellStyle name="Normal 2 5 5 2 2" xfId="7264" xr:uid="{00000000-0005-0000-0000-000067110000}"/>
    <cellStyle name="Normal 2 5 5 2 2 2" xfId="16590" xr:uid="{6C261CA5-7095-4BF2-9606-2829C4C4259F}"/>
    <cellStyle name="Normal 2 5 5 2 3" xfId="12373" xr:uid="{260A4C4C-AD11-46ED-9B2D-A6BBB59C8F65}"/>
    <cellStyle name="Normal 2 5 5 3" xfId="5119" xr:uid="{00000000-0005-0000-0000-000068110000}"/>
    <cellStyle name="Normal 2 5 5 3 2" xfId="14445" xr:uid="{D8E80070-5D4B-43CF-AF22-0596951BCC9B}"/>
    <cellStyle name="Normal 2 5 5 4" xfId="9606" xr:uid="{3AE4D77A-44EE-40C2-9F71-05FBDE2746B2}"/>
    <cellStyle name="Normal 2 5 5 5" xfId="10228" xr:uid="{009F8545-9DFB-46F6-89A0-C2E63360F4BD}"/>
    <cellStyle name="Normal 2 5 6" xfId="1225" xr:uid="{00000000-0005-0000-0000-000069110000}"/>
    <cellStyle name="Normal 2 5 6 2" xfId="3455" xr:uid="{00000000-0005-0000-0000-00006A110000}"/>
    <cellStyle name="Normal 2 5 6 2 2" xfId="7677" xr:uid="{00000000-0005-0000-0000-00006B110000}"/>
    <cellStyle name="Normal 2 5 6 2 2 2" xfId="17003" xr:uid="{424F499F-B0A4-40D5-A0E4-581453302223}"/>
    <cellStyle name="Normal 2 5 6 2 3" xfId="12786" xr:uid="{CBF8D9FB-26DA-4FA8-8727-CFB0C287F69A}"/>
    <cellStyle name="Normal 2 5 6 3" xfId="5532" xr:uid="{00000000-0005-0000-0000-00006C110000}"/>
    <cellStyle name="Normal 2 5 6 3 2" xfId="14858" xr:uid="{0DB51E99-2E84-441F-99F4-1DE655B3A708}"/>
    <cellStyle name="Normal 2 5 6 4" xfId="10641" xr:uid="{F2975FA2-3996-47A7-A180-D04C2C1FEA34}"/>
    <cellStyle name="Normal 2 5 7" xfId="1638" xr:uid="{00000000-0005-0000-0000-00006D110000}"/>
    <cellStyle name="Normal 2 5 7 2" xfId="3868" xr:uid="{00000000-0005-0000-0000-00006E110000}"/>
    <cellStyle name="Normal 2 5 7 2 2" xfId="8090" xr:uid="{00000000-0005-0000-0000-00006F110000}"/>
    <cellStyle name="Normal 2 5 7 2 2 2" xfId="17416" xr:uid="{FDD1C37C-54D8-4936-AF1F-C47C63335F3D}"/>
    <cellStyle name="Normal 2 5 7 2 3" xfId="13199" xr:uid="{90B6B071-3F50-44C6-B084-DCFA2C8C245A}"/>
    <cellStyle name="Normal 2 5 7 3" xfId="5945" xr:uid="{00000000-0005-0000-0000-000070110000}"/>
    <cellStyle name="Normal 2 5 7 3 2" xfId="15271" xr:uid="{C4C2C959-170B-4FFB-AF57-FCF0F9E0CA18}"/>
    <cellStyle name="Normal 2 5 7 4" xfId="11054" xr:uid="{8F26E3E6-3F88-4EEE-8706-D2498F69E102}"/>
    <cellStyle name="Normal 2 5 8" xfId="2052" xr:uid="{00000000-0005-0000-0000-000071110000}"/>
    <cellStyle name="Normal 2 5 8 2" xfId="4281" xr:uid="{00000000-0005-0000-0000-000072110000}"/>
    <cellStyle name="Normal 2 5 8 2 2" xfId="8503" xr:uid="{00000000-0005-0000-0000-000073110000}"/>
    <cellStyle name="Normal 2 5 8 2 2 2" xfId="17829" xr:uid="{766AE61E-9757-4716-BDFA-2B39F2A69C44}"/>
    <cellStyle name="Normal 2 5 8 2 3" xfId="13612" xr:uid="{9ED0D5B8-D3EA-47FE-9F0D-450828120AA0}"/>
    <cellStyle name="Normal 2 5 8 3" xfId="6358" xr:uid="{00000000-0005-0000-0000-000074110000}"/>
    <cellStyle name="Normal 2 5 8 3 2" xfId="15684" xr:uid="{ADC17A2B-DFEB-4473-9309-EA1FA63A0E0C}"/>
    <cellStyle name="Normal 2 5 8 4" xfId="11467" xr:uid="{1C2B1D78-DC4A-489B-963B-512B0F4953C7}"/>
    <cellStyle name="Normal 2 5 9" xfId="2488" xr:uid="{00000000-0005-0000-0000-000075110000}"/>
    <cellStyle name="Normal 2 5 9 2" xfId="6771" xr:uid="{00000000-0005-0000-0000-000076110000}"/>
    <cellStyle name="Normal 2 5 9 2 2" xfId="16097" xr:uid="{E3542420-FCB5-40D2-9F67-BA0AB9956570}"/>
    <cellStyle name="Normal 2 5 9 3" xfId="11880" xr:uid="{E0C8CC15-FDF3-4FA1-BFCA-6642F155A9C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2E39FDCC-20A6-4ACC-A2F6-65DA7E3BAA02}"/>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1" xfId="9820" xr:uid="{84FE7DDC-0FB6-45EB-B5BB-867DC1333D2E}"/>
    <cellStyle name="Normal 3 2 3 2" xfId="327" xr:uid="{00000000-0005-0000-0000-00007F110000}"/>
    <cellStyle name="Normal 3 2 3 2 10" xfId="9821" xr:uid="{F78F02A7-0747-4ED3-9B3B-A84773EC59C9}"/>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D8B73660-ED16-4B7B-AB28-C0B89918CCA3}"/>
    <cellStyle name="Normal 3 2 3 2 2 2 2 3" xfId="12381" xr:uid="{47B05814-849D-431B-8984-FDE63F888C0B}"/>
    <cellStyle name="Normal 3 2 3 2 2 2 3" xfId="5127" xr:uid="{00000000-0005-0000-0000-000084110000}"/>
    <cellStyle name="Normal 3 2 3 2 2 2 3 2" xfId="14453" xr:uid="{B6CC6E90-6E1B-495A-B19A-CB946BF2A414}"/>
    <cellStyle name="Normal 3 2 3 2 2 2 4" xfId="9552" xr:uid="{54198C1B-8B77-4C07-BFED-28C4D4E00A0C}"/>
    <cellStyle name="Normal 3 2 3 2 2 2 5" xfId="10236" xr:uid="{68BD7EB4-C937-48BE-BB20-99CF1CBE888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597B8D57-1961-43D5-A4D3-24448BA5FB99}"/>
    <cellStyle name="Normal 3 2 3 2 2 3 2 3" xfId="12794" xr:uid="{6A1FB497-96CB-41CA-ACA9-89B15965B49D}"/>
    <cellStyle name="Normal 3 2 3 2 2 3 3" xfId="5540" xr:uid="{00000000-0005-0000-0000-000088110000}"/>
    <cellStyle name="Normal 3 2 3 2 2 3 3 2" xfId="14866" xr:uid="{38A1B3CE-1F49-450B-9058-D96FC9331152}"/>
    <cellStyle name="Normal 3 2 3 2 2 3 4" xfId="10649" xr:uid="{38C875BD-5BCA-46BC-B56F-0E4D1D060B6B}"/>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05341B13-13A2-4BED-B7E6-0802639D87CE}"/>
    <cellStyle name="Normal 3 2 3 2 2 4 2 3" xfId="13207" xr:uid="{4D80D579-4C03-4ECA-B2E2-69D932D64B98}"/>
    <cellStyle name="Normal 3 2 3 2 2 4 3" xfId="5953" xr:uid="{00000000-0005-0000-0000-00008C110000}"/>
    <cellStyle name="Normal 3 2 3 2 2 4 3 2" xfId="15279" xr:uid="{0DA3A20A-93F2-42FD-9588-B3343D77BB19}"/>
    <cellStyle name="Normal 3 2 3 2 2 4 4" xfId="11062" xr:uid="{B11A9AB2-90A1-4BC1-A7E1-450EB7AAABDD}"/>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6644033F-340A-4BF7-8FE7-F1A237BB911C}"/>
    <cellStyle name="Normal 3 2 3 2 2 5 2 3" xfId="13620" xr:uid="{521CB14D-CA25-4A28-8900-75FB4F28402F}"/>
    <cellStyle name="Normal 3 2 3 2 2 5 3" xfId="6366" xr:uid="{00000000-0005-0000-0000-000090110000}"/>
    <cellStyle name="Normal 3 2 3 2 2 5 3 2" xfId="15692" xr:uid="{37092C27-075D-4216-85D4-71ACA2E50758}"/>
    <cellStyle name="Normal 3 2 3 2 2 5 4" xfId="11475" xr:uid="{C259EA69-CA6A-4A3B-BA68-6D69FFF5A4C9}"/>
    <cellStyle name="Normal 3 2 3 2 2 6" xfId="2496" xr:uid="{00000000-0005-0000-0000-000091110000}"/>
    <cellStyle name="Normal 3 2 3 2 2 6 2" xfId="6779" xr:uid="{00000000-0005-0000-0000-000092110000}"/>
    <cellStyle name="Normal 3 2 3 2 2 6 2 2" xfId="16105" xr:uid="{9C9C6E2E-1720-400F-B63E-5CBA347D0FF5}"/>
    <cellStyle name="Normal 3 2 3 2 2 6 3" xfId="11888" xr:uid="{BF513370-C3B4-4EE8-9F20-50B4B2A75367}"/>
    <cellStyle name="Normal 3 2 3 2 2 7" xfId="4713" xr:uid="{00000000-0005-0000-0000-000093110000}"/>
    <cellStyle name="Normal 3 2 3 2 2 7 2" xfId="14039" xr:uid="{53DB4272-78D5-4961-BF66-F628524B6885}"/>
    <cellStyle name="Normal 3 2 3 2 2 8" xfId="9127" xr:uid="{0583B12A-AAD6-4358-9C0C-42D6EBC3DFD8}"/>
    <cellStyle name="Normal 3 2 3 2 2 9" xfId="9822" xr:uid="{8B51052D-9E39-48DC-A4DE-ECF64AAF0FD1}"/>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67A7A5EA-4AA2-4ACD-A568-B4DE96068E2A}"/>
    <cellStyle name="Normal 3 2 3 2 3 2 3" xfId="12380" xr:uid="{A12C8F46-7BE6-43FD-88B9-8CB48D1C8A29}"/>
    <cellStyle name="Normal 3 2 3 2 3 3" xfId="5126" xr:uid="{00000000-0005-0000-0000-000097110000}"/>
    <cellStyle name="Normal 3 2 3 2 3 3 2" xfId="14452" xr:uid="{B7B88C6F-757B-4E0E-9403-9FA16EF8E923}"/>
    <cellStyle name="Normal 3 2 3 2 3 4" xfId="9345" xr:uid="{C34A3811-3C7F-4E99-A17A-CCF74A426C86}"/>
    <cellStyle name="Normal 3 2 3 2 3 5" xfId="10235" xr:uid="{C4F9A18B-F063-4501-81EF-206CC42F7B2A}"/>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AC95B5F5-5767-4650-A6BF-3582B37D80B2}"/>
    <cellStyle name="Normal 3 2 3 2 4 2 3" xfId="12793" xr:uid="{440950B8-3F4C-4D81-B9A1-DC0467D97084}"/>
    <cellStyle name="Normal 3 2 3 2 4 3" xfId="5539" xr:uid="{00000000-0005-0000-0000-00009B110000}"/>
    <cellStyle name="Normal 3 2 3 2 4 3 2" xfId="14865" xr:uid="{3EB3419C-529B-47C1-9F94-51080A553123}"/>
    <cellStyle name="Normal 3 2 3 2 4 4" xfId="10648" xr:uid="{BCDD3F13-3C99-4D64-B445-295F35294590}"/>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F81C23A2-2D77-4652-86DC-10B564CB0FC1}"/>
    <cellStyle name="Normal 3 2 3 2 5 2 3" xfId="13206" xr:uid="{DF73145B-A27D-4E53-8563-96F4BE1B46ED}"/>
    <cellStyle name="Normal 3 2 3 2 5 3" xfId="5952" xr:uid="{00000000-0005-0000-0000-00009F110000}"/>
    <cellStyle name="Normal 3 2 3 2 5 3 2" xfId="15278" xr:uid="{85654239-8735-49FE-A826-78AA3970C0B4}"/>
    <cellStyle name="Normal 3 2 3 2 5 4" xfId="11061" xr:uid="{AFD43C0E-6B06-4311-8F2D-F5FEF10076F2}"/>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723999E4-3FDC-41B9-82D2-1BD96D3CEAA8}"/>
    <cellStyle name="Normal 3 2 3 2 6 2 3" xfId="13619" xr:uid="{A4C2A071-EB6E-44D4-9EED-BEA2083B17CF}"/>
    <cellStyle name="Normal 3 2 3 2 6 3" xfId="6365" xr:uid="{00000000-0005-0000-0000-0000A3110000}"/>
    <cellStyle name="Normal 3 2 3 2 6 3 2" xfId="15691" xr:uid="{20F6F506-A653-4F5A-B8A2-9B84C1D7E708}"/>
    <cellStyle name="Normal 3 2 3 2 6 4" xfId="11474" xr:uid="{20CE9327-159B-40C4-9423-70A4B5441654}"/>
    <cellStyle name="Normal 3 2 3 2 7" xfId="2495" xr:uid="{00000000-0005-0000-0000-0000A4110000}"/>
    <cellStyle name="Normal 3 2 3 2 7 2" xfId="6778" xr:uid="{00000000-0005-0000-0000-0000A5110000}"/>
    <cellStyle name="Normal 3 2 3 2 7 2 2" xfId="16104" xr:uid="{8998D02B-61FB-4F07-8EF5-EF7DCDC8142A}"/>
    <cellStyle name="Normal 3 2 3 2 7 3" xfId="11887" xr:uid="{372F88CC-48B8-4BDA-B227-512DC5CA1358}"/>
    <cellStyle name="Normal 3 2 3 2 8" xfId="4712" xr:uid="{00000000-0005-0000-0000-0000A6110000}"/>
    <cellStyle name="Normal 3 2 3 2 8 2" xfId="14038" xr:uid="{D389323E-B357-474D-9853-7B38F7FD9ACC}"/>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8C715506-508D-4D1A-B17E-F5CFBB8D9AF1}"/>
    <cellStyle name="Normal 3 2 3 3 2 2 3" xfId="12382" xr:uid="{78CCBC0E-C536-4DA0-A5AB-B2BEA2393E21}"/>
    <cellStyle name="Normal 3 2 3 3 2 3" xfId="5128" xr:uid="{00000000-0005-0000-0000-0000AB110000}"/>
    <cellStyle name="Normal 3 2 3 3 2 3 2" xfId="14454" xr:uid="{45431BC3-6ADB-470E-BB82-D0695F1286A2}"/>
    <cellStyle name="Normal 3 2 3 3 2 4" xfId="9449" xr:uid="{7F58A2DC-DF16-44D1-8D09-04DD41EF4468}"/>
    <cellStyle name="Normal 3 2 3 3 2 5" xfId="10237" xr:uid="{AF7B9EC8-33A0-4C2F-9EF7-56C93286CB2C}"/>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70CEA05F-3ED3-43D5-8A54-8D3F02B39E4A}"/>
    <cellStyle name="Normal 3 2 3 3 3 2 3" xfId="12795" xr:uid="{454BD8AA-0E7F-4DB4-A15A-DD3A7747783D}"/>
    <cellStyle name="Normal 3 2 3 3 3 3" xfId="5541" xr:uid="{00000000-0005-0000-0000-0000AF110000}"/>
    <cellStyle name="Normal 3 2 3 3 3 3 2" xfId="14867" xr:uid="{EFE96D77-E8CB-4923-99D8-FF3A27FEFCDA}"/>
    <cellStyle name="Normal 3 2 3 3 3 4" xfId="10650" xr:uid="{8A42A22A-A49F-4AF3-8DF8-3AE4C5568CA8}"/>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DE243DDC-3048-4ADD-AB7B-993CC6E29EFF}"/>
    <cellStyle name="Normal 3 2 3 3 4 2 3" xfId="13208" xr:uid="{0511FEC6-F6CC-4D8F-8744-D6FE740CC1EF}"/>
    <cellStyle name="Normal 3 2 3 3 4 3" xfId="5954" xr:uid="{00000000-0005-0000-0000-0000B3110000}"/>
    <cellStyle name="Normal 3 2 3 3 4 3 2" xfId="15280" xr:uid="{CEC7B5F4-CFB2-457E-A6C0-D0A025260893}"/>
    <cellStyle name="Normal 3 2 3 3 4 4" xfId="11063" xr:uid="{D39D6D69-97EA-46F0-91BD-20EBB875E7C7}"/>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25C0E77D-09D4-424D-9036-E74FD44DE20F}"/>
    <cellStyle name="Normal 3 2 3 3 5 2 3" xfId="13621" xr:uid="{C965D7ED-1545-4342-B58F-FE5D993EA732}"/>
    <cellStyle name="Normal 3 2 3 3 5 3" xfId="6367" xr:uid="{00000000-0005-0000-0000-0000B7110000}"/>
    <cellStyle name="Normal 3 2 3 3 5 3 2" xfId="15693" xr:uid="{D5D76BAA-1EB5-44FC-98E1-F636EE04EEBB}"/>
    <cellStyle name="Normal 3 2 3 3 5 4" xfId="11476" xr:uid="{0C38330B-E5A2-4D58-AE15-951BCDB82AAE}"/>
    <cellStyle name="Normal 3 2 3 3 6" xfId="2497" xr:uid="{00000000-0005-0000-0000-0000B8110000}"/>
    <cellStyle name="Normal 3 2 3 3 6 2" xfId="6780" xr:uid="{00000000-0005-0000-0000-0000B9110000}"/>
    <cellStyle name="Normal 3 2 3 3 6 2 2" xfId="16106" xr:uid="{80B323F3-FF77-4C3A-816C-9E3E3B46926A}"/>
    <cellStyle name="Normal 3 2 3 3 6 3" xfId="11889" xr:uid="{3BA1114D-1411-42FC-B4BA-197F5E05530B}"/>
    <cellStyle name="Normal 3 2 3 3 7" xfId="4714" xr:uid="{00000000-0005-0000-0000-0000BA110000}"/>
    <cellStyle name="Normal 3 2 3 3 7 2" xfId="14040" xr:uid="{D0A2EB98-DEB1-4496-9F3A-5579A0FE83D9}"/>
    <cellStyle name="Normal 3 2 3 3 8" xfId="9024" xr:uid="{AE2F680F-18A3-47B5-ADCF-6BEAD71D50CE}"/>
    <cellStyle name="Normal 3 2 3 3 9" xfId="9823" xr:uid="{B1976EDE-9F67-425A-ADA2-1BCED4D94E92}"/>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E22420A1-5BE9-4139-B0B1-1ED988515D0D}"/>
    <cellStyle name="Normal 3 2 3 4 2 3" xfId="12379" xr:uid="{4D3B6201-E5D7-4D4E-9958-B8B0B64FCF00}"/>
    <cellStyle name="Normal 3 2 3 4 3" xfId="5125" xr:uid="{00000000-0005-0000-0000-0000BE110000}"/>
    <cellStyle name="Normal 3 2 3 4 3 2" xfId="14451" xr:uid="{8CDA2555-4CEC-4FD1-8592-5FF2062FC5FC}"/>
    <cellStyle name="Normal 3 2 3 4 4" xfId="9242" xr:uid="{05AEEDFF-7EEB-40DB-B13D-145C971A771B}"/>
    <cellStyle name="Normal 3 2 3 4 5" xfId="10234" xr:uid="{2FF928AC-30C2-4995-BAA9-7AD1F386A54E}"/>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2E80B80F-D94C-4CF0-92F9-548D17E67CA7}"/>
    <cellStyle name="Normal 3 2 3 5 2 3" xfId="12792" xr:uid="{A2500C8E-51C7-4EA4-9700-2B46EB433F2C}"/>
    <cellStyle name="Normal 3 2 3 5 3" xfId="5538" xr:uid="{00000000-0005-0000-0000-0000C2110000}"/>
    <cellStyle name="Normal 3 2 3 5 3 2" xfId="14864" xr:uid="{D1EF2B99-3A3B-4A18-90ED-898D904FAF68}"/>
    <cellStyle name="Normal 3 2 3 5 4" xfId="10647" xr:uid="{0B19DE61-5A7D-4D4C-A14B-84CD24029F04}"/>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9F4235A9-B9CF-4D04-B92B-FB241C4ADA7C}"/>
    <cellStyle name="Normal 3 2 3 6 2 3" xfId="13205" xr:uid="{EBBE24C6-E9BD-4442-B0C7-7B0BA475EFA9}"/>
    <cellStyle name="Normal 3 2 3 6 3" xfId="5951" xr:uid="{00000000-0005-0000-0000-0000C6110000}"/>
    <cellStyle name="Normal 3 2 3 6 3 2" xfId="15277" xr:uid="{9E22E699-96AF-45C7-8FD8-C3CF2B2C6635}"/>
    <cellStyle name="Normal 3 2 3 6 4" xfId="11060" xr:uid="{76B4A7D6-CC4D-4415-B5E1-EE297D30DE3A}"/>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6383A2AA-FEDE-4856-822E-3BBFFE7A5D6A}"/>
    <cellStyle name="Normal 3 2 3 7 2 3" xfId="13618" xr:uid="{E1E7C0E6-386D-4420-B975-6A8C56A7BC19}"/>
    <cellStyle name="Normal 3 2 3 7 3" xfId="6364" xr:uid="{00000000-0005-0000-0000-0000CA110000}"/>
    <cellStyle name="Normal 3 2 3 7 3 2" xfId="15690" xr:uid="{4DCA83C1-253B-4093-8813-8BD051510BD2}"/>
    <cellStyle name="Normal 3 2 3 7 4" xfId="11473" xr:uid="{B605CED7-F8EE-4DB4-BA84-CB18FDC3F533}"/>
    <cellStyle name="Normal 3 2 3 8" xfId="2494" xr:uid="{00000000-0005-0000-0000-0000CB110000}"/>
    <cellStyle name="Normal 3 2 3 8 2" xfId="6777" xr:uid="{00000000-0005-0000-0000-0000CC110000}"/>
    <cellStyle name="Normal 3 2 3 8 2 2" xfId="16103" xr:uid="{E8CBADA4-B849-4642-915E-35525CEEAEFD}"/>
    <cellStyle name="Normal 3 2 3 8 3" xfId="11886" xr:uid="{443754B0-29FA-464C-863A-BFD9A7CEFE14}"/>
    <cellStyle name="Normal 3 2 3 9" xfId="4711" xr:uid="{00000000-0005-0000-0000-0000CD110000}"/>
    <cellStyle name="Normal 3 2 3 9 2" xfId="14037" xr:uid="{B3370960-3E26-4551-9A50-8BB1204A44AB}"/>
    <cellStyle name="Normal 3 2 4" xfId="809" xr:uid="{00000000-0005-0000-0000-0000CE110000}"/>
    <cellStyle name="Normal 3 2 4 2" xfId="3047" xr:uid="{00000000-0005-0000-0000-0000CF110000}"/>
    <cellStyle name="Normal 3 2 4 2 2" xfId="7269" xr:uid="{00000000-0005-0000-0000-0000D0110000}"/>
    <cellStyle name="Normal 3 2 4 2 2 2" xfId="16595" xr:uid="{B9FDEB56-EE85-4FE5-B098-F6B8EA683F97}"/>
    <cellStyle name="Normal 3 2 4 2 3" xfId="12378" xr:uid="{10BF1666-6FA0-4432-933D-BBE03E9E694F}"/>
    <cellStyle name="Normal 3 2 4 3" xfId="5124" xr:uid="{00000000-0005-0000-0000-0000D1110000}"/>
    <cellStyle name="Normal 3 2 4 3 2" xfId="14450" xr:uid="{E73BEFD4-9D67-4DFD-91EB-23CB8DB1CD0A}"/>
    <cellStyle name="Normal 3 2 4 4" xfId="9607" xr:uid="{7D769806-7069-4B8D-8CAC-B3B91BBA8D64}"/>
    <cellStyle name="Normal 3 2 4 5" xfId="10233" xr:uid="{AD93BEE7-6AC4-4041-B89A-56B9BCE498CC}"/>
    <cellStyle name="Normal 3 2 5" xfId="1230" xr:uid="{00000000-0005-0000-0000-0000D2110000}"/>
    <cellStyle name="Normal 3 2 5 2" xfId="3460" xr:uid="{00000000-0005-0000-0000-0000D3110000}"/>
    <cellStyle name="Normal 3 2 5 2 2" xfId="7682" xr:uid="{00000000-0005-0000-0000-0000D4110000}"/>
    <cellStyle name="Normal 3 2 5 2 2 2" xfId="17008" xr:uid="{F87C72C2-8A5B-42D4-93F6-71DDAB5C185E}"/>
    <cellStyle name="Normal 3 2 5 2 3" xfId="12791" xr:uid="{7E006A3B-5DEB-4261-B1B1-59E5A15189D4}"/>
    <cellStyle name="Normal 3 2 5 3" xfId="5537" xr:uid="{00000000-0005-0000-0000-0000D5110000}"/>
    <cellStyle name="Normal 3 2 5 3 2" xfId="14863" xr:uid="{3C211DD8-6944-4841-879B-C46BBDB2D3B9}"/>
    <cellStyle name="Normal 3 2 5 4" xfId="10646" xr:uid="{C92C814C-123B-4BA9-97BE-240FC3CF0A9F}"/>
    <cellStyle name="Normal 3 2 6" xfId="1643" xr:uid="{00000000-0005-0000-0000-0000D6110000}"/>
    <cellStyle name="Normal 3 2 6 2" xfId="3873" xr:uid="{00000000-0005-0000-0000-0000D7110000}"/>
    <cellStyle name="Normal 3 2 6 2 2" xfId="8095" xr:uid="{00000000-0005-0000-0000-0000D8110000}"/>
    <cellStyle name="Normal 3 2 6 2 2 2" xfId="17421" xr:uid="{008915D2-943C-4476-B3B9-F87348F6E4EE}"/>
    <cellStyle name="Normal 3 2 6 2 3" xfId="13204" xr:uid="{9DA323CD-3B1E-48C5-8F6E-58CF6D85CFC9}"/>
    <cellStyle name="Normal 3 2 6 3" xfId="5950" xr:uid="{00000000-0005-0000-0000-0000D9110000}"/>
    <cellStyle name="Normal 3 2 6 3 2" xfId="15276" xr:uid="{7AA47EDA-AB9C-4325-A0AE-A62B7578F2DB}"/>
    <cellStyle name="Normal 3 2 6 4" xfId="11059" xr:uid="{D9B8F4BA-761D-40E2-8151-AB16FA1D4E29}"/>
    <cellStyle name="Normal 3 2 7" xfId="2057" xr:uid="{00000000-0005-0000-0000-0000DA110000}"/>
    <cellStyle name="Normal 3 2 7 2" xfId="4286" xr:uid="{00000000-0005-0000-0000-0000DB110000}"/>
    <cellStyle name="Normal 3 2 7 2 2" xfId="8508" xr:uid="{00000000-0005-0000-0000-0000DC110000}"/>
    <cellStyle name="Normal 3 2 7 2 2 2" xfId="17834" xr:uid="{BBFD38BC-54EC-44B1-B50C-DC810E4EC454}"/>
    <cellStyle name="Normal 3 2 7 2 3" xfId="13617" xr:uid="{5C7A7858-0467-4B38-A037-FA6BF1C8A27A}"/>
    <cellStyle name="Normal 3 2 7 3" xfId="6363" xr:uid="{00000000-0005-0000-0000-0000DD110000}"/>
    <cellStyle name="Normal 3 2 7 3 2" xfId="15689" xr:uid="{33B75F35-2086-406D-A2FE-7B2F5D1CFC8F}"/>
    <cellStyle name="Normal 3 2 7 4" xfId="11472" xr:uid="{6EC9D169-A588-492F-955B-7CB31E715CA4}"/>
    <cellStyle name="Normal 3 2 8" xfId="2493" xr:uid="{00000000-0005-0000-0000-0000DE110000}"/>
    <cellStyle name="Normal 3 2 8 2" xfId="6776" xr:uid="{00000000-0005-0000-0000-0000DF110000}"/>
    <cellStyle name="Normal 3 2 8 2 2" xfId="16102" xr:uid="{75658BF4-4208-4B7A-9579-911F5844B719}"/>
    <cellStyle name="Normal 3 2 8 3" xfId="11885" xr:uid="{8450FE46-A929-4AE9-A9C5-53F1FC1B240D}"/>
    <cellStyle name="Normal 3 2 9" xfId="4710" xr:uid="{00000000-0005-0000-0000-0000E0110000}"/>
    <cellStyle name="Normal 3 2 9 2" xfId="14036" xr:uid="{91155EA4-DD0E-4849-BB5A-3EF008B14BF1}"/>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1" xfId="9824" xr:uid="{8A7DD087-2D76-4021-B508-9D6A06B1659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6D93D22B-CCB4-472B-B4AA-BECB77F974DA}"/>
    <cellStyle name="Normal 4 2 2 10 2 3" xfId="13622" xr:uid="{06311847-3FE3-4280-B11D-E653C76AB7A8}"/>
    <cellStyle name="Normal 4 2 2 10 3" xfId="6368" xr:uid="{00000000-0005-0000-0000-0000ED110000}"/>
    <cellStyle name="Normal 4 2 2 10 3 2" xfId="15694" xr:uid="{CC5684D3-8A36-4128-8A58-979002A162A7}"/>
    <cellStyle name="Normal 4 2 2 10 4" xfId="11477" xr:uid="{4284C6C1-247C-489E-B261-C64B0ABF786E}"/>
    <cellStyle name="Normal 4 2 2 11" xfId="2498" xr:uid="{00000000-0005-0000-0000-0000EE110000}"/>
    <cellStyle name="Normal 4 2 2 11 2" xfId="6781" xr:uid="{00000000-0005-0000-0000-0000EF110000}"/>
    <cellStyle name="Normal 4 2 2 11 2 2" xfId="16107" xr:uid="{D99F3F22-BBE1-4CCF-B222-488DC2AD93AA}"/>
    <cellStyle name="Normal 4 2 2 11 3" xfId="11890" xr:uid="{62A3B364-560A-42D5-9EAB-2CF967B46A51}"/>
    <cellStyle name="Normal 4 2 2 12" xfId="4716" xr:uid="{00000000-0005-0000-0000-0000F0110000}"/>
    <cellStyle name="Normal 4 2 2 12 2" xfId="14042" xr:uid="{0D2D5996-4C6E-4447-A151-2C0570ECFF30}"/>
    <cellStyle name="Normal 4 2 2 13" xfId="8752" xr:uid="{7B61EFAC-4165-4615-9A47-7AF5DAE027C9}"/>
    <cellStyle name="Normal 4 2 2 14" xfId="9825" xr:uid="{896E65A7-6C8B-44F4-99BB-3CFC15DB438E}"/>
    <cellStyle name="Normal 4 2 2 2" xfId="338" xr:uid="{00000000-0005-0000-0000-0000F1110000}"/>
    <cellStyle name="Normal 4 2 2 3" xfId="339" xr:uid="{00000000-0005-0000-0000-0000F2110000}"/>
    <cellStyle name="Normal 4 2 2 3 10" xfId="4717" xr:uid="{00000000-0005-0000-0000-0000F3110000}"/>
    <cellStyle name="Normal 4 2 2 3 10 2" xfId="14043" xr:uid="{E640F919-6820-423D-9821-3D9535F4614D}"/>
    <cellStyle name="Normal 4 2 2 3 11" xfId="8784" xr:uid="{8AA3A883-811C-4C4A-AFFF-9AAED56BF228}"/>
    <cellStyle name="Normal 4 2 2 3 12" xfId="9826" xr:uid="{239A5603-14FE-44B2-AB03-5D96E0E39221}"/>
    <cellStyle name="Normal 4 2 2 3 2" xfId="340" xr:uid="{00000000-0005-0000-0000-0000F4110000}"/>
    <cellStyle name="Normal 4 2 2 3 2 10" xfId="8819" xr:uid="{16629302-3759-4242-B07E-BB5D034B10E8}"/>
    <cellStyle name="Normal 4 2 2 3 2 11" xfId="9827" xr:uid="{41D15FF9-43B9-48F0-8EA5-1B72A90ACF9E}"/>
    <cellStyle name="Normal 4 2 2 3 2 2" xfId="341" xr:uid="{00000000-0005-0000-0000-0000F5110000}"/>
    <cellStyle name="Normal 4 2 2 3 2 2 10" xfId="9828" xr:uid="{3F1DDB95-0C3C-4460-851F-DC3C2C7EDBEA}"/>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6AB1E800-A867-4698-B3C2-3721436BA546}"/>
    <cellStyle name="Normal 4 2 2 3 2 2 2 2 2 3" xfId="12387" xr:uid="{CC323569-AF70-45EB-82DE-E2624C2F8CD4}"/>
    <cellStyle name="Normal 4 2 2 3 2 2 2 2 3" xfId="5133" xr:uid="{00000000-0005-0000-0000-0000FA110000}"/>
    <cellStyle name="Normal 4 2 2 3 2 2 2 2 3 2" xfId="14459" xr:uid="{95613D4B-C1F2-4342-9F8B-3D5ED25E3ED2}"/>
    <cellStyle name="Normal 4 2 2 3 2 2 2 2 4" xfId="9554" xr:uid="{BAC669EC-8948-4716-90C3-0688F03300CE}"/>
    <cellStyle name="Normal 4 2 2 3 2 2 2 2 5" xfId="10242" xr:uid="{114596A6-6704-4BEE-B8B9-EA59B4459A9B}"/>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121BAC5A-38C1-4787-9DFD-44ACFE68BCB3}"/>
    <cellStyle name="Normal 4 2 2 3 2 2 2 3 2 3" xfId="12800" xr:uid="{FAA072A5-6A87-4DA0-A99E-29B27924B103}"/>
    <cellStyle name="Normal 4 2 2 3 2 2 2 3 3" xfId="5546" xr:uid="{00000000-0005-0000-0000-0000FE110000}"/>
    <cellStyle name="Normal 4 2 2 3 2 2 2 3 3 2" xfId="14872" xr:uid="{0C1A1DDD-6A06-4E2A-B8A9-A1FC40754EE6}"/>
    <cellStyle name="Normal 4 2 2 3 2 2 2 3 4" xfId="10655" xr:uid="{349F9060-ECCA-4DA8-81E4-75F18C409A39}"/>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F921B455-C285-4DB5-95C3-C56DF76F1DF4}"/>
    <cellStyle name="Normal 4 2 2 3 2 2 2 4 2 3" xfId="13213" xr:uid="{721E7EDE-0F15-4BF3-9AB1-E12A834A7A8A}"/>
    <cellStyle name="Normal 4 2 2 3 2 2 2 4 3" xfId="5959" xr:uid="{00000000-0005-0000-0000-000002120000}"/>
    <cellStyle name="Normal 4 2 2 3 2 2 2 4 3 2" xfId="15285" xr:uid="{ADB212CB-0175-429F-BE56-ED73CDD39EED}"/>
    <cellStyle name="Normal 4 2 2 3 2 2 2 4 4" xfId="11068" xr:uid="{62414B69-787A-4313-9464-E27AEBAE18AE}"/>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07130532-B362-4AC6-AE25-C6599820ECEE}"/>
    <cellStyle name="Normal 4 2 2 3 2 2 2 5 2 3" xfId="13626" xr:uid="{DFC8B86E-5EE9-42F9-A2DD-EAA974EFFA56}"/>
    <cellStyle name="Normal 4 2 2 3 2 2 2 5 3" xfId="6372" xr:uid="{00000000-0005-0000-0000-000006120000}"/>
    <cellStyle name="Normal 4 2 2 3 2 2 2 5 3 2" xfId="15698" xr:uid="{47281AEE-D5BC-40A0-8B31-E889F0705432}"/>
    <cellStyle name="Normal 4 2 2 3 2 2 2 5 4" xfId="11481" xr:uid="{FAC88B0C-FE4E-4514-8361-F8917113D1C7}"/>
    <cellStyle name="Normal 4 2 2 3 2 2 2 6" xfId="2502" xr:uid="{00000000-0005-0000-0000-000007120000}"/>
    <cellStyle name="Normal 4 2 2 3 2 2 2 6 2" xfId="6785" xr:uid="{00000000-0005-0000-0000-000008120000}"/>
    <cellStyle name="Normal 4 2 2 3 2 2 2 6 2 2" xfId="16111" xr:uid="{FFA4BAE9-6B26-4EFE-8D51-4C58FB5228DA}"/>
    <cellStyle name="Normal 4 2 2 3 2 2 2 6 3" xfId="11894" xr:uid="{FD9336C7-D1DD-40E8-80D6-89DAF47C1F34}"/>
    <cellStyle name="Normal 4 2 2 3 2 2 2 7" xfId="4720" xr:uid="{00000000-0005-0000-0000-000009120000}"/>
    <cellStyle name="Normal 4 2 2 3 2 2 2 7 2" xfId="14046" xr:uid="{2787037F-8B75-4340-B4A9-9137998CD8D5}"/>
    <cellStyle name="Normal 4 2 2 3 2 2 2 8" xfId="9129" xr:uid="{970F8072-C8D6-4D17-95D6-EBF431EAD262}"/>
    <cellStyle name="Normal 4 2 2 3 2 2 2 9" xfId="9829" xr:uid="{BC3DADC5-F176-46B3-8130-0FFF12136761}"/>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C576E5F8-B4C0-451C-B25C-081525CDE292}"/>
    <cellStyle name="Normal 4 2 2 3 2 2 3 2 3" xfId="12386" xr:uid="{A270D2B0-6886-4447-B85E-F18A648D7553}"/>
    <cellStyle name="Normal 4 2 2 3 2 2 3 3" xfId="5132" xr:uid="{00000000-0005-0000-0000-00000D120000}"/>
    <cellStyle name="Normal 4 2 2 3 2 2 3 3 2" xfId="14458" xr:uid="{9B77DF9B-8DE2-4C45-9142-F782B98731BB}"/>
    <cellStyle name="Normal 4 2 2 3 2 2 3 4" xfId="9347" xr:uid="{8C9012CB-19BB-4242-9F43-373358B13B52}"/>
    <cellStyle name="Normal 4 2 2 3 2 2 3 5" xfId="10241" xr:uid="{9E78C876-FB98-4BBB-AF5C-2FB5DC2F3F17}"/>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0D4FB61E-7227-4095-9C89-26A91DEF862A}"/>
    <cellStyle name="Normal 4 2 2 3 2 2 4 2 3" xfId="12799" xr:uid="{5DBEA68B-064D-47B2-821A-6F24C41B8A34}"/>
    <cellStyle name="Normal 4 2 2 3 2 2 4 3" xfId="5545" xr:uid="{00000000-0005-0000-0000-000011120000}"/>
    <cellStyle name="Normal 4 2 2 3 2 2 4 3 2" xfId="14871" xr:uid="{2D8897AE-F4B1-4E51-81B1-769D0FFB1ABF}"/>
    <cellStyle name="Normal 4 2 2 3 2 2 4 4" xfId="10654" xr:uid="{4A01F25C-0ECC-45FB-B6B8-B02F7EEB812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2412FDE9-2C4D-472B-A873-F09C652EB3A8}"/>
    <cellStyle name="Normal 4 2 2 3 2 2 5 2 3" xfId="13212" xr:uid="{04B2D64E-18F5-41C1-A6F2-D3EDE1C08D08}"/>
    <cellStyle name="Normal 4 2 2 3 2 2 5 3" xfId="5958" xr:uid="{00000000-0005-0000-0000-000015120000}"/>
    <cellStyle name="Normal 4 2 2 3 2 2 5 3 2" xfId="15284" xr:uid="{272970ED-19B9-43E4-B259-57A955A83B3F}"/>
    <cellStyle name="Normal 4 2 2 3 2 2 5 4" xfId="11067" xr:uid="{DC4E939D-2EFC-4344-99AD-4CCECCE0FFFD}"/>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3CD2C426-B58B-44F1-80F9-C695D3521E8B}"/>
    <cellStyle name="Normal 4 2 2 3 2 2 6 2 3" xfId="13625" xr:uid="{7F9AA551-003D-48DB-9B90-6A203A454B5E}"/>
    <cellStyle name="Normal 4 2 2 3 2 2 6 3" xfId="6371" xr:uid="{00000000-0005-0000-0000-000019120000}"/>
    <cellStyle name="Normal 4 2 2 3 2 2 6 3 2" xfId="15697" xr:uid="{71059AED-B505-4066-884E-1BCDB8B2F3D6}"/>
    <cellStyle name="Normal 4 2 2 3 2 2 6 4" xfId="11480" xr:uid="{67093D88-1548-4BEA-923B-D424A27AB793}"/>
    <cellStyle name="Normal 4 2 2 3 2 2 7" xfId="2501" xr:uid="{00000000-0005-0000-0000-00001A120000}"/>
    <cellStyle name="Normal 4 2 2 3 2 2 7 2" xfId="6784" xr:uid="{00000000-0005-0000-0000-00001B120000}"/>
    <cellStyle name="Normal 4 2 2 3 2 2 7 2 2" xfId="16110" xr:uid="{6066276F-DF0F-4B57-9560-8A7A37F90A42}"/>
    <cellStyle name="Normal 4 2 2 3 2 2 7 3" xfId="11893" xr:uid="{31FAB285-8DC8-4191-971C-DC246DECF1F7}"/>
    <cellStyle name="Normal 4 2 2 3 2 2 8" xfId="4719" xr:uid="{00000000-0005-0000-0000-00001C120000}"/>
    <cellStyle name="Normal 4 2 2 3 2 2 8 2" xfId="14045" xr:uid="{0F679F51-FCFE-42FA-8A9E-4E35F642A32A}"/>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264B5C70-5EFD-4CE2-AC86-717AA82D4E69}"/>
    <cellStyle name="Normal 4 2 2 3 2 3 2 2 3" xfId="12388" xr:uid="{5B517105-4704-49F3-933F-AC62B623EACC}"/>
    <cellStyle name="Normal 4 2 2 3 2 3 2 3" xfId="5134" xr:uid="{00000000-0005-0000-0000-000021120000}"/>
    <cellStyle name="Normal 4 2 2 3 2 3 2 3 2" xfId="14460" xr:uid="{29DB2C31-6D3B-47E6-A89C-6D178EC1A286}"/>
    <cellStyle name="Normal 4 2 2 3 2 3 2 4" xfId="9451" xr:uid="{85AA9164-95F1-48F2-907A-54AD445D074F}"/>
    <cellStyle name="Normal 4 2 2 3 2 3 2 5" xfId="10243" xr:uid="{A64B5F6B-46AE-40C5-9CF1-458405E5A108}"/>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CE4E6EF9-8FE4-4ED6-8132-27A8F923197C}"/>
    <cellStyle name="Normal 4 2 2 3 2 3 3 2 3" xfId="12801" xr:uid="{21090A53-876F-462F-81F1-274B2E8F9924}"/>
    <cellStyle name="Normal 4 2 2 3 2 3 3 3" xfId="5547" xr:uid="{00000000-0005-0000-0000-000025120000}"/>
    <cellStyle name="Normal 4 2 2 3 2 3 3 3 2" xfId="14873" xr:uid="{295B1EEC-4FEF-49E7-9221-409594C671E0}"/>
    <cellStyle name="Normal 4 2 2 3 2 3 3 4" xfId="10656" xr:uid="{0E3F0F14-E1E3-4635-9089-58F08FCADBBB}"/>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CA2D5F69-0238-47EB-BC9A-FAE5DDC78B4A}"/>
    <cellStyle name="Normal 4 2 2 3 2 3 4 2 3" xfId="13214" xr:uid="{9EDEB9D1-AAF1-4D19-A71B-62FDC6A9F153}"/>
    <cellStyle name="Normal 4 2 2 3 2 3 4 3" xfId="5960" xr:uid="{00000000-0005-0000-0000-000029120000}"/>
    <cellStyle name="Normal 4 2 2 3 2 3 4 3 2" xfId="15286" xr:uid="{4B7B7D3A-8AAD-404B-94FE-96878AE5F7F3}"/>
    <cellStyle name="Normal 4 2 2 3 2 3 4 4" xfId="11069" xr:uid="{6726835F-0F79-4991-8EA2-007CD10B70B5}"/>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D576AF7C-E6F0-4CA0-A082-8BB50F5FD8E4}"/>
    <cellStyle name="Normal 4 2 2 3 2 3 5 2 3" xfId="13627" xr:uid="{DCB6004D-60B3-493E-90C8-559495262275}"/>
    <cellStyle name="Normal 4 2 2 3 2 3 5 3" xfId="6373" xr:uid="{00000000-0005-0000-0000-00002D120000}"/>
    <cellStyle name="Normal 4 2 2 3 2 3 5 3 2" xfId="15699" xr:uid="{A3F1A5F0-F54B-4CCC-B6BC-9CD7823BA78C}"/>
    <cellStyle name="Normal 4 2 2 3 2 3 5 4" xfId="11482" xr:uid="{30C13BFE-607F-48C2-9406-8963D6C9D1DA}"/>
    <cellStyle name="Normal 4 2 2 3 2 3 6" xfId="2503" xr:uid="{00000000-0005-0000-0000-00002E120000}"/>
    <cellStyle name="Normal 4 2 2 3 2 3 6 2" xfId="6786" xr:uid="{00000000-0005-0000-0000-00002F120000}"/>
    <cellStyle name="Normal 4 2 2 3 2 3 6 2 2" xfId="16112" xr:uid="{9B0D8E8A-DD38-4BFA-8C45-2AC8B6CF0860}"/>
    <cellStyle name="Normal 4 2 2 3 2 3 6 3" xfId="11895" xr:uid="{C628FF29-3EB9-4D78-A452-879C89C31093}"/>
    <cellStyle name="Normal 4 2 2 3 2 3 7" xfId="4721" xr:uid="{00000000-0005-0000-0000-000030120000}"/>
    <cellStyle name="Normal 4 2 2 3 2 3 7 2" xfId="14047" xr:uid="{E8C75770-392C-421B-8AEB-50C7E25DFBD1}"/>
    <cellStyle name="Normal 4 2 2 3 2 3 8" xfId="9026" xr:uid="{319D63D3-F71C-4F99-9FD1-E3D0665567E8}"/>
    <cellStyle name="Normal 4 2 2 3 2 3 9" xfId="9830" xr:uid="{F3D9544A-D602-4E6C-89A5-6390DBCC09A7}"/>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65A79B8A-7610-4C01-99D7-FD22F8F1BC60}"/>
    <cellStyle name="Normal 4 2 2 3 2 4 2 3" xfId="12385" xr:uid="{87B827A3-47F3-466E-BB3F-D0FED2867363}"/>
    <cellStyle name="Normal 4 2 2 3 2 4 3" xfId="5131" xr:uid="{00000000-0005-0000-0000-000034120000}"/>
    <cellStyle name="Normal 4 2 2 3 2 4 3 2" xfId="14457" xr:uid="{667CD2C0-06F4-4CFC-A759-4DE472EEA1E5}"/>
    <cellStyle name="Normal 4 2 2 3 2 4 4" xfId="9244" xr:uid="{98623F27-324A-40DE-AA2B-56E1FCE087EE}"/>
    <cellStyle name="Normal 4 2 2 3 2 4 5" xfId="10240" xr:uid="{1EC5A4EC-C9D4-43C3-978A-C2279F9AEE31}"/>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466C3FF5-F9FB-4A8F-9C20-ECDFFCDB11A9}"/>
    <cellStyle name="Normal 4 2 2 3 2 5 2 3" xfId="12798" xr:uid="{35CD5D01-369C-4D1D-A1DD-379D335A6D9D}"/>
    <cellStyle name="Normal 4 2 2 3 2 5 3" xfId="5544" xr:uid="{00000000-0005-0000-0000-000038120000}"/>
    <cellStyle name="Normal 4 2 2 3 2 5 3 2" xfId="14870" xr:uid="{86C92B29-1A7E-420B-8792-FA290130804B}"/>
    <cellStyle name="Normal 4 2 2 3 2 5 4" xfId="10653" xr:uid="{40A9A60B-A77B-4DF7-93E8-59FD13E3EA55}"/>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95D70CBA-55A1-4FDF-B24E-FB0FD4C1B271}"/>
    <cellStyle name="Normal 4 2 2 3 2 6 2 3" xfId="13211" xr:uid="{9BA9FFF6-69BA-4182-8E4D-C00655BD91EA}"/>
    <cellStyle name="Normal 4 2 2 3 2 6 3" xfId="5957" xr:uid="{00000000-0005-0000-0000-00003C120000}"/>
    <cellStyle name="Normal 4 2 2 3 2 6 3 2" xfId="15283" xr:uid="{9071FE22-5F96-4B30-8906-BBD3841CB17C}"/>
    <cellStyle name="Normal 4 2 2 3 2 6 4" xfId="11066" xr:uid="{F5A8AA93-4FF7-4BA6-892E-D4221B66302C}"/>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0C996381-E9FE-40EF-B051-16A57E314120}"/>
    <cellStyle name="Normal 4 2 2 3 2 7 2 3" xfId="13624" xr:uid="{B6D7A7EA-EA58-4330-8350-94641518F497}"/>
    <cellStyle name="Normal 4 2 2 3 2 7 3" xfId="6370" xr:uid="{00000000-0005-0000-0000-000040120000}"/>
    <cellStyle name="Normal 4 2 2 3 2 7 3 2" xfId="15696" xr:uid="{C4940991-3F96-4B01-A1A9-38AA14038502}"/>
    <cellStyle name="Normal 4 2 2 3 2 7 4" xfId="11479" xr:uid="{AF3A37EB-B362-4371-AD10-792F30790F5D}"/>
    <cellStyle name="Normal 4 2 2 3 2 8" xfId="2500" xr:uid="{00000000-0005-0000-0000-000041120000}"/>
    <cellStyle name="Normal 4 2 2 3 2 8 2" xfId="6783" xr:uid="{00000000-0005-0000-0000-000042120000}"/>
    <cellStyle name="Normal 4 2 2 3 2 8 2 2" xfId="16109" xr:uid="{CB010268-D643-47A9-8CF8-01F18DDCC437}"/>
    <cellStyle name="Normal 4 2 2 3 2 8 3" xfId="11892" xr:uid="{CF568437-3B1F-496D-91ED-1900EC80BBCA}"/>
    <cellStyle name="Normal 4 2 2 3 2 9" xfId="4718" xr:uid="{00000000-0005-0000-0000-000043120000}"/>
    <cellStyle name="Normal 4 2 2 3 2 9 2" xfId="14044" xr:uid="{FB33EE2F-6672-4C87-8CDA-418C18B500E1}"/>
    <cellStyle name="Normal 4 2 2 3 3" xfId="344" xr:uid="{00000000-0005-0000-0000-000044120000}"/>
    <cellStyle name="Normal 4 2 2 3 3 10" xfId="9831" xr:uid="{5182EFAA-81CC-41C7-A6CF-469F30465B65}"/>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47ECDD05-861C-4416-AED9-A68A13BB8561}"/>
    <cellStyle name="Normal 4 2 2 3 3 2 2 2 3" xfId="12390" xr:uid="{147885CE-D62A-4023-BBDB-B65BA8158A08}"/>
    <cellStyle name="Normal 4 2 2 3 3 2 2 3" xfId="5136" xr:uid="{00000000-0005-0000-0000-000049120000}"/>
    <cellStyle name="Normal 4 2 2 3 3 2 2 3 2" xfId="14462" xr:uid="{51DC8EBE-B651-4043-A9E7-D96A66EFB28F}"/>
    <cellStyle name="Normal 4 2 2 3 3 2 2 4" xfId="9519" xr:uid="{FB4BBD6E-D73B-4ABD-8656-6C15D7932E02}"/>
    <cellStyle name="Normal 4 2 2 3 3 2 2 5" xfId="10245" xr:uid="{E3BD14E8-B662-47C3-A442-4FF6AE2A3427}"/>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CF72248F-18B6-421D-9AED-06A822993BF0}"/>
    <cellStyle name="Normal 4 2 2 3 3 2 3 2 3" xfId="12803" xr:uid="{ACC53A32-89C7-4044-AEEB-F1C29FB6E5CF}"/>
    <cellStyle name="Normal 4 2 2 3 3 2 3 3" xfId="5549" xr:uid="{00000000-0005-0000-0000-00004D120000}"/>
    <cellStyle name="Normal 4 2 2 3 3 2 3 3 2" xfId="14875" xr:uid="{419187FC-BF97-4750-A28D-2ECBEBF90456}"/>
    <cellStyle name="Normal 4 2 2 3 3 2 3 4" xfId="10658" xr:uid="{D196575D-3E4B-43A7-AF3A-5E8D65903105}"/>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D313A5A4-2949-43AB-B342-52743826AE99}"/>
    <cellStyle name="Normal 4 2 2 3 3 2 4 2 3" xfId="13216" xr:uid="{F40D6C43-32B6-45C1-8D98-3D9B042A132A}"/>
    <cellStyle name="Normal 4 2 2 3 3 2 4 3" xfId="5962" xr:uid="{00000000-0005-0000-0000-000051120000}"/>
    <cellStyle name="Normal 4 2 2 3 3 2 4 3 2" xfId="15288" xr:uid="{75869164-1BD0-4CAC-B89F-AAC63590A023}"/>
    <cellStyle name="Normal 4 2 2 3 3 2 4 4" xfId="11071" xr:uid="{8F5803C4-BCBE-44C6-B91E-3760329AB352}"/>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4B48FFB1-EFA0-479A-B2A1-2D87BEC1CAC2}"/>
    <cellStyle name="Normal 4 2 2 3 3 2 5 2 3" xfId="13629" xr:uid="{93654850-5FFA-4B5D-9D4E-F6C339ED7A88}"/>
    <cellStyle name="Normal 4 2 2 3 3 2 5 3" xfId="6375" xr:uid="{00000000-0005-0000-0000-000055120000}"/>
    <cellStyle name="Normal 4 2 2 3 3 2 5 3 2" xfId="15701" xr:uid="{EDEF587A-AB54-466F-AB33-5FE6F7DC9490}"/>
    <cellStyle name="Normal 4 2 2 3 3 2 5 4" xfId="11484" xr:uid="{81F176A9-1DC0-4C75-8A8D-2FD4E0EFB324}"/>
    <cellStyle name="Normal 4 2 2 3 3 2 6" xfId="2505" xr:uid="{00000000-0005-0000-0000-000056120000}"/>
    <cellStyle name="Normal 4 2 2 3 3 2 6 2" xfId="6788" xr:uid="{00000000-0005-0000-0000-000057120000}"/>
    <cellStyle name="Normal 4 2 2 3 3 2 6 2 2" xfId="16114" xr:uid="{3D2BC61B-47C6-48A0-9992-C1A4BF375FCA}"/>
    <cellStyle name="Normal 4 2 2 3 3 2 6 3" xfId="11897" xr:uid="{48F6337F-3231-42AA-8AD9-66745B30D5DA}"/>
    <cellStyle name="Normal 4 2 2 3 3 2 7" xfId="4723" xr:uid="{00000000-0005-0000-0000-000058120000}"/>
    <cellStyle name="Normal 4 2 2 3 3 2 7 2" xfId="14049" xr:uid="{D1903716-4843-4274-A674-5F7774D13E7A}"/>
    <cellStyle name="Normal 4 2 2 3 3 2 8" xfId="9094" xr:uid="{1333D468-E252-4686-88C1-38A56B910A8E}"/>
    <cellStyle name="Normal 4 2 2 3 3 2 9" xfId="9832" xr:uid="{6FBC1B12-DC15-42C5-9CFA-21ED605B78C7}"/>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28537E58-F9C6-4980-87C2-E7E138387F1F}"/>
    <cellStyle name="Normal 4 2 2 3 3 3 2 3" xfId="12389" xr:uid="{3A51C048-4D01-438C-BBB6-5F94726D1752}"/>
    <cellStyle name="Normal 4 2 2 3 3 3 3" xfId="5135" xr:uid="{00000000-0005-0000-0000-00005C120000}"/>
    <cellStyle name="Normal 4 2 2 3 3 3 3 2" xfId="14461" xr:uid="{C9BBC4FB-CF08-4446-A019-E683BAE1CA0A}"/>
    <cellStyle name="Normal 4 2 2 3 3 3 4" xfId="9312" xr:uid="{0065946C-778C-4913-8F8B-68BBB1A30769}"/>
    <cellStyle name="Normal 4 2 2 3 3 3 5" xfId="10244" xr:uid="{A89C1D0D-FA6B-430F-803F-259FFB166AB5}"/>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050D071C-DCE0-4EAB-B763-0F8D799125F8}"/>
    <cellStyle name="Normal 4 2 2 3 3 4 2 3" xfId="12802" xr:uid="{7A56F044-1B74-4ADA-8A3E-8E0EFBC580EA}"/>
    <cellStyle name="Normal 4 2 2 3 3 4 3" xfId="5548" xr:uid="{00000000-0005-0000-0000-000060120000}"/>
    <cellStyle name="Normal 4 2 2 3 3 4 3 2" xfId="14874" xr:uid="{547C8E93-8528-4042-B7F7-BA72E37B8DFF}"/>
    <cellStyle name="Normal 4 2 2 3 3 4 4" xfId="10657" xr:uid="{2759A24E-9538-48DB-8B07-434F0824206F}"/>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7C0EE322-5020-4B71-B88B-950D1591A612}"/>
    <cellStyle name="Normal 4 2 2 3 3 5 2 3" xfId="13215" xr:uid="{9142250B-FE58-444C-B850-1DA4B6C11623}"/>
    <cellStyle name="Normal 4 2 2 3 3 5 3" xfId="5961" xr:uid="{00000000-0005-0000-0000-000064120000}"/>
    <cellStyle name="Normal 4 2 2 3 3 5 3 2" xfId="15287" xr:uid="{DD54635F-5ADE-446F-9ACE-B10645F90D3D}"/>
    <cellStyle name="Normal 4 2 2 3 3 5 4" xfId="11070" xr:uid="{04E2AFCE-E4FE-42CF-9EAC-20C99709734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92459B89-B07E-4FEE-B5BD-36FF943CEFD6}"/>
    <cellStyle name="Normal 4 2 2 3 3 6 2 3" xfId="13628" xr:uid="{5E4E4FDE-0B9B-4EC6-BB73-D01B01F23208}"/>
    <cellStyle name="Normal 4 2 2 3 3 6 3" xfId="6374" xr:uid="{00000000-0005-0000-0000-000068120000}"/>
    <cellStyle name="Normal 4 2 2 3 3 6 3 2" xfId="15700" xr:uid="{4C13DAB5-632E-4965-ADCD-FC6D03A3BA5C}"/>
    <cellStyle name="Normal 4 2 2 3 3 6 4" xfId="11483" xr:uid="{2A7E9578-B349-4A66-AEF6-3B4492A948C8}"/>
    <cellStyle name="Normal 4 2 2 3 3 7" xfId="2504" xr:uid="{00000000-0005-0000-0000-000069120000}"/>
    <cellStyle name="Normal 4 2 2 3 3 7 2" xfId="6787" xr:uid="{00000000-0005-0000-0000-00006A120000}"/>
    <cellStyle name="Normal 4 2 2 3 3 7 2 2" xfId="16113" xr:uid="{3B5EFABC-3EE2-4BCE-AEAE-2253DF9569C5}"/>
    <cellStyle name="Normal 4 2 2 3 3 7 3" xfId="11896" xr:uid="{32921C00-1B5F-423A-9F90-DC039572A090}"/>
    <cellStyle name="Normal 4 2 2 3 3 8" xfId="4722" xr:uid="{00000000-0005-0000-0000-00006B120000}"/>
    <cellStyle name="Normal 4 2 2 3 3 8 2" xfId="14048" xr:uid="{041C6D40-83E6-4315-80DD-40AB4FEFA8C1}"/>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FC76214D-6F0A-47F6-B74E-74DB22C6FF20}"/>
    <cellStyle name="Normal 4 2 2 3 4 2 2 3" xfId="12391" xr:uid="{E801D67B-B6E2-4C90-8B5C-BF7D46161046}"/>
    <cellStyle name="Normal 4 2 2 3 4 2 3" xfId="5137" xr:uid="{00000000-0005-0000-0000-000070120000}"/>
    <cellStyle name="Normal 4 2 2 3 4 2 3 2" xfId="14463" xr:uid="{C58E57A2-5F99-419E-AE3C-ECB6D6FBFD80}"/>
    <cellStyle name="Normal 4 2 2 3 4 2 4" xfId="9416" xr:uid="{B0F1A5CD-0EDE-48A7-9669-6902681F696C}"/>
    <cellStyle name="Normal 4 2 2 3 4 2 5" xfId="10246" xr:uid="{9DDA9CB0-3750-48E9-BCB7-29A248E7B9ED}"/>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3A8B4E9A-022D-4AEA-A8B7-0C7C45D57FB0}"/>
    <cellStyle name="Normal 4 2 2 3 4 3 2 3" xfId="12804" xr:uid="{1BE75A6A-A924-497A-8C02-7D770867CF4B}"/>
    <cellStyle name="Normal 4 2 2 3 4 3 3" xfId="5550" xr:uid="{00000000-0005-0000-0000-000074120000}"/>
    <cellStyle name="Normal 4 2 2 3 4 3 3 2" xfId="14876" xr:uid="{A24ABBC7-1702-4DE3-8D00-7099EBED5B92}"/>
    <cellStyle name="Normal 4 2 2 3 4 3 4" xfId="10659" xr:uid="{3E45E96C-FD72-4AC7-9B7D-8C9A9C360AC8}"/>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AF2FD806-4BD8-40FA-8EB8-7D9A54DD467E}"/>
    <cellStyle name="Normal 4 2 2 3 4 4 2 3" xfId="13217" xr:uid="{CD9BC234-3242-407D-9D45-793C5A7F30F8}"/>
    <cellStyle name="Normal 4 2 2 3 4 4 3" xfId="5963" xr:uid="{00000000-0005-0000-0000-000078120000}"/>
    <cellStyle name="Normal 4 2 2 3 4 4 3 2" xfId="15289" xr:uid="{B8B1267F-5134-4D3C-B59E-FC8DBFC682DF}"/>
    <cellStyle name="Normal 4 2 2 3 4 4 4" xfId="11072" xr:uid="{9946AE97-25EC-451B-8EEB-89C71A11B5B1}"/>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7C73D85F-2789-4653-AC6D-6FFC719792C7}"/>
    <cellStyle name="Normal 4 2 2 3 4 5 2 3" xfId="13630" xr:uid="{74872B90-C6F1-44DF-A0FC-516512BA3924}"/>
    <cellStyle name="Normal 4 2 2 3 4 5 3" xfId="6376" xr:uid="{00000000-0005-0000-0000-00007C120000}"/>
    <cellStyle name="Normal 4 2 2 3 4 5 3 2" xfId="15702" xr:uid="{0DC5BD09-F3EC-4A2F-B9B0-E81F1882DEAF}"/>
    <cellStyle name="Normal 4 2 2 3 4 5 4" xfId="11485" xr:uid="{E690D78B-B947-42D9-9393-BCE401155A12}"/>
    <cellStyle name="Normal 4 2 2 3 4 6" xfId="2506" xr:uid="{00000000-0005-0000-0000-00007D120000}"/>
    <cellStyle name="Normal 4 2 2 3 4 6 2" xfId="6789" xr:uid="{00000000-0005-0000-0000-00007E120000}"/>
    <cellStyle name="Normal 4 2 2 3 4 6 2 2" xfId="16115" xr:uid="{8FA6199A-DE22-413D-AF40-611DF7A0127D}"/>
    <cellStyle name="Normal 4 2 2 3 4 6 3" xfId="11898" xr:uid="{BDDF8C69-A14E-4436-B4DC-9F1D1D32B63A}"/>
    <cellStyle name="Normal 4 2 2 3 4 7" xfId="4724" xr:uid="{00000000-0005-0000-0000-00007F120000}"/>
    <cellStyle name="Normal 4 2 2 3 4 7 2" xfId="14050" xr:uid="{BF109BD0-0FA4-42B4-BF1D-72C34CB22BBC}"/>
    <cellStyle name="Normal 4 2 2 3 4 8" xfId="8991" xr:uid="{84464EC3-90C2-4B18-8399-135C935528F7}"/>
    <cellStyle name="Normal 4 2 2 3 4 9" xfId="9833" xr:uid="{29AB837C-3DEC-4765-B187-D7F7265C391C}"/>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EED7258A-446B-4248-B1E5-12C49328DB14}"/>
    <cellStyle name="Normal 4 2 2 3 5 2 3" xfId="12384" xr:uid="{4E3B9E90-AE30-4A2D-99E2-A83A539A1FB8}"/>
    <cellStyle name="Normal 4 2 2 3 5 3" xfId="5130" xr:uid="{00000000-0005-0000-0000-000083120000}"/>
    <cellStyle name="Normal 4 2 2 3 5 3 2" xfId="14456" xr:uid="{CD51C0FB-A4D0-41D0-B2AB-9EDC12315990}"/>
    <cellStyle name="Normal 4 2 2 3 5 4" xfId="9208" xr:uid="{7BF9CD11-B90D-42F2-928D-A8BE344C6F46}"/>
    <cellStyle name="Normal 4 2 2 3 5 5" xfId="10239" xr:uid="{7255AB34-972E-4C7A-8863-4A7C223D080E}"/>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DA4A7808-D134-43D4-8538-BE7F908142A3}"/>
    <cellStyle name="Normal 4 2 2 3 6 2 3" xfId="12797" xr:uid="{F2A22EF8-A656-4027-A452-1DB7EA38C428}"/>
    <cellStyle name="Normal 4 2 2 3 6 3" xfId="5543" xr:uid="{00000000-0005-0000-0000-000087120000}"/>
    <cellStyle name="Normal 4 2 2 3 6 3 2" xfId="14869" xr:uid="{A4521AEF-3462-4327-9630-A2642E15579B}"/>
    <cellStyle name="Normal 4 2 2 3 6 4" xfId="10652" xr:uid="{BBD78803-31F2-4724-A66F-D8BD774F43C7}"/>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95CAEEE1-7A1E-4A9F-BF0F-938C2316A338}"/>
    <cellStyle name="Normal 4 2 2 3 7 2 3" xfId="13210" xr:uid="{8A04A5AC-9A31-4CE9-8678-971C6B7FD5E6}"/>
    <cellStyle name="Normal 4 2 2 3 7 3" xfId="5956" xr:uid="{00000000-0005-0000-0000-00008B120000}"/>
    <cellStyle name="Normal 4 2 2 3 7 3 2" xfId="15282" xr:uid="{243A09FF-644D-4F41-8AAB-4EC4453054EE}"/>
    <cellStyle name="Normal 4 2 2 3 7 4" xfId="11065" xr:uid="{9B53E80B-0485-42AF-81A9-6BDDCC348ABF}"/>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67F7717C-6AC4-4872-825E-DBD10C55286F}"/>
    <cellStyle name="Normal 4 2 2 3 8 2 3" xfId="13623" xr:uid="{5C08F08C-8469-4F6B-9178-033FF87C4B51}"/>
    <cellStyle name="Normal 4 2 2 3 8 3" xfId="6369" xr:uid="{00000000-0005-0000-0000-00008F120000}"/>
    <cellStyle name="Normal 4 2 2 3 8 3 2" xfId="15695" xr:uid="{8351620D-72B9-49AB-9A3D-33B6118019F2}"/>
    <cellStyle name="Normal 4 2 2 3 8 4" xfId="11478" xr:uid="{D4A2BF05-C3B3-45C0-915C-AEF384A61C26}"/>
    <cellStyle name="Normal 4 2 2 3 9" xfId="2499" xr:uid="{00000000-0005-0000-0000-000090120000}"/>
    <cellStyle name="Normal 4 2 2 3 9 2" xfId="6782" xr:uid="{00000000-0005-0000-0000-000091120000}"/>
    <cellStyle name="Normal 4 2 2 3 9 2 2" xfId="16108" xr:uid="{3DE90AD3-62C5-4FDB-BEC0-C357FD666289}"/>
    <cellStyle name="Normal 4 2 2 3 9 3" xfId="11891" xr:uid="{2DACCAA0-2ED4-44E4-A23E-C937386B259D}"/>
    <cellStyle name="Normal 4 2 2 4" xfId="347" xr:uid="{00000000-0005-0000-0000-000092120000}"/>
    <cellStyle name="Normal 4 2 2 4 10" xfId="8818" xr:uid="{A73977A7-52C6-4368-9F59-166E1B99BBDE}"/>
    <cellStyle name="Normal 4 2 2 4 11" xfId="9834" xr:uid="{61331B67-0DFF-4B57-8AF3-EC66B215CB00}"/>
    <cellStyle name="Normal 4 2 2 4 2" xfId="348" xr:uid="{00000000-0005-0000-0000-000093120000}"/>
    <cellStyle name="Normal 4 2 2 4 2 10" xfId="9835" xr:uid="{D9F98F4B-7C2B-4CDB-89CE-8B15A4AA0C0C}"/>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D01625B1-15DB-4E1C-8E41-C008C64D636D}"/>
    <cellStyle name="Normal 4 2 2 4 2 2 2 2 3" xfId="12394" xr:uid="{579F0C62-00CE-4A92-A327-DE36C11B0AED}"/>
    <cellStyle name="Normal 4 2 2 4 2 2 2 3" xfId="5140" xr:uid="{00000000-0005-0000-0000-000098120000}"/>
    <cellStyle name="Normal 4 2 2 4 2 2 2 3 2" xfId="14466" xr:uid="{651E6D0C-BE15-46CC-A6E5-D14BE39E938B}"/>
    <cellStyle name="Normal 4 2 2 4 2 2 2 4" xfId="9553" xr:uid="{7FCAF883-2374-4470-BA95-AD8EB054639C}"/>
    <cellStyle name="Normal 4 2 2 4 2 2 2 5" xfId="10249" xr:uid="{6C07B326-ABC8-4A92-938A-D3E4D0BDC64A}"/>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795D3EA6-CB34-44C0-9BAC-12E9BE38AE32}"/>
    <cellStyle name="Normal 4 2 2 4 2 2 3 2 3" xfId="12807" xr:uid="{AD0B8AB3-27E2-4867-8AC1-3BBDFC979021}"/>
    <cellStyle name="Normal 4 2 2 4 2 2 3 3" xfId="5553" xr:uid="{00000000-0005-0000-0000-00009C120000}"/>
    <cellStyle name="Normal 4 2 2 4 2 2 3 3 2" xfId="14879" xr:uid="{DC535378-3D4D-4E43-8279-E7372958BF0F}"/>
    <cellStyle name="Normal 4 2 2 4 2 2 3 4" xfId="10662" xr:uid="{FC9B1487-5A71-4C95-BD39-821B14BAD81F}"/>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09E2D6B4-2FB1-49E5-939F-55A0A79F6E1D}"/>
    <cellStyle name="Normal 4 2 2 4 2 2 4 2 3" xfId="13220" xr:uid="{06E6C073-9844-4020-AE56-8BF751B45DB5}"/>
    <cellStyle name="Normal 4 2 2 4 2 2 4 3" xfId="5966" xr:uid="{00000000-0005-0000-0000-0000A0120000}"/>
    <cellStyle name="Normal 4 2 2 4 2 2 4 3 2" xfId="15292" xr:uid="{66E46F08-19A3-42A7-A2C1-44EAFCD0FC83}"/>
    <cellStyle name="Normal 4 2 2 4 2 2 4 4" xfId="11075" xr:uid="{FF39F08C-3D5C-416B-968A-0156E9E1242E}"/>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57C8772F-6084-44F7-A8BD-4ADE91A5A6DA}"/>
    <cellStyle name="Normal 4 2 2 4 2 2 5 2 3" xfId="13633" xr:uid="{3BDDD201-63FF-49C3-944D-6B42B1AB1D20}"/>
    <cellStyle name="Normal 4 2 2 4 2 2 5 3" xfId="6379" xr:uid="{00000000-0005-0000-0000-0000A4120000}"/>
    <cellStyle name="Normal 4 2 2 4 2 2 5 3 2" xfId="15705" xr:uid="{14C00C58-C4CF-43A4-ACD7-D8DC786430FC}"/>
    <cellStyle name="Normal 4 2 2 4 2 2 5 4" xfId="11488" xr:uid="{53059A47-335F-4A49-81A5-BEB40746734B}"/>
    <cellStyle name="Normal 4 2 2 4 2 2 6" xfId="2509" xr:uid="{00000000-0005-0000-0000-0000A5120000}"/>
    <cellStyle name="Normal 4 2 2 4 2 2 6 2" xfId="6792" xr:uid="{00000000-0005-0000-0000-0000A6120000}"/>
    <cellStyle name="Normal 4 2 2 4 2 2 6 2 2" xfId="16118" xr:uid="{7C8CDE8F-A787-4C11-AC33-2BC83706BBD3}"/>
    <cellStyle name="Normal 4 2 2 4 2 2 6 3" xfId="11901" xr:uid="{316A95BB-550A-4271-8FAE-23FA71B6E1EB}"/>
    <cellStyle name="Normal 4 2 2 4 2 2 7" xfId="4727" xr:uid="{00000000-0005-0000-0000-0000A7120000}"/>
    <cellStyle name="Normal 4 2 2 4 2 2 7 2" xfId="14053" xr:uid="{954E1DFF-238C-4D2F-B52F-66AB5F402CC7}"/>
    <cellStyle name="Normal 4 2 2 4 2 2 8" xfId="9128" xr:uid="{3D9AD2A4-E3D1-4BAF-8F43-BFB1FE8E222D}"/>
    <cellStyle name="Normal 4 2 2 4 2 2 9" xfId="9836" xr:uid="{6D94F7E6-E53E-4F29-9550-05A33EC30308}"/>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14D22E8F-8CBC-43BB-949E-49C651476F5B}"/>
    <cellStyle name="Normal 4 2 2 4 2 3 2 3" xfId="12393" xr:uid="{F5076F3C-D66E-4DF6-B6BD-21CE24978A2B}"/>
    <cellStyle name="Normal 4 2 2 4 2 3 3" xfId="5139" xr:uid="{00000000-0005-0000-0000-0000AB120000}"/>
    <cellStyle name="Normal 4 2 2 4 2 3 3 2" xfId="14465" xr:uid="{32E3BF29-2D4D-4071-80CA-B98E37B97E83}"/>
    <cellStyle name="Normal 4 2 2 4 2 3 4" xfId="9346" xr:uid="{11110DEC-01F5-467C-B0F9-3286FF7E57CB}"/>
    <cellStyle name="Normal 4 2 2 4 2 3 5" xfId="10248" xr:uid="{4E59B614-A343-4827-A178-9A6EF5A81863}"/>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5583591C-E7CF-4390-B3CF-670EA34F12A2}"/>
    <cellStyle name="Normal 4 2 2 4 2 4 2 3" xfId="12806" xr:uid="{82A673BD-B258-4BA6-BDD6-FFC72073A8B0}"/>
    <cellStyle name="Normal 4 2 2 4 2 4 3" xfId="5552" xr:uid="{00000000-0005-0000-0000-0000AF120000}"/>
    <cellStyle name="Normal 4 2 2 4 2 4 3 2" xfId="14878" xr:uid="{4B2EE774-A23A-4271-9A54-8C0B26E9E9D2}"/>
    <cellStyle name="Normal 4 2 2 4 2 4 4" xfId="10661" xr:uid="{5D1967C5-6BB1-4A5A-84A2-D5180778479E}"/>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103149E2-523C-4E06-A778-19DD0164A100}"/>
    <cellStyle name="Normal 4 2 2 4 2 5 2 3" xfId="13219" xr:uid="{FB6C238B-6752-4C4A-96CF-79FEC87ED31F}"/>
    <cellStyle name="Normal 4 2 2 4 2 5 3" xfId="5965" xr:uid="{00000000-0005-0000-0000-0000B3120000}"/>
    <cellStyle name="Normal 4 2 2 4 2 5 3 2" xfId="15291" xr:uid="{4E3B7247-0608-4F15-9DFB-22CF1BCC494F}"/>
    <cellStyle name="Normal 4 2 2 4 2 5 4" xfId="11074" xr:uid="{95A6A9A3-32A2-45C2-9354-6451B408574F}"/>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F4178465-573A-4076-A76E-3D0323E7C61C}"/>
    <cellStyle name="Normal 4 2 2 4 2 6 2 3" xfId="13632" xr:uid="{8B8179CC-59DD-4C50-A39F-BCDE8994818F}"/>
    <cellStyle name="Normal 4 2 2 4 2 6 3" xfId="6378" xr:uid="{00000000-0005-0000-0000-0000B7120000}"/>
    <cellStyle name="Normal 4 2 2 4 2 6 3 2" xfId="15704" xr:uid="{63B8912B-5E2B-40D9-ACD5-EF1DE6B135A0}"/>
    <cellStyle name="Normal 4 2 2 4 2 6 4" xfId="11487" xr:uid="{A209779A-D3A0-40BA-930E-63EB7E360130}"/>
    <cellStyle name="Normal 4 2 2 4 2 7" xfId="2508" xr:uid="{00000000-0005-0000-0000-0000B8120000}"/>
    <cellStyle name="Normal 4 2 2 4 2 7 2" xfId="6791" xr:uid="{00000000-0005-0000-0000-0000B9120000}"/>
    <cellStyle name="Normal 4 2 2 4 2 7 2 2" xfId="16117" xr:uid="{51CB26B3-3823-49D0-B109-6F92041C5A48}"/>
    <cellStyle name="Normal 4 2 2 4 2 7 3" xfId="11900" xr:uid="{787882FD-75FD-43C6-926F-CE0E5D83E005}"/>
    <cellStyle name="Normal 4 2 2 4 2 8" xfId="4726" xr:uid="{00000000-0005-0000-0000-0000BA120000}"/>
    <cellStyle name="Normal 4 2 2 4 2 8 2" xfId="14052" xr:uid="{9668E996-9379-48A2-92AE-01B86314D61E}"/>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E0902137-1581-4A0F-9848-F0EEF901C629}"/>
    <cellStyle name="Normal 4 2 2 4 3 2 2 3" xfId="12395" xr:uid="{E38760F3-A2F0-4D9A-AC5C-32B6DF0A007F}"/>
    <cellStyle name="Normal 4 2 2 4 3 2 3" xfId="5141" xr:uid="{00000000-0005-0000-0000-0000BF120000}"/>
    <cellStyle name="Normal 4 2 2 4 3 2 3 2" xfId="14467" xr:uid="{E4EDF343-FD34-40B0-AC88-0261DCC9B676}"/>
    <cellStyle name="Normal 4 2 2 4 3 2 4" xfId="9450" xr:uid="{0F54578A-5DA3-4B6E-9E36-71CC7CD6BFE8}"/>
    <cellStyle name="Normal 4 2 2 4 3 2 5" xfId="10250" xr:uid="{225ECD5E-654A-480C-9C43-016C82C646A9}"/>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87282AA0-D759-472D-ABD5-AF061EA39836}"/>
    <cellStyle name="Normal 4 2 2 4 3 3 2 3" xfId="12808" xr:uid="{1173D9DD-1AD5-45B2-B20A-9D18D31C9FD8}"/>
    <cellStyle name="Normal 4 2 2 4 3 3 3" xfId="5554" xr:uid="{00000000-0005-0000-0000-0000C3120000}"/>
    <cellStyle name="Normal 4 2 2 4 3 3 3 2" xfId="14880" xr:uid="{FB38FC31-CB94-471F-8BF0-D1DAC8B1D6C8}"/>
    <cellStyle name="Normal 4 2 2 4 3 3 4" xfId="10663" xr:uid="{010DB055-5DF9-435E-B4AA-EC73767B3C41}"/>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5F179775-4276-4097-8FE4-340783949284}"/>
    <cellStyle name="Normal 4 2 2 4 3 4 2 3" xfId="13221" xr:uid="{0181E85D-E69F-4C66-8F12-92AF170C7C4C}"/>
    <cellStyle name="Normal 4 2 2 4 3 4 3" xfId="5967" xr:uid="{00000000-0005-0000-0000-0000C7120000}"/>
    <cellStyle name="Normal 4 2 2 4 3 4 3 2" xfId="15293" xr:uid="{09BEB0C9-7981-49A8-B686-124C33025333}"/>
    <cellStyle name="Normal 4 2 2 4 3 4 4" xfId="11076" xr:uid="{7AED1FA8-EF27-44D8-9F26-E3731B5AEBB8}"/>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96B80E12-7BAC-4C86-AF72-FB0157003B78}"/>
    <cellStyle name="Normal 4 2 2 4 3 5 2 3" xfId="13634" xr:uid="{4B83241E-2B28-4506-A99F-B1702EDAD94E}"/>
    <cellStyle name="Normal 4 2 2 4 3 5 3" xfId="6380" xr:uid="{00000000-0005-0000-0000-0000CB120000}"/>
    <cellStyle name="Normal 4 2 2 4 3 5 3 2" xfId="15706" xr:uid="{36BA1446-C884-4CB1-AF2B-46D4649E4C6D}"/>
    <cellStyle name="Normal 4 2 2 4 3 5 4" xfId="11489" xr:uid="{96A804C4-0FE7-43A3-A2F0-51C34E1E3141}"/>
    <cellStyle name="Normal 4 2 2 4 3 6" xfId="2510" xr:uid="{00000000-0005-0000-0000-0000CC120000}"/>
    <cellStyle name="Normal 4 2 2 4 3 6 2" xfId="6793" xr:uid="{00000000-0005-0000-0000-0000CD120000}"/>
    <cellStyle name="Normal 4 2 2 4 3 6 2 2" xfId="16119" xr:uid="{80EAE8DB-BD4F-4A5A-B031-31ADE10B3F4C}"/>
    <cellStyle name="Normal 4 2 2 4 3 6 3" xfId="11902" xr:uid="{2EDF2FA2-16B8-48EA-B5C9-A53E35685522}"/>
    <cellStyle name="Normal 4 2 2 4 3 7" xfId="4728" xr:uid="{00000000-0005-0000-0000-0000CE120000}"/>
    <cellStyle name="Normal 4 2 2 4 3 7 2" xfId="14054" xr:uid="{CAF3AE13-2FC5-4BC5-B5D0-03B6076BE295}"/>
    <cellStyle name="Normal 4 2 2 4 3 8" xfId="9025" xr:uid="{436CB353-A916-4AB2-B5E2-8C1BDAEA1182}"/>
    <cellStyle name="Normal 4 2 2 4 3 9" xfId="9837" xr:uid="{3AEC38CE-4C4D-4550-B37A-299EC5CA0A08}"/>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1F341896-C86E-4695-8C22-98C99EA6E931}"/>
    <cellStyle name="Normal 4 2 2 4 4 2 3" xfId="12392" xr:uid="{837760B4-D01B-426D-AFF2-ECB8A3956023}"/>
    <cellStyle name="Normal 4 2 2 4 4 3" xfId="5138" xr:uid="{00000000-0005-0000-0000-0000D2120000}"/>
    <cellStyle name="Normal 4 2 2 4 4 3 2" xfId="14464" xr:uid="{D8AF5DA9-895E-4093-A30A-FE6B7AF3F948}"/>
    <cellStyle name="Normal 4 2 2 4 4 4" xfId="9243" xr:uid="{FD46A281-F5BE-478B-950E-209D1D56FC0E}"/>
    <cellStyle name="Normal 4 2 2 4 4 5" xfId="10247" xr:uid="{06C75F85-45E2-46CB-AD97-5D2D8D4AF1C0}"/>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B59B07AC-5160-49C2-8C1E-E47612663054}"/>
    <cellStyle name="Normal 4 2 2 4 5 2 3" xfId="12805" xr:uid="{39E0300B-B275-4CD3-ACB0-E8CD64BE6471}"/>
    <cellStyle name="Normal 4 2 2 4 5 3" xfId="5551" xr:uid="{00000000-0005-0000-0000-0000D6120000}"/>
    <cellStyle name="Normal 4 2 2 4 5 3 2" xfId="14877" xr:uid="{D0A47E29-D0AA-44D7-94BA-1C8EDE4244EB}"/>
    <cellStyle name="Normal 4 2 2 4 5 4" xfId="10660" xr:uid="{EC50A884-77D3-44D6-8470-DBA58990DCD9}"/>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7D743F0D-B929-4164-9090-51C732B1C3C0}"/>
    <cellStyle name="Normal 4 2 2 4 6 2 3" xfId="13218" xr:uid="{9B2B1B23-3B3A-4996-890C-F0FE147818A3}"/>
    <cellStyle name="Normal 4 2 2 4 6 3" xfId="5964" xr:uid="{00000000-0005-0000-0000-0000DA120000}"/>
    <cellStyle name="Normal 4 2 2 4 6 3 2" xfId="15290" xr:uid="{16B482A2-DB22-475F-96D1-D951D75F8717}"/>
    <cellStyle name="Normal 4 2 2 4 6 4" xfId="11073" xr:uid="{4D8A64FE-E28E-43CF-B40F-61032E47D578}"/>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AE8D1F22-B2AF-49A3-9C61-E27DD16624EF}"/>
    <cellStyle name="Normal 4 2 2 4 7 2 3" xfId="13631" xr:uid="{C65FFC53-648F-4AA5-AF0F-F4FD0F92A50D}"/>
    <cellStyle name="Normal 4 2 2 4 7 3" xfId="6377" xr:uid="{00000000-0005-0000-0000-0000DE120000}"/>
    <cellStyle name="Normal 4 2 2 4 7 3 2" xfId="15703" xr:uid="{FA6DEA0A-8E64-4D60-968F-919D81A1DB91}"/>
    <cellStyle name="Normal 4 2 2 4 7 4" xfId="11486" xr:uid="{D4A3CB3A-160D-4FED-8DD4-AC55CBB3FF52}"/>
    <cellStyle name="Normal 4 2 2 4 8" xfId="2507" xr:uid="{00000000-0005-0000-0000-0000DF120000}"/>
    <cellStyle name="Normal 4 2 2 4 8 2" xfId="6790" xr:uid="{00000000-0005-0000-0000-0000E0120000}"/>
    <cellStyle name="Normal 4 2 2 4 8 2 2" xfId="16116" xr:uid="{C9A8BFEA-A212-4470-B37B-3E30A1E252D2}"/>
    <cellStyle name="Normal 4 2 2 4 8 3" xfId="11899" xr:uid="{140D486F-2F23-435D-8EE1-2FFD7A996404}"/>
    <cellStyle name="Normal 4 2 2 4 9" xfId="4725" xr:uid="{00000000-0005-0000-0000-0000E1120000}"/>
    <cellStyle name="Normal 4 2 2 4 9 2" xfId="14051" xr:uid="{29F76EC2-3B91-4D5F-B652-5BBDD309F396}"/>
    <cellStyle name="Normal 4 2 2 5" xfId="351" xr:uid="{00000000-0005-0000-0000-0000E2120000}"/>
    <cellStyle name="Normal 4 2 2 5 10" xfId="9838" xr:uid="{80D2BE5F-D51D-4BA2-B7F5-066612EFD476}"/>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AF886B07-32E5-41B1-8720-93A31358D7B3}"/>
    <cellStyle name="Normal 4 2 2 5 2 2 2 3" xfId="12397" xr:uid="{930D7BFC-BD00-4C90-8B79-B8FAA8C860F9}"/>
    <cellStyle name="Normal 4 2 2 5 2 2 3" xfId="5143" xr:uid="{00000000-0005-0000-0000-0000E7120000}"/>
    <cellStyle name="Normal 4 2 2 5 2 2 3 2" xfId="14469" xr:uid="{47A164BB-AD81-4E0E-9D9D-7270C27C01D3}"/>
    <cellStyle name="Normal 4 2 2 5 2 2 4" xfId="9487" xr:uid="{83D2756E-B983-4EA9-AB48-FF4D3E821CE4}"/>
    <cellStyle name="Normal 4 2 2 5 2 2 5" xfId="10252" xr:uid="{F5A2C6CD-60C4-4318-A26B-9234B5F146C6}"/>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8169178D-5B44-4196-8A19-01543903F33D}"/>
    <cellStyle name="Normal 4 2 2 5 2 3 2 3" xfId="12810" xr:uid="{0730DC7A-30AC-41A4-AB97-5DFE33458BDC}"/>
    <cellStyle name="Normal 4 2 2 5 2 3 3" xfId="5556" xr:uid="{00000000-0005-0000-0000-0000EB120000}"/>
    <cellStyle name="Normal 4 2 2 5 2 3 3 2" xfId="14882" xr:uid="{B741FE43-EA86-4291-955F-FCAFDA71485E}"/>
    <cellStyle name="Normal 4 2 2 5 2 3 4" xfId="10665" xr:uid="{8BF2BA5C-4DDC-4273-8529-A1CD2C816064}"/>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DD647996-7A8E-470B-9CB2-073512691C42}"/>
    <cellStyle name="Normal 4 2 2 5 2 4 2 3" xfId="13223" xr:uid="{B603DC27-69E5-4AA4-A7FA-53FD7EB0DC16}"/>
    <cellStyle name="Normal 4 2 2 5 2 4 3" xfId="5969" xr:uid="{00000000-0005-0000-0000-0000EF120000}"/>
    <cellStyle name="Normal 4 2 2 5 2 4 3 2" xfId="15295" xr:uid="{C6CC3D26-BA54-49D4-A479-CDF99C4506E3}"/>
    <cellStyle name="Normal 4 2 2 5 2 4 4" xfId="11078" xr:uid="{BC72023F-C4C0-4712-9FE3-4A3FCFA7D17A}"/>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70CC4AFD-B78E-4A65-99B4-A9ABEF24550A}"/>
    <cellStyle name="Normal 4 2 2 5 2 5 2 3" xfId="13636" xr:uid="{166AD38B-D8E8-493B-99A7-E880808CBAEB}"/>
    <cellStyle name="Normal 4 2 2 5 2 5 3" xfId="6382" xr:uid="{00000000-0005-0000-0000-0000F3120000}"/>
    <cellStyle name="Normal 4 2 2 5 2 5 3 2" xfId="15708" xr:uid="{F53A85F9-D0EC-49CC-8F61-FDEB8BF4DAF6}"/>
    <cellStyle name="Normal 4 2 2 5 2 5 4" xfId="11491" xr:uid="{83221A10-B005-4721-9FFE-D4EC7D6DC5FF}"/>
    <cellStyle name="Normal 4 2 2 5 2 6" xfId="2512" xr:uid="{00000000-0005-0000-0000-0000F4120000}"/>
    <cellStyle name="Normal 4 2 2 5 2 6 2" xfId="6795" xr:uid="{00000000-0005-0000-0000-0000F5120000}"/>
    <cellStyle name="Normal 4 2 2 5 2 6 2 2" xfId="16121" xr:uid="{D9A4DE6B-1B9E-4840-A215-170FB2329804}"/>
    <cellStyle name="Normal 4 2 2 5 2 6 3" xfId="11904" xr:uid="{FD004C8D-AF87-4DF9-88FB-402DBC9CAF8F}"/>
    <cellStyle name="Normal 4 2 2 5 2 7" xfId="4730" xr:uid="{00000000-0005-0000-0000-0000F6120000}"/>
    <cellStyle name="Normal 4 2 2 5 2 7 2" xfId="14056" xr:uid="{905C8124-1E8D-4DA4-8025-557B44A08640}"/>
    <cellStyle name="Normal 4 2 2 5 2 8" xfId="9062" xr:uid="{FED54422-C2E5-44B3-AA7C-C6088F47A385}"/>
    <cellStyle name="Normal 4 2 2 5 2 9" xfId="9839" xr:uid="{6A8199C8-5D10-422E-8351-8074183D4D95}"/>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C8ACCBA5-4A20-43D9-83A6-3F49234F5C0E}"/>
    <cellStyle name="Normal 4 2 2 5 3 2 3" xfId="12396" xr:uid="{F048FEA3-CEEA-40D2-9918-FDA6F108D5D2}"/>
    <cellStyle name="Normal 4 2 2 5 3 3" xfId="5142" xr:uid="{00000000-0005-0000-0000-0000FA120000}"/>
    <cellStyle name="Normal 4 2 2 5 3 3 2" xfId="14468" xr:uid="{70E22551-6B58-45CF-AC56-25538BD9669B}"/>
    <cellStyle name="Normal 4 2 2 5 3 4" xfId="9280" xr:uid="{C70B18D8-E279-4D37-82EF-3177E9FA554F}"/>
    <cellStyle name="Normal 4 2 2 5 3 5" xfId="10251" xr:uid="{4089887D-EB44-46F7-A377-D9F145AE114D}"/>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0DB2288A-AF4F-4E2B-A61A-7BAEDBB66D01}"/>
    <cellStyle name="Normal 4 2 2 5 4 2 3" xfId="12809" xr:uid="{12AF9432-8FC0-4EED-BDF5-404336A7DA16}"/>
    <cellStyle name="Normal 4 2 2 5 4 3" xfId="5555" xr:uid="{00000000-0005-0000-0000-0000FE120000}"/>
    <cellStyle name="Normal 4 2 2 5 4 3 2" xfId="14881" xr:uid="{4C5F20AF-37E4-4A80-9D8C-4E01540B16E4}"/>
    <cellStyle name="Normal 4 2 2 5 4 4" xfId="10664" xr:uid="{8B41FE57-8028-431F-8B29-4ABEAB0C9CF5}"/>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E0BB5A59-9A92-4FFB-B41B-2D3068881143}"/>
    <cellStyle name="Normal 4 2 2 5 5 2 3" xfId="13222" xr:uid="{03421950-A07A-4BB4-A507-10C39C0283DE}"/>
    <cellStyle name="Normal 4 2 2 5 5 3" xfId="5968" xr:uid="{00000000-0005-0000-0000-000002130000}"/>
    <cellStyle name="Normal 4 2 2 5 5 3 2" xfId="15294" xr:uid="{53617F00-0B24-44D4-B533-182096EB73C3}"/>
    <cellStyle name="Normal 4 2 2 5 5 4" xfId="11077" xr:uid="{D4BA7A22-82CB-4AE2-BC03-F6116ECF42C0}"/>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3969A22C-8274-49C9-84D3-4E0C8BEC7C4F}"/>
    <cellStyle name="Normal 4 2 2 5 6 2 3" xfId="13635" xr:uid="{297B178D-B988-4768-8BEB-E798F788E523}"/>
    <cellStyle name="Normal 4 2 2 5 6 3" xfId="6381" xr:uid="{00000000-0005-0000-0000-000006130000}"/>
    <cellStyle name="Normal 4 2 2 5 6 3 2" xfId="15707" xr:uid="{90755776-E798-4A16-84E6-7C6C71F3459C}"/>
    <cellStyle name="Normal 4 2 2 5 6 4" xfId="11490" xr:uid="{9773BC35-5A39-4C09-A915-E5B3E19892D6}"/>
    <cellStyle name="Normal 4 2 2 5 7" xfId="2511" xr:uid="{00000000-0005-0000-0000-000007130000}"/>
    <cellStyle name="Normal 4 2 2 5 7 2" xfId="6794" xr:uid="{00000000-0005-0000-0000-000008130000}"/>
    <cellStyle name="Normal 4 2 2 5 7 2 2" xfId="16120" xr:uid="{D70583BD-6615-4A66-B673-45C499BB79F9}"/>
    <cellStyle name="Normal 4 2 2 5 7 3" xfId="11903" xr:uid="{95871FC2-8C96-4CC1-8005-5BFDC8AF4FA1}"/>
    <cellStyle name="Normal 4 2 2 5 8" xfId="4729" xr:uid="{00000000-0005-0000-0000-000009130000}"/>
    <cellStyle name="Normal 4 2 2 5 8 2" xfId="14055" xr:uid="{E1ECABFC-3CAF-46B1-8D70-198C9A39CFA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D9296794-7C47-48A8-A218-F00ABE8B54C5}"/>
    <cellStyle name="Normal 4 2 2 6 2 2 3" xfId="12398" xr:uid="{4C8F634F-F0DC-4EBD-9D28-8DD14F66BA3D}"/>
    <cellStyle name="Normal 4 2 2 6 2 3" xfId="5144" xr:uid="{00000000-0005-0000-0000-00000E130000}"/>
    <cellStyle name="Normal 4 2 2 6 2 3 2" xfId="14470" xr:uid="{04E82600-787B-4810-A4D6-DFF006FEDE40}"/>
    <cellStyle name="Normal 4 2 2 6 2 4" xfId="9396" xr:uid="{5B10E6C6-987A-4149-BB81-321A07C7666F}"/>
    <cellStyle name="Normal 4 2 2 6 2 5" xfId="10253" xr:uid="{A74D169E-00DB-4877-AA59-8DEB7C6A8058}"/>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DA951819-C5A7-48E9-B471-84BBE30FC6E4}"/>
    <cellStyle name="Normal 4 2 2 6 3 2 3" xfId="12811" xr:uid="{51A2B84A-609B-4125-85EE-427F2507A273}"/>
    <cellStyle name="Normal 4 2 2 6 3 3" xfId="5557" xr:uid="{00000000-0005-0000-0000-000012130000}"/>
    <cellStyle name="Normal 4 2 2 6 3 3 2" xfId="14883" xr:uid="{0228E42C-BA9E-47FE-B58D-21890C6D9EF5}"/>
    <cellStyle name="Normal 4 2 2 6 3 4" xfId="10666" xr:uid="{64065038-5B3B-4B19-B4B2-2B1E1D05542B}"/>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4C4F5E82-09A8-4704-845F-0EADA4F4CF36}"/>
    <cellStyle name="Normal 4 2 2 6 4 2 3" xfId="13224" xr:uid="{9059CF74-866B-4ED2-AA18-96038A201312}"/>
    <cellStyle name="Normal 4 2 2 6 4 3" xfId="5970" xr:uid="{00000000-0005-0000-0000-000016130000}"/>
    <cellStyle name="Normal 4 2 2 6 4 3 2" xfId="15296" xr:uid="{CAC97C86-8AB8-45FD-B895-4153F042AD83}"/>
    <cellStyle name="Normal 4 2 2 6 4 4" xfId="11079" xr:uid="{F61F7674-6202-471D-91CD-0144BAFA3BC9}"/>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CA99D69D-1B36-4CDA-A8AB-DE08A6BE80E4}"/>
    <cellStyle name="Normal 4 2 2 6 5 2 3" xfId="13637" xr:uid="{7BA810FA-6531-4ECE-B2A2-1A8B6C056FCF}"/>
    <cellStyle name="Normal 4 2 2 6 5 3" xfId="6383" xr:uid="{00000000-0005-0000-0000-00001A130000}"/>
    <cellStyle name="Normal 4 2 2 6 5 3 2" xfId="15709" xr:uid="{B9DC41AA-D8AB-42A0-9912-03BA4A245442}"/>
    <cellStyle name="Normal 4 2 2 6 5 4" xfId="11492" xr:uid="{08FEF171-7910-46FE-AD4B-BB37DE0663EC}"/>
    <cellStyle name="Normal 4 2 2 6 6" xfId="2513" xr:uid="{00000000-0005-0000-0000-00001B130000}"/>
    <cellStyle name="Normal 4 2 2 6 6 2" xfId="6796" xr:uid="{00000000-0005-0000-0000-00001C130000}"/>
    <cellStyle name="Normal 4 2 2 6 6 2 2" xfId="16122" xr:uid="{1011AF83-B958-4CC2-ABBB-C77B2F95497F}"/>
    <cellStyle name="Normal 4 2 2 6 6 3" xfId="11905" xr:uid="{16FB63EC-C1DD-4435-BF03-324CF6F13F07}"/>
    <cellStyle name="Normal 4 2 2 6 7" xfId="4731" xr:uid="{00000000-0005-0000-0000-00001D130000}"/>
    <cellStyle name="Normal 4 2 2 6 7 2" xfId="14057" xr:uid="{8A590042-6CD3-44D9-A367-9444F64080B8}"/>
    <cellStyle name="Normal 4 2 2 6 8" xfId="8971" xr:uid="{7BBA3CD4-2D32-439A-A2D5-9F7EB5E5A47E}"/>
    <cellStyle name="Normal 4 2 2 6 9" xfId="9840" xr:uid="{48D5B523-16D4-49A9-8E82-6612A7323957}"/>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69A031BE-7930-4B07-96C2-55F855FF88E2}"/>
    <cellStyle name="Normal 4 2 2 7 2 3" xfId="12383" xr:uid="{C938059B-2B75-4A2F-BDD0-21D0709F2B53}"/>
    <cellStyle name="Normal 4 2 2 7 3" xfId="5129" xr:uid="{00000000-0005-0000-0000-000021130000}"/>
    <cellStyle name="Normal 4 2 2 7 3 2" xfId="14455" xr:uid="{54410FBE-C3B9-4F9E-98F3-C6257A64579E}"/>
    <cellStyle name="Normal 4 2 2 7 4" xfId="9174" xr:uid="{5FB177AF-8B2E-4B7E-A1B7-4F6E323AF880}"/>
    <cellStyle name="Normal 4 2 2 7 5" xfId="10238" xr:uid="{B1FBB6AD-E5AB-4C45-8064-20E313BA5737}"/>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95ADE681-0836-45C1-BB1A-7B2E3C29C0AF}"/>
    <cellStyle name="Normal 4 2 2 8 2 3" xfId="12796" xr:uid="{0476DFC7-447C-461D-B686-D31E98558240}"/>
    <cellStyle name="Normal 4 2 2 8 3" xfId="5542" xr:uid="{00000000-0005-0000-0000-000025130000}"/>
    <cellStyle name="Normal 4 2 2 8 3 2" xfId="14868" xr:uid="{4DA4F032-842D-4F50-88A7-0A6F84A4FE7D}"/>
    <cellStyle name="Normal 4 2 2 8 4" xfId="10651" xr:uid="{7778DE66-B9BE-41D2-824F-D9F51E7C1744}"/>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1CB533E6-7A9E-43D7-8DFB-F78BC11A3279}"/>
    <cellStyle name="Normal 4 2 2 9 2 3" xfId="13209" xr:uid="{77CCD5F5-1D82-4836-B080-0DA5279D1EA6}"/>
    <cellStyle name="Normal 4 2 2 9 3" xfId="5955" xr:uid="{00000000-0005-0000-0000-000029130000}"/>
    <cellStyle name="Normal 4 2 2 9 3 2" xfId="15281" xr:uid="{A2506A10-FF9F-4ADD-BE93-8F2E77229EC2}"/>
    <cellStyle name="Normal 4 2 2 9 4" xfId="11064" xr:uid="{EE28234C-F07F-4157-A06E-913CA2937984}"/>
    <cellStyle name="Normal 4 2 3" xfId="354" xr:uid="{00000000-0005-0000-0000-00002A130000}"/>
    <cellStyle name="Normal 4 2 4" xfId="355" xr:uid="{00000000-0005-0000-0000-00002B130000}"/>
    <cellStyle name="Normal 4 2 4 10" xfId="4732" xr:uid="{00000000-0005-0000-0000-00002C130000}"/>
    <cellStyle name="Normal 4 2 4 10 2" xfId="14058" xr:uid="{5A32AB9F-3DB7-462F-9B39-8C7EDA230E52}"/>
    <cellStyle name="Normal 4 2 4 11" xfId="8775" xr:uid="{7AC259AB-9C32-4DC1-A787-2E2187A7C2D6}"/>
    <cellStyle name="Normal 4 2 4 12" xfId="9841" xr:uid="{81EF0AEA-8DF6-4D97-B946-535378F5BE23}"/>
    <cellStyle name="Normal 4 2 4 2" xfId="356" xr:uid="{00000000-0005-0000-0000-00002D130000}"/>
    <cellStyle name="Normal 4 2 4 2 10" xfId="8820" xr:uid="{8B50D4F4-4786-467C-8322-69D665B73C2B}"/>
    <cellStyle name="Normal 4 2 4 2 11" xfId="9842" xr:uid="{6B5C332D-C504-4E69-9B0E-2986ED757F20}"/>
    <cellStyle name="Normal 4 2 4 2 2" xfId="357" xr:uid="{00000000-0005-0000-0000-00002E130000}"/>
    <cellStyle name="Normal 4 2 4 2 2 10" xfId="9843" xr:uid="{3CF1AC8A-0D78-4416-9974-EC4AC31EFAE1}"/>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74475BB9-5562-4E1F-B04A-CDA1FA3537B3}"/>
    <cellStyle name="Normal 4 2 4 2 2 2 2 2 3" xfId="12402" xr:uid="{E9AD0E87-FC34-4964-B2D7-935F4F3EEE36}"/>
    <cellStyle name="Normal 4 2 4 2 2 2 2 3" xfId="5148" xr:uid="{00000000-0005-0000-0000-000033130000}"/>
    <cellStyle name="Normal 4 2 4 2 2 2 2 3 2" xfId="14474" xr:uid="{C9D287BD-1843-4AEB-B023-5694F6C15B86}"/>
    <cellStyle name="Normal 4 2 4 2 2 2 2 4" xfId="9555" xr:uid="{31AE7BD4-4F26-4658-9939-15FCE733560E}"/>
    <cellStyle name="Normal 4 2 4 2 2 2 2 5" xfId="10257" xr:uid="{EFB9F82A-F688-4B82-BE21-8CBD78EED924}"/>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143F52A7-1409-4A20-883F-B89FB3056B55}"/>
    <cellStyle name="Normal 4 2 4 2 2 2 3 2 3" xfId="12815" xr:uid="{07FC6E0E-79BB-4592-9185-247B3B3C56A9}"/>
    <cellStyle name="Normal 4 2 4 2 2 2 3 3" xfId="5561" xr:uid="{00000000-0005-0000-0000-000037130000}"/>
    <cellStyle name="Normal 4 2 4 2 2 2 3 3 2" xfId="14887" xr:uid="{79527BE4-DB38-41FB-BE9C-9D432B41A5D0}"/>
    <cellStyle name="Normal 4 2 4 2 2 2 3 4" xfId="10670" xr:uid="{C09EA935-BB00-4373-B7A5-E6E16C03B28A}"/>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D42B0F2D-6499-424A-9772-69EDFE8CAF50}"/>
    <cellStyle name="Normal 4 2 4 2 2 2 4 2 3" xfId="13228" xr:uid="{B878A8B4-DAE7-4892-9FBA-0DC4713982CE}"/>
    <cellStyle name="Normal 4 2 4 2 2 2 4 3" xfId="5974" xr:uid="{00000000-0005-0000-0000-00003B130000}"/>
    <cellStyle name="Normal 4 2 4 2 2 2 4 3 2" xfId="15300" xr:uid="{E38831DC-70B7-40DF-B0E6-F91B4EE4B3E4}"/>
    <cellStyle name="Normal 4 2 4 2 2 2 4 4" xfId="11083" xr:uid="{72D05BE0-29A8-4922-A7A9-235E2501CAB7}"/>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D3C8E0C1-5034-4035-822D-811CD1F51E85}"/>
    <cellStyle name="Normal 4 2 4 2 2 2 5 2 3" xfId="13641" xr:uid="{5F343ECE-9733-415F-98F1-17544C660443}"/>
    <cellStyle name="Normal 4 2 4 2 2 2 5 3" xfId="6387" xr:uid="{00000000-0005-0000-0000-00003F130000}"/>
    <cellStyle name="Normal 4 2 4 2 2 2 5 3 2" xfId="15713" xr:uid="{BAB5CC04-0B86-4D01-8790-5E68F14596D0}"/>
    <cellStyle name="Normal 4 2 4 2 2 2 5 4" xfId="11496" xr:uid="{A2FD1C41-8972-4531-9F2D-C54334D3112C}"/>
    <cellStyle name="Normal 4 2 4 2 2 2 6" xfId="2517" xr:uid="{00000000-0005-0000-0000-000040130000}"/>
    <cellStyle name="Normal 4 2 4 2 2 2 6 2" xfId="6800" xr:uid="{00000000-0005-0000-0000-000041130000}"/>
    <cellStyle name="Normal 4 2 4 2 2 2 6 2 2" xfId="16126" xr:uid="{AC3A3474-DEBE-45D5-9977-845EABA92118}"/>
    <cellStyle name="Normal 4 2 4 2 2 2 6 3" xfId="11909" xr:uid="{21C8325E-CD17-4758-BF5E-A8615B8FE77D}"/>
    <cellStyle name="Normal 4 2 4 2 2 2 7" xfId="4735" xr:uid="{00000000-0005-0000-0000-000042130000}"/>
    <cellStyle name="Normal 4 2 4 2 2 2 7 2" xfId="14061" xr:uid="{AEF566A6-86B2-4EC3-8D36-C775CEB64AE9}"/>
    <cellStyle name="Normal 4 2 4 2 2 2 8" xfId="9130" xr:uid="{E4AAEB37-D6CE-4BD9-A166-BE52F754DAC4}"/>
    <cellStyle name="Normal 4 2 4 2 2 2 9" xfId="9844" xr:uid="{A15B7923-EEAC-41A4-9750-931FC2C6C69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B9E46BF5-35BD-4D4A-A9C1-6817BAD90C5F}"/>
    <cellStyle name="Normal 4 2 4 2 2 3 2 3" xfId="12401" xr:uid="{DF98DDA2-B648-40CC-967F-7B0341BF3A32}"/>
    <cellStyle name="Normal 4 2 4 2 2 3 3" xfId="5147" xr:uid="{00000000-0005-0000-0000-000046130000}"/>
    <cellStyle name="Normal 4 2 4 2 2 3 3 2" xfId="14473" xr:uid="{884502E1-0143-4EA3-8083-6E09B7D23B88}"/>
    <cellStyle name="Normal 4 2 4 2 2 3 4" xfId="9348" xr:uid="{E9E52CF6-B3CF-482F-B496-A22B0452951D}"/>
    <cellStyle name="Normal 4 2 4 2 2 3 5" xfId="10256" xr:uid="{9E6097BC-2CA8-49F0-9BD5-8A9D8D247C16}"/>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EC45FA14-98A8-4221-A008-2D7C7E833E34}"/>
    <cellStyle name="Normal 4 2 4 2 2 4 2 3" xfId="12814" xr:uid="{C05B1649-E40B-4B1F-889F-282BB2139265}"/>
    <cellStyle name="Normal 4 2 4 2 2 4 3" xfId="5560" xr:uid="{00000000-0005-0000-0000-00004A130000}"/>
    <cellStyle name="Normal 4 2 4 2 2 4 3 2" xfId="14886" xr:uid="{237EFA99-A8C1-4DF3-8B1B-A454F6A6ECEC}"/>
    <cellStyle name="Normal 4 2 4 2 2 4 4" xfId="10669" xr:uid="{69CE0974-2812-46FF-AE38-40637C19C855}"/>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EB40D89F-DAFD-4E47-BA7A-0F72FD5FCE29}"/>
    <cellStyle name="Normal 4 2 4 2 2 5 2 3" xfId="13227" xr:uid="{6C7A9779-CF7D-4FA4-B94C-10DED9979B78}"/>
    <cellStyle name="Normal 4 2 4 2 2 5 3" xfId="5973" xr:uid="{00000000-0005-0000-0000-00004E130000}"/>
    <cellStyle name="Normal 4 2 4 2 2 5 3 2" xfId="15299" xr:uid="{75DBBC46-F803-4548-A034-DC93E5A9384C}"/>
    <cellStyle name="Normal 4 2 4 2 2 5 4" xfId="11082" xr:uid="{53333502-898C-4FA9-A997-08DAC4C68573}"/>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FE929BF1-EFA2-45D3-992D-BFFF2A147715}"/>
    <cellStyle name="Normal 4 2 4 2 2 6 2 3" xfId="13640" xr:uid="{8CDE0C7A-BE95-4952-89E6-8C897CF8021F}"/>
    <cellStyle name="Normal 4 2 4 2 2 6 3" xfId="6386" xr:uid="{00000000-0005-0000-0000-000052130000}"/>
    <cellStyle name="Normal 4 2 4 2 2 6 3 2" xfId="15712" xr:uid="{EC7ABA9E-B1A4-45ED-B8E9-DFDDAC71B404}"/>
    <cellStyle name="Normal 4 2 4 2 2 6 4" xfId="11495" xr:uid="{42D466B7-ED82-4752-9B0F-5ADC9C0EB014}"/>
    <cellStyle name="Normal 4 2 4 2 2 7" xfId="2516" xr:uid="{00000000-0005-0000-0000-000053130000}"/>
    <cellStyle name="Normal 4 2 4 2 2 7 2" xfId="6799" xr:uid="{00000000-0005-0000-0000-000054130000}"/>
    <cellStyle name="Normal 4 2 4 2 2 7 2 2" xfId="16125" xr:uid="{1A9B09EB-6262-49BD-A864-DF1113A42A51}"/>
    <cellStyle name="Normal 4 2 4 2 2 7 3" xfId="11908" xr:uid="{B8DCFA4B-F2FC-43F8-ACB4-921FAC5E9665}"/>
    <cellStyle name="Normal 4 2 4 2 2 8" xfId="4734" xr:uid="{00000000-0005-0000-0000-000055130000}"/>
    <cellStyle name="Normal 4 2 4 2 2 8 2" xfId="14060" xr:uid="{E5846379-0D0C-403D-86C0-98C17820A78D}"/>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FAC2AB83-B1B9-4942-B29E-B5BC6E5E4829}"/>
    <cellStyle name="Normal 4 2 4 2 3 2 2 3" xfId="12403" xr:uid="{33F1AD5A-B9FC-48AA-A3A7-1E4532DCB48C}"/>
    <cellStyle name="Normal 4 2 4 2 3 2 3" xfId="5149" xr:uid="{00000000-0005-0000-0000-00005A130000}"/>
    <cellStyle name="Normal 4 2 4 2 3 2 3 2" xfId="14475" xr:uid="{7E172A36-B0E3-40DF-8DDF-DF7326A3A796}"/>
    <cellStyle name="Normal 4 2 4 2 3 2 4" xfId="9452" xr:uid="{58F46659-8F00-4705-8554-54AEBE9B8A77}"/>
    <cellStyle name="Normal 4 2 4 2 3 2 5" xfId="10258" xr:uid="{BC666C10-72B1-47BF-B353-28B885ACE3D6}"/>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1E032E84-229B-4B1F-B9E2-71F25409CA51}"/>
    <cellStyle name="Normal 4 2 4 2 3 3 2 3" xfId="12816" xr:uid="{83EF3F73-A81D-42EA-97A8-F7B5DE5721C4}"/>
    <cellStyle name="Normal 4 2 4 2 3 3 3" xfId="5562" xr:uid="{00000000-0005-0000-0000-00005E130000}"/>
    <cellStyle name="Normal 4 2 4 2 3 3 3 2" xfId="14888" xr:uid="{6BEAF9E7-8805-46FB-A27A-69A600418672}"/>
    <cellStyle name="Normal 4 2 4 2 3 3 4" xfId="10671" xr:uid="{C4E8E171-E3CE-43F4-9BE8-D4C26B9A15CB}"/>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EE09C56F-D221-46DF-B9F4-CB7959B4B0FC}"/>
    <cellStyle name="Normal 4 2 4 2 3 4 2 3" xfId="13229" xr:uid="{7E0A6F2E-97AA-4B76-9E66-EC0D2DF320D4}"/>
    <cellStyle name="Normal 4 2 4 2 3 4 3" xfId="5975" xr:uid="{00000000-0005-0000-0000-000062130000}"/>
    <cellStyle name="Normal 4 2 4 2 3 4 3 2" xfId="15301" xr:uid="{8436860C-2BEF-45EB-8357-D9023BC04F42}"/>
    <cellStyle name="Normal 4 2 4 2 3 4 4" xfId="11084" xr:uid="{43D886A7-486B-41B0-84E9-D47FA8DA179F}"/>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A155E35D-4793-4C86-B2A8-7009640EFD02}"/>
    <cellStyle name="Normal 4 2 4 2 3 5 2 3" xfId="13642" xr:uid="{0E80E30D-FF38-4C15-B5EB-C434222F28F1}"/>
    <cellStyle name="Normal 4 2 4 2 3 5 3" xfId="6388" xr:uid="{00000000-0005-0000-0000-000066130000}"/>
    <cellStyle name="Normal 4 2 4 2 3 5 3 2" xfId="15714" xr:uid="{457D7399-AF44-4898-B1EF-20E023188822}"/>
    <cellStyle name="Normal 4 2 4 2 3 5 4" xfId="11497" xr:uid="{B321846A-B112-403F-B6F9-AB0BAC1EBB45}"/>
    <cellStyle name="Normal 4 2 4 2 3 6" xfId="2518" xr:uid="{00000000-0005-0000-0000-000067130000}"/>
    <cellStyle name="Normal 4 2 4 2 3 6 2" xfId="6801" xr:uid="{00000000-0005-0000-0000-000068130000}"/>
    <cellStyle name="Normal 4 2 4 2 3 6 2 2" xfId="16127" xr:uid="{F048BA73-13A9-4891-99D0-BF7A2FC53282}"/>
    <cellStyle name="Normal 4 2 4 2 3 6 3" xfId="11910" xr:uid="{4794CBA0-E798-4F0A-9F54-0F65FC9ABA29}"/>
    <cellStyle name="Normal 4 2 4 2 3 7" xfId="4736" xr:uid="{00000000-0005-0000-0000-000069130000}"/>
    <cellStyle name="Normal 4 2 4 2 3 7 2" xfId="14062" xr:uid="{9966E1B2-5AF4-40E2-B437-290D21FC8B3C}"/>
    <cellStyle name="Normal 4 2 4 2 3 8" xfId="9027" xr:uid="{DA430019-E492-48BB-ACD5-5BE853C50FBC}"/>
    <cellStyle name="Normal 4 2 4 2 3 9" xfId="9845" xr:uid="{C1C7F75C-8662-4186-9B88-9C1F54C50666}"/>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5E46CBDF-FF2C-47C9-BD0B-38DA4DB737B6}"/>
    <cellStyle name="Normal 4 2 4 2 4 2 3" xfId="12400" xr:uid="{952A0C4F-9493-4ECC-87DF-2066BFB80239}"/>
    <cellStyle name="Normal 4 2 4 2 4 3" xfId="5146" xr:uid="{00000000-0005-0000-0000-00006D130000}"/>
    <cellStyle name="Normal 4 2 4 2 4 3 2" xfId="14472" xr:uid="{ED92B4E9-EA88-4965-B62B-205B5C39118A}"/>
    <cellStyle name="Normal 4 2 4 2 4 4" xfId="9245" xr:uid="{A0383DD8-843E-4601-922A-5CDD979D0589}"/>
    <cellStyle name="Normal 4 2 4 2 4 5" xfId="10255" xr:uid="{043AF5DE-6D8A-4EF1-841B-A9F043BA225E}"/>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4CD242A7-DFFB-434E-B630-EF40F42C1362}"/>
    <cellStyle name="Normal 4 2 4 2 5 2 3" xfId="12813" xr:uid="{BAB23D57-931C-41B8-8A4B-CBC6CC6E3800}"/>
    <cellStyle name="Normal 4 2 4 2 5 3" xfId="5559" xr:uid="{00000000-0005-0000-0000-000071130000}"/>
    <cellStyle name="Normal 4 2 4 2 5 3 2" xfId="14885" xr:uid="{21EFDC4F-A335-4BB2-A094-1E7405A6FFF8}"/>
    <cellStyle name="Normal 4 2 4 2 5 4" xfId="10668" xr:uid="{544A2112-C84F-4EBA-B1A2-A0F28BF9C379}"/>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5A93BC7B-440A-4631-ADCB-0501A9D4F272}"/>
    <cellStyle name="Normal 4 2 4 2 6 2 3" xfId="13226" xr:uid="{54D1301E-FAE4-4E2A-A5A1-38F957368F0B}"/>
    <cellStyle name="Normal 4 2 4 2 6 3" xfId="5972" xr:uid="{00000000-0005-0000-0000-000075130000}"/>
    <cellStyle name="Normal 4 2 4 2 6 3 2" xfId="15298" xr:uid="{D32F58BF-20EE-4341-9DE7-DA9A03BC116A}"/>
    <cellStyle name="Normal 4 2 4 2 6 4" xfId="11081" xr:uid="{6C2F209E-31D8-437B-8FC2-35F6466547E6}"/>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55F1E20B-F290-4797-99E3-831C0FD6BF51}"/>
    <cellStyle name="Normal 4 2 4 2 7 2 3" xfId="13639" xr:uid="{FED715D4-F469-466C-8952-2BB348925344}"/>
    <cellStyle name="Normal 4 2 4 2 7 3" xfId="6385" xr:uid="{00000000-0005-0000-0000-000079130000}"/>
    <cellStyle name="Normal 4 2 4 2 7 3 2" xfId="15711" xr:uid="{8AA2951B-8F9C-4138-AB28-37689FCA76AE}"/>
    <cellStyle name="Normal 4 2 4 2 7 4" xfId="11494" xr:uid="{142D1ACB-8B94-453D-9FE6-D2B4F9385DC8}"/>
    <cellStyle name="Normal 4 2 4 2 8" xfId="2515" xr:uid="{00000000-0005-0000-0000-00007A130000}"/>
    <cellStyle name="Normal 4 2 4 2 8 2" xfId="6798" xr:uid="{00000000-0005-0000-0000-00007B130000}"/>
    <cellStyle name="Normal 4 2 4 2 8 2 2" xfId="16124" xr:uid="{90785AF5-524B-4A03-A8B2-0096693D62C7}"/>
    <cellStyle name="Normal 4 2 4 2 8 3" xfId="11907" xr:uid="{4A9F4AE4-E6DE-4565-9F77-4CAB0837130F}"/>
    <cellStyle name="Normal 4 2 4 2 9" xfId="4733" xr:uid="{00000000-0005-0000-0000-00007C130000}"/>
    <cellStyle name="Normal 4 2 4 2 9 2" xfId="14059" xr:uid="{891BD2ED-ED8F-4566-95E5-ADED95D5F929}"/>
    <cellStyle name="Normal 4 2 4 3" xfId="360" xr:uid="{00000000-0005-0000-0000-00007D130000}"/>
    <cellStyle name="Normal 4 2 4 3 10" xfId="9846" xr:uid="{7767F330-140E-4178-9FBA-187DBA9EAC71}"/>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293F5E45-41BD-42CC-A965-4AA23CC14C75}"/>
    <cellStyle name="Normal 4 2 4 3 2 2 2 3" xfId="12405" xr:uid="{89A9C58E-D53B-41DA-8A9F-7F69235BD7E1}"/>
    <cellStyle name="Normal 4 2 4 3 2 2 3" xfId="5151" xr:uid="{00000000-0005-0000-0000-000082130000}"/>
    <cellStyle name="Normal 4 2 4 3 2 2 3 2" xfId="14477" xr:uid="{2903F784-D86C-41BF-9CB0-B9158E046A1B}"/>
    <cellStyle name="Normal 4 2 4 3 2 2 4" xfId="9510" xr:uid="{AA534F18-B7F5-44D9-AE7D-03E6DE45E4F9}"/>
    <cellStyle name="Normal 4 2 4 3 2 2 5" xfId="10260" xr:uid="{5461000D-8BB3-4B9B-8F3F-E7B738B77D75}"/>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4382F374-46E6-4930-A23B-3EDFFDF6C911}"/>
    <cellStyle name="Normal 4 2 4 3 2 3 2 3" xfId="12818" xr:uid="{F97B6EB1-5E2F-45F4-9CA1-E9A4261833D0}"/>
    <cellStyle name="Normal 4 2 4 3 2 3 3" xfId="5564" xr:uid="{00000000-0005-0000-0000-000086130000}"/>
    <cellStyle name="Normal 4 2 4 3 2 3 3 2" xfId="14890" xr:uid="{28C4B8F5-00A9-4E57-91B1-F91A9D2FEBC4}"/>
    <cellStyle name="Normal 4 2 4 3 2 3 4" xfId="10673" xr:uid="{914BE6DF-4EA2-4741-80B9-C1959DB2FAE4}"/>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A3365C22-A4A2-4CD2-A82F-655B5EA9674A}"/>
    <cellStyle name="Normal 4 2 4 3 2 4 2 3" xfId="13231" xr:uid="{0264F7B8-8A9B-4E23-A06D-4182C38ABAA4}"/>
    <cellStyle name="Normal 4 2 4 3 2 4 3" xfId="5977" xr:uid="{00000000-0005-0000-0000-00008A130000}"/>
    <cellStyle name="Normal 4 2 4 3 2 4 3 2" xfId="15303" xr:uid="{FA68FA6C-1A1F-49F4-B0EB-873C419FA262}"/>
    <cellStyle name="Normal 4 2 4 3 2 4 4" xfId="11086" xr:uid="{77DD8379-AC62-421D-9F5F-ED2503679ADF}"/>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2AC50920-1E6B-4197-88EB-839735ECFEBC}"/>
    <cellStyle name="Normal 4 2 4 3 2 5 2 3" xfId="13644" xr:uid="{17CED42A-4D0B-4D63-A0EF-D62D0C2A17AC}"/>
    <cellStyle name="Normal 4 2 4 3 2 5 3" xfId="6390" xr:uid="{00000000-0005-0000-0000-00008E130000}"/>
    <cellStyle name="Normal 4 2 4 3 2 5 3 2" xfId="15716" xr:uid="{C4DB8A36-58C5-4002-B7D7-3908AF5CC21F}"/>
    <cellStyle name="Normal 4 2 4 3 2 5 4" xfId="11499" xr:uid="{A42073ED-FC3E-49D4-B503-5BBEE9A0B63D}"/>
    <cellStyle name="Normal 4 2 4 3 2 6" xfId="2520" xr:uid="{00000000-0005-0000-0000-00008F130000}"/>
    <cellStyle name="Normal 4 2 4 3 2 6 2" xfId="6803" xr:uid="{00000000-0005-0000-0000-000090130000}"/>
    <cellStyle name="Normal 4 2 4 3 2 6 2 2" xfId="16129" xr:uid="{57C038D4-F4B9-4016-92D9-67139D7671D6}"/>
    <cellStyle name="Normal 4 2 4 3 2 6 3" xfId="11912" xr:uid="{F421D600-FF42-4AC9-81F5-AEF7AB93EAE8}"/>
    <cellStyle name="Normal 4 2 4 3 2 7" xfId="4738" xr:uid="{00000000-0005-0000-0000-000091130000}"/>
    <cellStyle name="Normal 4 2 4 3 2 7 2" xfId="14064" xr:uid="{1E8F7DAB-EC67-4C9A-AB6C-E21F2163BFB7}"/>
    <cellStyle name="Normal 4 2 4 3 2 8" xfId="9085" xr:uid="{0181E53C-86DC-4588-8447-D559FCF01541}"/>
    <cellStyle name="Normal 4 2 4 3 2 9" xfId="9847" xr:uid="{B238C4AC-EFF0-4DF3-AB7B-18E037B3FEC7}"/>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3FCE1A65-AC97-4EA2-A5C7-B4AE1CBCB156}"/>
    <cellStyle name="Normal 4 2 4 3 3 2 3" xfId="12404" xr:uid="{87473511-5AC3-4E96-BD49-51A473A236F2}"/>
    <cellStyle name="Normal 4 2 4 3 3 3" xfId="5150" xr:uid="{00000000-0005-0000-0000-000095130000}"/>
    <cellStyle name="Normal 4 2 4 3 3 3 2" xfId="14476" xr:uid="{FB71EE21-6AEF-4AAF-BCE3-114AACB16E73}"/>
    <cellStyle name="Normal 4 2 4 3 3 4" xfId="9303" xr:uid="{51CE977A-E9B9-47DD-B6CE-3ECF34A578F1}"/>
    <cellStyle name="Normal 4 2 4 3 3 5" xfId="10259" xr:uid="{DCE3B0E9-7892-45EA-AD70-65BD948B2FB7}"/>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559BAD02-3361-4883-A73A-F57C2819999D}"/>
    <cellStyle name="Normal 4 2 4 3 4 2 3" xfId="12817" xr:uid="{9A102835-6354-47BE-949F-79C7011D1511}"/>
    <cellStyle name="Normal 4 2 4 3 4 3" xfId="5563" xr:uid="{00000000-0005-0000-0000-000099130000}"/>
    <cellStyle name="Normal 4 2 4 3 4 3 2" xfId="14889" xr:uid="{206731D9-4455-4911-954D-43A20708B0BA}"/>
    <cellStyle name="Normal 4 2 4 3 4 4" xfId="10672" xr:uid="{2EBB19A8-67CC-4D13-920E-61734A51EBA7}"/>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98F57368-396C-4463-B396-2799BC3CA297}"/>
    <cellStyle name="Normal 4 2 4 3 5 2 3" xfId="13230" xr:uid="{2104EE78-4D4B-407C-966B-28D2960F36C6}"/>
    <cellStyle name="Normal 4 2 4 3 5 3" xfId="5976" xr:uid="{00000000-0005-0000-0000-00009D130000}"/>
    <cellStyle name="Normal 4 2 4 3 5 3 2" xfId="15302" xr:uid="{0703D973-41A8-4242-8EE9-4870F6C2C2EF}"/>
    <cellStyle name="Normal 4 2 4 3 5 4" xfId="11085" xr:uid="{25CD9E39-CC6D-4ECC-97AC-EE1F93D1CC7F}"/>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18BCF3E7-DE74-4B6B-8ABC-2569DB7755C5}"/>
    <cellStyle name="Normal 4 2 4 3 6 2 3" xfId="13643" xr:uid="{41D0F67E-1C60-429C-94B9-1AAD8F3332B0}"/>
    <cellStyle name="Normal 4 2 4 3 6 3" xfId="6389" xr:uid="{00000000-0005-0000-0000-0000A1130000}"/>
    <cellStyle name="Normal 4 2 4 3 6 3 2" xfId="15715" xr:uid="{72521076-6598-4747-8B89-D5136BEC8D81}"/>
    <cellStyle name="Normal 4 2 4 3 6 4" xfId="11498" xr:uid="{B8B9AE56-1B84-473E-B198-8A3B26462CD1}"/>
    <cellStyle name="Normal 4 2 4 3 7" xfId="2519" xr:uid="{00000000-0005-0000-0000-0000A2130000}"/>
    <cellStyle name="Normal 4 2 4 3 7 2" xfId="6802" xr:uid="{00000000-0005-0000-0000-0000A3130000}"/>
    <cellStyle name="Normal 4 2 4 3 7 2 2" xfId="16128" xr:uid="{17E1ED22-A149-4958-9A3A-E378B251B8E6}"/>
    <cellStyle name="Normal 4 2 4 3 7 3" xfId="11911" xr:uid="{364865FC-C8CD-46BD-AD26-11238076F136}"/>
    <cellStyle name="Normal 4 2 4 3 8" xfId="4737" xr:uid="{00000000-0005-0000-0000-0000A4130000}"/>
    <cellStyle name="Normal 4 2 4 3 8 2" xfId="14063" xr:uid="{E5345110-156E-42F1-8E8E-56833FDDDC96}"/>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C88375AC-60A3-45C4-95D0-8FD947490744}"/>
    <cellStyle name="Normal 4 2 4 4 2 2 3" xfId="12406" xr:uid="{AD2CF67C-CE7D-44AA-AD8C-34264D92DE94}"/>
    <cellStyle name="Normal 4 2 4 4 2 3" xfId="5152" xr:uid="{00000000-0005-0000-0000-0000A9130000}"/>
    <cellStyle name="Normal 4 2 4 4 2 3 2" xfId="14478" xr:uid="{920F1143-62F1-47FC-87A9-D001CA84D3F8}"/>
    <cellStyle name="Normal 4 2 4 4 2 4" xfId="9407" xr:uid="{5D8D6A7A-388E-41EC-80E9-28307FA015D6}"/>
    <cellStyle name="Normal 4 2 4 4 2 5" xfId="10261" xr:uid="{FD5647C9-F217-4310-97F9-74CDB3710055}"/>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782D82B8-C264-4FDC-A81C-AD4F6C11D7F9}"/>
    <cellStyle name="Normal 4 2 4 4 3 2 3" xfId="12819" xr:uid="{B820D499-64D2-4BF8-8FC8-EFC994C8ACB2}"/>
    <cellStyle name="Normal 4 2 4 4 3 3" xfId="5565" xr:uid="{00000000-0005-0000-0000-0000AD130000}"/>
    <cellStyle name="Normal 4 2 4 4 3 3 2" xfId="14891" xr:uid="{070C9EED-DFAE-469A-8C15-F39EB2F47D02}"/>
    <cellStyle name="Normal 4 2 4 4 3 4" xfId="10674" xr:uid="{15301A83-8118-4220-9289-6D0466D3583F}"/>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DAF9E251-D606-4C6D-9121-58FFB7FD1A79}"/>
    <cellStyle name="Normal 4 2 4 4 4 2 3" xfId="13232" xr:uid="{D8DF0068-4007-434A-8446-F52D17C78686}"/>
    <cellStyle name="Normal 4 2 4 4 4 3" xfId="5978" xr:uid="{00000000-0005-0000-0000-0000B1130000}"/>
    <cellStyle name="Normal 4 2 4 4 4 3 2" xfId="15304" xr:uid="{789FAB0A-F3D5-4F67-8CC6-6B55BD13FA44}"/>
    <cellStyle name="Normal 4 2 4 4 4 4" xfId="11087" xr:uid="{5ABBEBD3-4967-4CDF-AAEB-9A881A203855}"/>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97CF0128-79BF-4C7B-9305-1E7E7D757691}"/>
    <cellStyle name="Normal 4 2 4 4 5 2 3" xfId="13645" xr:uid="{37478C65-5B63-4572-9F77-6BBBFFF2C915}"/>
    <cellStyle name="Normal 4 2 4 4 5 3" xfId="6391" xr:uid="{00000000-0005-0000-0000-0000B5130000}"/>
    <cellStyle name="Normal 4 2 4 4 5 3 2" xfId="15717" xr:uid="{64DE5CF4-18CF-4733-91E6-20B5A2530FE5}"/>
    <cellStyle name="Normal 4 2 4 4 5 4" xfId="11500" xr:uid="{48A04536-DF72-4923-AEDB-8B0578F68D03}"/>
    <cellStyle name="Normal 4 2 4 4 6" xfId="2521" xr:uid="{00000000-0005-0000-0000-0000B6130000}"/>
    <cellStyle name="Normal 4 2 4 4 6 2" xfId="6804" xr:uid="{00000000-0005-0000-0000-0000B7130000}"/>
    <cellStyle name="Normal 4 2 4 4 6 2 2" xfId="16130" xr:uid="{30F8B076-BE9F-43EC-944D-A919F3D0A0F3}"/>
    <cellStyle name="Normal 4 2 4 4 6 3" xfId="11913" xr:uid="{259974FA-6B9C-4F9A-A552-2CA34820CED7}"/>
    <cellStyle name="Normal 4 2 4 4 7" xfId="4739" xr:uid="{00000000-0005-0000-0000-0000B8130000}"/>
    <cellStyle name="Normal 4 2 4 4 7 2" xfId="14065" xr:uid="{25C3FED1-2282-4FF5-BBF6-59A04BE0373C}"/>
    <cellStyle name="Normal 4 2 4 4 8" xfId="8982" xr:uid="{4C273C9B-E12E-4EF2-812F-666600229207}"/>
    <cellStyle name="Normal 4 2 4 4 9" xfId="9848" xr:uid="{B2420E2C-E76C-4F15-B0A4-4039C39F3524}"/>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5421F8D1-047E-417C-8540-9A3BA27A4D5C}"/>
    <cellStyle name="Normal 4 2 4 5 2 3" xfId="12399" xr:uid="{250A44D9-8225-4DD9-BABC-E913EDBC4499}"/>
    <cellStyle name="Normal 4 2 4 5 3" xfId="5145" xr:uid="{00000000-0005-0000-0000-0000BC130000}"/>
    <cellStyle name="Normal 4 2 4 5 3 2" xfId="14471" xr:uid="{6F410474-19E4-4A4C-8F5C-08DC089CBC8E}"/>
    <cellStyle name="Normal 4 2 4 5 4" xfId="9199" xr:uid="{1A9A2DC3-2FEA-4A30-A92C-84708E9B2741}"/>
    <cellStyle name="Normal 4 2 4 5 5" xfId="10254" xr:uid="{3AF000DE-FECC-4389-903A-5C0B50B3CC60}"/>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7D73637E-8427-471D-9F96-5350F36A4A74}"/>
    <cellStyle name="Normal 4 2 4 6 2 3" xfId="12812" xr:uid="{6EB2E751-BC37-4681-9BC4-2DA6F032A165}"/>
    <cellStyle name="Normal 4 2 4 6 3" xfId="5558" xr:uid="{00000000-0005-0000-0000-0000C0130000}"/>
    <cellStyle name="Normal 4 2 4 6 3 2" xfId="14884" xr:uid="{F5011F7D-212F-4AAD-8DC9-E047B270C5DA}"/>
    <cellStyle name="Normal 4 2 4 6 4" xfId="10667" xr:uid="{67B0BF29-01CA-4E17-95F3-5413B81B7E7B}"/>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8896BD6A-8F5F-4906-B6BB-CAE5AEFF67B4}"/>
    <cellStyle name="Normal 4 2 4 7 2 3" xfId="13225" xr:uid="{E9ADFF0B-B11E-47A6-9C13-B81A0FC7C22E}"/>
    <cellStyle name="Normal 4 2 4 7 3" xfId="5971" xr:uid="{00000000-0005-0000-0000-0000C4130000}"/>
    <cellStyle name="Normal 4 2 4 7 3 2" xfId="15297" xr:uid="{F2151164-3CA9-4DAA-80BD-178C2EF5F35B}"/>
    <cellStyle name="Normal 4 2 4 7 4" xfId="11080" xr:uid="{B97C949B-10EE-4F70-82E4-C70C2D89567E}"/>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772C8D08-DC9C-4666-94D8-B771B39B2875}"/>
    <cellStyle name="Normal 4 2 4 8 2 3" xfId="13638" xr:uid="{7C2E3BB4-664C-47D6-9FEC-A554D10ADB62}"/>
    <cellStyle name="Normal 4 2 4 8 3" xfId="6384" xr:uid="{00000000-0005-0000-0000-0000C8130000}"/>
    <cellStyle name="Normal 4 2 4 8 3 2" xfId="15710" xr:uid="{080C01AA-E47E-47B5-A3D5-ED8E1ADC573A}"/>
    <cellStyle name="Normal 4 2 4 8 4" xfId="11493" xr:uid="{440DA9DD-AB5A-43B8-BB88-FC31075D163D}"/>
    <cellStyle name="Normal 4 2 4 9" xfId="2514" xr:uid="{00000000-0005-0000-0000-0000C9130000}"/>
    <cellStyle name="Normal 4 2 4 9 2" xfId="6797" xr:uid="{00000000-0005-0000-0000-0000CA130000}"/>
    <cellStyle name="Normal 4 2 4 9 2 2" xfId="16123" xr:uid="{EAF2AA64-3A39-4FD5-84E7-8F54E1BE2A75}"/>
    <cellStyle name="Normal 4 2 4 9 3" xfId="11906" xr:uid="{7CE8D790-C292-4FA9-AB01-667C5DC639B0}"/>
    <cellStyle name="Normal 4 2 5" xfId="363" xr:uid="{00000000-0005-0000-0000-0000CB130000}"/>
    <cellStyle name="Normal 4 2 5 10" xfId="9849" xr:uid="{2164AC4F-6AED-403C-BBAF-D31AE902C80B}"/>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29DA1160-241B-480A-B93F-DF8F2D6D551C}"/>
    <cellStyle name="Normal 4 2 5 2 2 2 3" xfId="12408" xr:uid="{43910D7F-B63A-41AD-9B77-2DC80A84E92F}"/>
    <cellStyle name="Normal 4 2 5 2 2 3" xfId="5154" xr:uid="{00000000-0005-0000-0000-0000D0130000}"/>
    <cellStyle name="Normal 4 2 5 2 2 3 2" xfId="14480" xr:uid="{4702D6CE-94AB-45CB-A05C-56A473C165DF}"/>
    <cellStyle name="Normal 4 2 5 2 2 4" xfId="9478" xr:uid="{9FEAEEC2-067D-4244-BB0F-0858128140EB}"/>
    <cellStyle name="Normal 4 2 5 2 2 5" xfId="10263" xr:uid="{F4A2D869-3B62-450A-A837-ACEE0D1A16E7}"/>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CEC06E07-7788-4A4B-9A84-A813172BCD44}"/>
    <cellStyle name="Normal 4 2 5 2 3 2 3" xfId="12821" xr:uid="{8B570F84-B822-4D68-A727-07DED7785F31}"/>
    <cellStyle name="Normal 4 2 5 2 3 3" xfId="5567" xr:uid="{00000000-0005-0000-0000-0000D4130000}"/>
    <cellStyle name="Normal 4 2 5 2 3 3 2" xfId="14893" xr:uid="{EC2074F8-0DDE-4DF4-B1EB-C02352E70F9B}"/>
    <cellStyle name="Normal 4 2 5 2 3 4" xfId="10676" xr:uid="{200FD8B6-ABE4-40AE-95A7-5B045ECC35A5}"/>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4E10258C-8EA2-488F-A351-2AAB56F52B59}"/>
    <cellStyle name="Normal 4 2 5 2 4 2 3" xfId="13234" xr:uid="{EAD4B470-2803-4BD3-91A4-302412C51CA9}"/>
    <cellStyle name="Normal 4 2 5 2 4 3" xfId="5980" xr:uid="{00000000-0005-0000-0000-0000D8130000}"/>
    <cellStyle name="Normal 4 2 5 2 4 3 2" xfId="15306" xr:uid="{57039003-7EB4-4D7A-AA1B-0E93CBA7B4AA}"/>
    <cellStyle name="Normal 4 2 5 2 4 4" xfId="11089" xr:uid="{9328C987-F06B-4191-9472-4C1E54C76990}"/>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5A0CE2B6-0B5B-4E4D-8875-955945D5D2E1}"/>
    <cellStyle name="Normal 4 2 5 2 5 2 3" xfId="13647" xr:uid="{8DF09DE4-24A8-4C4A-9F26-6D8EA7F037B1}"/>
    <cellStyle name="Normal 4 2 5 2 5 3" xfId="6393" xr:uid="{00000000-0005-0000-0000-0000DC130000}"/>
    <cellStyle name="Normal 4 2 5 2 5 3 2" xfId="15719" xr:uid="{DFB999B5-2C70-4DE5-A153-D1E0A29F1C9D}"/>
    <cellStyle name="Normal 4 2 5 2 5 4" xfId="11502" xr:uid="{B5F214D4-EC04-47A7-95CB-E6133C800B58}"/>
    <cellStyle name="Normal 4 2 5 2 6" xfId="2523" xr:uid="{00000000-0005-0000-0000-0000DD130000}"/>
    <cellStyle name="Normal 4 2 5 2 6 2" xfId="6806" xr:uid="{00000000-0005-0000-0000-0000DE130000}"/>
    <cellStyle name="Normal 4 2 5 2 6 2 2" xfId="16132" xr:uid="{6D504E0A-331C-4509-A21A-186F76B13642}"/>
    <cellStyle name="Normal 4 2 5 2 6 3" xfId="11915" xr:uid="{1A1C3D88-01D0-4E6C-B752-C891B4C1D7BD}"/>
    <cellStyle name="Normal 4 2 5 2 7" xfId="4741" xr:uid="{00000000-0005-0000-0000-0000DF130000}"/>
    <cellStyle name="Normal 4 2 5 2 7 2" xfId="14067" xr:uid="{03BB7B2F-69D6-432D-9E93-41C8FA1585E1}"/>
    <cellStyle name="Normal 4 2 5 2 8" xfId="9053" xr:uid="{0AE18A98-D9E6-47B9-86B0-DDAD3BC77B48}"/>
    <cellStyle name="Normal 4 2 5 2 9" xfId="9850" xr:uid="{7259EE5B-64CD-4ABC-9D77-87FD06D851E1}"/>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6A934E7E-8A92-4102-BF6D-DC742C2AAD33}"/>
    <cellStyle name="Normal 4 2 5 3 2 3" xfId="12407" xr:uid="{204FA3B8-59E7-49C8-8CEB-211F914D1D28}"/>
    <cellStyle name="Normal 4 2 5 3 3" xfId="5153" xr:uid="{00000000-0005-0000-0000-0000E3130000}"/>
    <cellStyle name="Normal 4 2 5 3 3 2" xfId="14479" xr:uid="{91238FB5-B24D-411A-B7C0-F90FBC3C2823}"/>
    <cellStyle name="Normal 4 2 5 3 4" xfId="9271" xr:uid="{41AE7BB1-E3C7-48BD-B24F-55AE39E68BB6}"/>
    <cellStyle name="Normal 4 2 5 3 5" xfId="10262" xr:uid="{8DEA6F55-C997-4701-A171-687CAC2C7418}"/>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57912E79-59DA-42B4-9AF0-48AA9AB65016}"/>
    <cellStyle name="Normal 4 2 5 4 2 3" xfId="12820" xr:uid="{02C0ED03-0CEF-4FBC-9B78-DA8EBD74C5DD}"/>
    <cellStyle name="Normal 4 2 5 4 3" xfId="5566" xr:uid="{00000000-0005-0000-0000-0000E7130000}"/>
    <cellStyle name="Normal 4 2 5 4 3 2" xfId="14892" xr:uid="{7D4A4F5A-E974-4371-802D-9DDD03AB9A24}"/>
    <cellStyle name="Normal 4 2 5 4 4" xfId="10675" xr:uid="{06E834ED-4841-4E79-9D4B-34E84F473B3C}"/>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4613B0CE-A545-45CA-BFE9-E14902BD4FB4}"/>
    <cellStyle name="Normal 4 2 5 5 2 3" xfId="13233" xr:uid="{3A888503-A856-49B3-B8BB-0767F117EEEE}"/>
    <cellStyle name="Normal 4 2 5 5 3" xfId="5979" xr:uid="{00000000-0005-0000-0000-0000EB130000}"/>
    <cellStyle name="Normal 4 2 5 5 3 2" xfId="15305" xr:uid="{47EF655D-9E5F-4F4A-BD3A-0BB7171DD77D}"/>
    <cellStyle name="Normal 4 2 5 5 4" xfId="11088" xr:uid="{3D5787C1-EC5C-4323-AF3A-2E3C253B9593}"/>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119C527D-852D-4370-AC43-E94DA7833A5B}"/>
    <cellStyle name="Normal 4 2 5 6 2 3" xfId="13646" xr:uid="{DFC3099D-22A7-4DC9-8456-7AD45A668AC1}"/>
    <cellStyle name="Normal 4 2 5 6 3" xfId="6392" xr:uid="{00000000-0005-0000-0000-0000EF130000}"/>
    <cellStyle name="Normal 4 2 5 6 3 2" xfId="15718" xr:uid="{02B3A4E3-638B-46EA-8048-0873B6462862}"/>
    <cellStyle name="Normal 4 2 5 6 4" xfId="11501" xr:uid="{D8E06558-5823-4C88-9C4E-03CA62D1ACF4}"/>
    <cellStyle name="Normal 4 2 5 7" xfId="2522" xr:uid="{00000000-0005-0000-0000-0000F0130000}"/>
    <cellStyle name="Normal 4 2 5 7 2" xfId="6805" xr:uid="{00000000-0005-0000-0000-0000F1130000}"/>
    <cellStyle name="Normal 4 2 5 7 2 2" xfId="16131" xr:uid="{EEE0E322-AA67-41EA-8A47-F1B9D576A322}"/>
    <cellStyle name="Normal 4 2 5 7 3" xfId="11914" xr:uid="{4718F5D9-9FB8-4FD3-8E33-59A7FCAEC425}"/>
    <cellStyle name="Normal 4 2 5 8" xfId="4740" xr:uid="{00000000-0005-0000-0000-0000F2130000}"/>
    <cellStyle name="Normal 4 2 5 8 2" xfId="14066" xr:uid="{DAEBE699-544E-4C14-A413-17E24453E365}"/>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4BB731AC-3B23-4CFD-8DFC-31D8E17B321C}"/>
    <cellStyle name="Normal 4 2 6 2 2 3" xfId="12409" xr:uid="{2D8BB011-1F1B-414D-9C7A-7BBCEA8B5926}"/>
    <cellStyle name="Normal 4 2 6 2 3" xfId="5155" xr:uid="{00000000-0005-0000-0000-0000F7130000}"/>
    <cellStyle name="Normal 4 2 6 2 3 2" xfId="14481" xr:uid="{C93645D5-D9F4-4E79-A154-4F7E17786846}"/>
    <cellStyle name="Normal 4 2 6 2 4" xfId="9387" xr:uid="{933EA8C7-37F7-4AF2-922A-47A5CB1A47BC}"/>
    <cellStyle name="Normal 4 2 6 2 5" xfId="10264" xr:uid="{1C87CDC3-EC84-4C1F-AA10-AF27A7F3D5CF}"/>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26CBA2A1-E138-4E28-B4D3-7856D47B1839}"/>
    <cellStyle name="Normal 4 2 6 3 2 3" xfId="12822" xr:uid="{2C3EFE53-EBEE-4440-8E72-25EEE13ACB48}"/>
    <cellStyle name="Normal 4 2 6 3 3" xfId="5568" xr:uid="{00000000-0005-0000-0000-0000FB130000}"/>
    <cellStyle name="Normal 4 2 6 3 3 2" xfId="14894" xr:uid="{E663A692-6F30-450C-92BE-B7B26AAD3327}"/>
    <cellStyle name="Normal 4 2 6 3 4" xfId="10677" xr:uid="{72E60700-9A9C-4608-A92D-2C2DC05D2F2B}"/>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1AB22AC1-A45C-4E89-9ABA-AB22BEAA35A7}"/>
    <cellStyle name="Normal 4 2 6 4 2 3" xfId="13235" xr:uid="{D0C4720F-5DA5-4D20-93E6-86A3D4344EA7}"/>
    <cellStyle name="Normal 4 2 6 4 3" xfId="5981" xr:uid="{00000000-0005-0000-0000-0000FF130000}"/>
    <cellStyle name="Normal 4 2 6 4 3 2" xfId="15307" xr:uid="{6F9E39BE-B3DC-4B9E-89F7-E66BAD3B07CF}"/>
    <cellStyle name="Normal 4 2 6 4 4" xfId="11090" xr:uid="{9B33100C-971E-4F7A-B2C0-2A4240273DED}"/>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F2EC0937-37EF-4712-81B2-D415C7C242B6}"/>
    <cellStyle name="Normal 4 2 6 5 2 3" xfId="13648" xr:uid="{3A40B793-9C38-4BA2-9496-6917BD421E40}"/>
    <cellStyle name="Normal 4 2 6 5 3" xfId="6394" xr:uid="{00000000-0005-0000-0000-000003140000}"/>
    <cellStyle name="Normal 4 2 6 5 3 2" xfId="15720" xr:uid="{4298AFBC-D025-4FD0-B4F6-BB3E86E6DC2E}"/>
    <cellStyle name="Normal 4 2 6 5 4" xfId="11503" xr:uid="{EF06A6AB-84D3-4BCC-9236-7A6F701D9E28}"/>
    <cellStyle name="Normal 4 2 6 6" xfId="2524" xr:uid="{00000000-0005-0000-0000-000004140000}"/>
    <cellStyle name="Normal 4 2 6 6 2" xfId="6807" xr:uid="{00000000-0005-0000-0000-000005140000}"/>
    <cellStyle name="Normal 4 2 6 6 2 2" xfId="16133" xr:uid="{3301A772-D6A7-48D2-84FE-0F8455D4367D}"/>
    <cellStyle name="Normal 4 2 6 6 3" xfId="11916" xr:uid="{6DABD67F-D419-4402-B7DE-0382BDC7AEAF}"/>
    <cellStyle name="Normal 4 2 6 7" xfId="4742" xr:uid="{00000000-0005-0000-0000-000006140000}"/>
    <cellStyle name="Normal 4 2 6 7 2" xfId="14068" xr:uid="{7133DD32-C91B-49C4-8600-848D0293296B}"/>
    <cellStyle name="Normal 4 2 6 8" xfId="8962" xr:uid="{1A1596D6-3914-4465-A638-E540359059D2}"/>
    <cellStyle name="Normal 4 2 6 9" xfId="9851" xr:uid="{92F4354E-096F-4A04-A8E7-BEA479FC9B6C}"/>
    <cellStyle name="Normal 4 2 7" xfId="9165" xr:uid="{6363F967-7399-442D-B2CE-00085FF7F1E8}"/>
    <cellStyle name="Normal 4 2 8" xfId="8743" xr:uid="{E2B8331F-47F9-4829-99C7-E05840A106B9}"/>
    <cellStyle name="Normal 4 3" xfId="366" xr:uid="{00000000-0005-0000-0000-000007140000}"/>
    <cellStyle name="Normal 4 3 10" xfId="9852" xr:uid="{888C70E3-3DF1-4084-8198-4804A2A8D603}"/>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1" xfId="9853" xr:uid="{7B44B201-E163-4CBC-8956-0D9013D2EE32}"/>
    <cellStyle name="Normal 4 3 2 2 2 2" xfId="370" xr:uid="{00000000-0005-0000-0000-00000B140000}"/>
    <cellStyle name="Normal 4 3 2 2 2 2 10" xfId="9854" xr:uid="{D00E72E9-C644-4489-8C21-DE659E5A766C}"/>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34FC6BFD-707D-433E-A5EC-3753B711BE84}"/>
    <cellStyle name="Normal 4 3 2 2 2 2 2 2 2 3" xfId="12413" xr:uid="{CC0358DF-0B3A-4BDB-BE89-F4D36B4A179A}"/>
    <cellStyle name="Normal 4 3 2 2 2 2 2 2 3" xfId="5159" xr:uid="{00000000-0005-0000-0000-000010140000}"/>
    <cellStyle name="Normal 4 3 2 2 2 2 2 2 3 2" xfId="14485" xr:uid="{43E25C31-15C6-407D-A0C7-D6EEAF5E509B}"/>
    <cellStyle name="Normal 4 3 2 2 2 2 2 2 4" xfId="9557" xr:uid="{4F6BDD99-7BF1-4D2F-9EDC-4F75F1942DB4}"/>
    <cellStyle name="Normal 4 3 2 2 2 2 2 2 5" xfId="10268" xr:uid="{2592A55B-2346-46EE-8D0B-C69FD9FF808C}"/>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AEB40A22-BDC8-4C4F-953B-6F00D5E96320}"/>
    <cellStyle name="Normal 4 3 2 2 2 2 2 3 2 3" xfId="12826" xr:uid="{C84E6900-E8EA-4422-BC6C-78EAFFEF8645}"/>
    <cellStyle name="Normal 4 3 2 2 2 2 2 3 3" xfId="5572" xr:uid="{00000000-0005-0000-0000-000014140000}"/>
    <cellStyle name="Normal 4 3 2 2 2 2 2 3 3 2" xfId="14898" xr:uid="{B94ED5F6-C952-451B-9E85-3B31E7E0CCC0}"/>
    <cellStyle name="Normal 4 3 2 2 2 2 2 3 4" xfId="10681" xr:uid="{3C77EFDB-FD4F-466A-AD73-098A01036ADE}"/>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B84231B5-F82F-446E-96DE-B4AA8240B5A3}"/>
    <cellStyle name="Normal 4 3 2 2 2 2 2 4 2 3" xfId="13239" xr:uid="{E3193365-7A2B-4FDA-9C5C-01CCB1DDA6D5}"/>
    <cellStyle name="Normal 4 3 2 2 2 2 2 4 3" xfId="5985" xr:uid="{00000000-0005-0000-0000-000018140000}"/>
    <cellStyle name="Normal 4 3 2 2 2 2 2 4 3 2" xfId="15311" xr:uid="{CA495E39-1C56-4BA5-BB33-9EFA101D6CEA}"/>
    <cellStyle name="Normal 4 3 2 2 2 2 2 4 4" xfId="11094" xr:uid="{1FBE3D9A-A8B5-4800-BF0B-24E5C1E37547}"/>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F6967506-534C-406A-93FB-462C3AD6357D}"/>
    <cellStyle name="Normal 4 3 2 2 2 2 2 5 2 3" xfId="13652" xr:uid="{2287AAEC-16B0-4901-886F-8A169B7F4647}"/>
    <cellStyle name="Normal 4 3 2 2 2 2 2 5 3" xfId="6398" xr:uid="{00000000-0005-0000-0000-00001C140000}"/>
    <cellStyle name="Normal 4 3 2 2 2 2 2 5 3 2" xfId="15724" xr:uid="{82DF4894-A1B0-4C94-A6EF-5B1DD806A44F}"/>
    <cellStyle name="Normal 4 3 2 2 2 2 2 5 4" xfId="11507" xr:uid="{51E27592-636D-493B-8A52-59959F2291CA}"/>
    <cellStyle name="Normal 4 3 2 2 2 2 2 6" xfId="2528" xr:uid="{00000000-0005-0000-0000-00001D140000}"/>
    <cellStyle name="Normal 4 3 2 2 2 2 2 6 2" xfId="6811" xr:uid="{00000000-0005-0000-0000-00001E140000}"/>
    <cellStyle name="Normal 4 3 2 2 2 2 2 6 2 2" xfId="16137" xr:uid="{798E8D8E-1ACE-4C93-B2CC-AFD4E00D9C5C}"/>
    <cellStyle name="Normal 4 3 2 2 2 2 2 6 3" xfId="11920" xr:uid="{5ADD2DEF-4FB5-4181-A4CE-3A0C84D5458D}"/>
    <cellStyle name="Normal 4 3 2 2 2 2 2 7" xfId="4746" xr:uid="{00000000-0005-0000-0000-00001F140000}"/>
    <cellStyle name="Normal 4 3 2 2 2 2 2 7 2" xfId="14072" xr:uid="{D9F631DB-68C7-4A22-AD9B-0FF69D4387F5}"/>
    <cellStyle name="Normal 4 3 2 2 2 2 2 8" xfId="9132" xr:uid="{14F6ED12-EABF-4C82-AD59-55D351026913}"/>
    <cellStyle name="Normal 4 3 2 2 2 2 2 9" xfId="9855" xr:uid="{CD05B1F1-0980-45A0-AD9A-CA228EEBB7DB}"/>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8DB2A392-486F-4E3D-A563-A2CC6D48E195}"/>
    <cellStyle name="Normal 4 3 2 2 2 2 3 2 3" xfId="12412" xr:uid="{9FFA6804-882B-4099-B56D-A38F368F35EF}"/>
    <cellStyle name="Normal 4 3 2 2 2 2 3 3" xfId="5158" xr:uid="{00000000-0005-0000-0000-000023140000}"/>
    <cellStyle name="Normal 4 3 2 2 2 2 3 3 2" xfId="14484" xr:uid="{BE6D9CE8-695D-4F00-9297-0E8CDA85CB92}"/>
    <cellStyle name="Normal 4 3 2 2 2 2 3 4" xfId="9350" xr:uid="{DFFEAFB7-A284-4FD9-B115-C19DA011CCC7}"/>
    <cellStyle name="Normal 4 3 2 2 2 2 3 5" xfId="10267" xr:uid="{96890421-9A95-4B68-BBF3-C4D136E7CFCF}"/>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050F1803-99E9-428D-9AC1-7EBCC15D7078}"/>
    <cellStyle name="Normal 4 3 2 2 2 2 4 2 3" xfId="12825" xr:uid="{B8ACA88B-D62D-47E4-ADF4-5055F895D32C}"/>
    <cellStyle name="Normal 4 3 2 2 2 2 4 3" xfId="5571" xr:uid="{00000000-0005-0000-0000-000027140000}"/>
    <cellStyle name="Normal 4 3 2 2 2 2 4 3 2" xfId="14897" xr:uid="{A391F1FF-ED44-4CFF-960D-C8C75B82796C}"/>
    <cellStyle name="Normal 4 3 2 2 2 2 4 4" xfId="10680" xr:uid="{B0D30D73-C3E2-4385-9E8C-A096162E3C2E}"/>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E3CA9139-25EC-4D9A-8877-34595B0368EF}"/>
    <cellStyle name="Normal 4 3 2 2 2 2 5 2 3" xfId="13238" xr:uid="{97635310-ED3E-4BDA-AE5F-5DCD291E2CA9}"/>
    <cellStyle name="Normal 4 3 2 2 2 2 5 3" xfId="5984" xr:uid="{00000000-0005-0000-0000-00002B140000}"/>
    <cellStyle name="Normal 4 3 2 2 2 2 5 3 2" xfId="15310" xr:uid="{0C364702-5638-42FE-AE70-E0AEDDB2F41C}"/>
    <cellStyle name="Normal 4 3 2 2 2 2 5 4" xfId="11093" xr:uid="{5E55B5F0-5F50-4F78-898C-E0AC62D8F5C8}"/>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33964040-2557-4ECB-980B-E86281CFFFD3}"/>
    <cellStyle name="Normal 4 3 2 2 2 2 6 2 3" xfId="13651" xr:uid="{A6FFBB92-B154-430F-9594-C626DB464C3E}"/>
    <cellStyle name="Normal 4 3 2 2 2 2 6 3" xfId="6397" xr:uid="{00000000-0005-0000-0000-00002F140000}"/>
    <cellStyle name="Normal 4 3 2 2 2 2 6 3 2" xfId="15723" xr:uid="{76526979-306D-4FCB-8823-BDE338A31E02}"/>
    <cellStyle name="Normal 4 3 2 2 2 2 6 4" xfId="11506" xr:uid="{C40C7B3D-6B65-45DE-8BBF-5FEF66B4F379}"/>
    <cellStyle name="Normal 4 3 2 2 2 2 7" xfId="2527" xr:uid="{00000000-0005-0000-0000-000030140000}"/>
    <cellStyle name="Normal 4 3 2 2 2 2 7 2" xfId="6810" xr:uid="{00000000-0005-0000-0000-000031140000}"/>
    <cellStyle name="Normal 4 3 2 2 2 2 7 2 2" xfId="16136" xr:uid="{4E51D093-5AA0-4664-9FE5-29976009F8C8}"/>
    <cellStyle name="Normal 4 3 2 2 2 2 7 3" xfId="11919" xr:uid="{0130387B-D40C-4DB3-B9DC-519467296083}"/>
    <cellStyle name="Normal 4 3 2 2 2 2 8" xfId="4745" xr:uid="{00000000-0005-0000-0000-000032140000}"/>
    <cellStyle name="Normal 4 3 2 2 2 2 8 2" xfId="14071" xr:uid="{FE87C099-5FEF-4E63-AC32-6039CDCEF1E5}"/>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D29EFA97-62DC-46BF-8D46-40CCAAC5B02E}"/>
    <cellStyle name="Normal 4 3 2 2 2 3 2 2 3" xfId="12414" xr:uid="{A670A169-04D4-436B-9604-AFE52478C2E9}"/>
    <cellStyle name="Normal 4 3 2 2 2 3 2 3" xfId="5160" xr:uid="{00000000-0005-0000-0000-000037140000}"/>
    <cellStyle name="Normal 4 3 2 2 2 3 2 3 2" xfId="14486" xr:uid="{9FAF306C-8EB3-41C9-8986-7159D79217D3}"/>
    <cellStyle name="Normal 4 3 2 2 2 3 2 4" xfId="9454" xr:uid="{B81F5EAA-7D8E-43B5-94D7-313E66088BA5}"/>
    <cellStyle name="Normal 4 3 2 2 2 3 2 5" xfId="10269" xr:uid="{596860D5-5D14-4940-8685-E034689B8F8B}"/>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A0D90D50-EDD5-493D-9A16-DF1FF8F4DA5D}"/>
    <cellStyle name="Normal 4 3 2 2 2 3 3 2 3" xfId="12827" xr:uid="{19939A63-2553-4C50-9F65-79BE28079F71}"/>
    <cellStyle name="Normal 4 3 2 2 2 3 3 3" xfId="5573" xr:uid="{00000000-0005-0000-0000-00003B140000}"/>
    <cellStyle name="Normal 4 3 2 2 2 3 3 3 2" xfId="14899" xr:uid="{68331A97-D5CA-43EE-BB4B-9BB07179CE25}"/>
    <cellStyle name="Normal 4 3 2 2 2 3 3 4" xfId="10682" xr:uid="{202072A0-5DEF-43C8-854A-C5119B71F661}"/>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A7FE197E-8B02-4BE7-A0CC-B4195C309AEC}"/>
    <cellStyle name="Normal 4 3 2 2 2 3 4 2 3" xfId="13240" xr:uid="{2EE4D666-BF15-4366-8EDF-A159704E4180}"/>
    <cellStyle name="Normal 4 3 2 2 2 3 4 3" xfId="5986" xr:uid="{00000000-0005-0000-0000-00003F140000}"/>
    <cellStyle name="Normal 4 3 2 2 2 3 4 3 2" xfId="15312" xr:uid="{2610DDC4-25E4-447C-8D06-745A5A5B72B6}"/>
    <cellStyle name="Normal 4 3 2 2 2 3 4 4" xfId="11095" xr:uid="{841268E3-8807-49D4-935C-47D20337DF94}"/>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B07D88E4-B29D-4A4D-90E0-18796C1E6F53}"/>
    <cellStyle name="Normal 4 3 2 2 2 3 5 2 3" xfId="13653" xr:uid="{D7FBDD6C-AAA0-4CDA-9284-C9C2A091F751}"/>
    <cellStyle name="Normal 4 3 2 2 2 3 5 3" xfId="6399" xr:uid="{00000000-0005-0000-0000-000043140000}"/>
    <cellStyle name="Normal 4 3 2 2 2 3 5 3 2" xfId="15725" xr:uid="{D218560C-2324-4CA4-9AF4-7C69848336EF}"/>
    <cellStyle name="Normal 4 3 2 2 2 3 5 4" xfId="11508" xr:uid="{3F707BF1-B10B-4A05-9186-BF97E4DD88E5}"/>
    <cellStyle name="Normal 4 3 2 2 2 3 6" xfId="2529" xr:uid="{00000000-0005-0000-0000-000044140000}"/>
    <cellStyle name="Normal 4 3 2 2 2 3 6 2" xfId="6812" xr:uid="{00000000-0005-0000-0000-000045140000}"/>
    <cellStyle name="Normal 4 3 2 2 2 3 6 2 2" xfId="16138" xr:uid="{641E53F9-FFB3-4BF8-97EB-A0CF6963A06C}"/>
    <cellStyle name="Normal 4 3 2 2 2 3 6 3" xfId="11921" xr:uid="{D96E2851-4768-47E5-B450-97B30049B677}"/>
    <cellStyle name="Normal 4 3 2 2 2 3 7" xfId="4747" xr:uid="{00000000-0005-0000-0000-000046140000}"/>
    <cellStyle name="Normal 4 3 2 2 2 3 7 2" xfId="14073" xr:uid="{F36E10E2-7856-4682-991C-C5903135B800}"/>
    <cellStyle name="Normal 4 3 2 2 2 3 8" xfId="9029" xr:uid="{CC421D7E-69EF-4D96-A95C-E67F046F8D14}"/>
    <cellStyle name="Normal 4 3 2 2 2 3 9" xfId="9856" xr:uid="{CE28CF0C-5EB5-4447-BDAB-F0D4D53A294F}"/>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05BC5BAD-ABB1-42A4-871B-4D1EBCDD74DD}"/>
    <cellStyle name="Normal 4 3 2 2 2 4 2 3" xfId="12411" xr:uid="{4778504E-9B11-4C71-BCAB-76DB17CBA28F}"/>
    <cellStyle name="Normal 4 3 2 2 2 4 3" xfId="5157" xr:uid="{00000000-0005-0000-0000-00004A140000}"/>
    <cellStyle name="Normal 4 3 2 2 2 4 3 2" xfId="14483" xr:uid="{B144F7DB-8F7B-4378-9C5A-BCD6A43BE2F1}"/>
    <cellStyle name="Normal 4 3 2 2 2 4 4" xfId="9247" xr:uid="{70D9D224-DB0B-42B4-B4A9-BC88F455C395}"/>
    <cellStyle name="Normal 4 3 2 2 2 4 5" xfId="10266" xr:uid="{85C0FAD0-8D97-4523-8F53-4B4AAF3BE75B}"/>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EC8F413F-2E71-4B1B-A7E2-6B7488B02D61}"/>
    <cellStyle name="Normal 4 3 2 2 2 5 2 3" xfId="12824" xr:uid="{E3CA2324-41C7-4D09-874E-1690C12BD765}"/>
    <cellStyle name="Normal 4 3 2 2 2 5 3" xfId="5570" xr:uid="{00000000-0005-0000-0000-00004E140000}"/>
    <cellStyle name="Normal 4 3 2 2 2 5 3 2" xfId="14896" xr:uid="{677E6CC9-4E76-4CB6-A663-779427507515}"/>
    <cellStyle name="Normal 4 3 2 2 2 5 4" xfId="10679" xr:uid="{9D173F0E-B6EB-42C8-84A0-9D5F05C8B45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04BD27A7-9BDA-469E-8D28-B83C72E74404}"/>
    <cellStyle name="Normal 4 3 2 2 2 6 2 3" xfId="13237" xr:uid="{69F4B894-BF65-4C17-8AF1-2B321D980DFD}"/>
    <cellStyle name="Normal 4 3 2 2 2 6 3" xfId="5983" xr:uid="{00000000-0005-0000-0000-000052140000}"/>
    <cellStyle name="Normal 4 3 2 2 2 6 3 2" xfId="15309" xr:uid="{ED54EF7E-6D9F-4FCF-A948-805B1C925545}"/>
    <cellStyle name="Normal 4 3 2 2 2 6 4" xfId="11092" xr:uid="{54D90D21-B2A7-4EF1-8805-8797776C52AC}"/>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A2EE5712-F5B6-4174-B629-A15EC3BEB9B5}"/>
    <cellStyle name="Normal 4 3 2 2 2 7 2 3" xfId="13650" xr:uid="{2E8799D9-DD32-48DC-BF2E-1BDE618CDCEB}"/>
    <cellStyle name="Normal 4 3 2 2 2 7 3" xfId="6396" xr:uid="{00000000-0005-0000-0000-000056140000}"/>
    <cellStyle name="Normal 4 3 2 2 2 7 3 2" xfId="15722" xr:uid="{827F4339-3BFD-473D-8D10-C29C97CE78A1}"/>
    <cellStyle name="Normal 4 3 2 2 2 7 4" xfId="11505" xr:uid="{7209C9DD-3ACD-4E39-8E83-82262E0E8A15}"/>
    <cellStyle name="Normal 4 3 2 2 2 8" xfId="2526" xr:uid="{00000000-0005-0000-0000-000057140000}"/>
    <cellStyle name="Normal 4 3 2 2 2 8 2" xfId="6809" xr:uid="{00000000-0005-0000-0000-000058140000}"/>
    <cellStyle name="Normal 4 3 2 2 2 8 2 2" xfId="16135" xr:uid="{B6026671-AAE4-4DB5-9269-98A0C8F5A296}"/>
    <cellStyle name="Normal 4 3 2 2 2 8 3" xfId="11918" xr:uid="{18345E30-9DE2-4810-8CF5-77EF573F1929}"/>
    <cellStyle name="Normal 4 3 2 2 2 9" xfId="4744" xr:uid="{00000000-0005-0000-0000-000059140000}"/>
    <cellStyle name="Normal 4 3 2 2 2 9 2" xfId="14070" xr:uid="{1024BBFE-DFE6-4C91-BEAB-BEEA945791F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1" xfId="9857" xr:uid="{31F693AE-7A58-4693-BAA7-83DCC9FB12EE}"/>
    <cellStyle name="Normal 4 3 3 2" xfId="375" xr:uid="{00000000-0005-0000-0000-00005E140000}"/>
    <cellStyle name="Normal 4 3 3 2 10" xfId="9858" xr:uid="{89E6F43B-6B1F-4019-B754-C8BF5273DC5C}"/>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66B86A4C-559B-4785-A75F-7F975A1AB29F}"/>
    <cellStyle name="Normal 4 3 3 2 2 2 2 3" xfId="12417" xr:uid="{ECDA0B52-3644-421F-BEE9-F4C448EBE023}"/>
    <cellStyle name="Normal 4 3 3 2 2 2 3" xfId="5163" xr:uid="{00000000-0005-0000-0000-000063140000}"/>
    <cellStyle name="Normal 4 3 3 2 2 2 3 2" xfId="14489" xr:uid="{57820B18-9D08-4D68-9A64-44444592DC41}"/>
    <cellStyle name="Normal 4 3 3 2 2 2 4" xfId="9556" xr:uid="{7233D5E9-9F1E-43FF-8391-DCCFDF8A705D}"/>
    <cellStyle name="Normal 4 3 3 2 2 2 5" xfId="10272" xr:uid="{FB7CBFA6-A59E-4707-BA53-9AEC47CF70F5}"/>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B9C43D5E-41BD-4858-AF4D-6B41A1A6DB64}"/>
    <cellStyle name="Normal 4 3 3 2 2 3 2 3" xfId="12830" xr:uid="{ECBA41EF-1CA8-4B4F-A438-A459B92C74C8}"/>
    <cellStyle name="Normal 4 3 3 2 2 3 3" xfId="5576" xr:uid="{00000000-0005-0000-0000-000067140000}"/>
    <cellStyle name="Normal 4 3 3 2 2 3 3 2" xfId="14902" xr:uid="{39903AEA-8D22-4A11-BC6A-2D839DB3A536}"/>
    <cellStyle name="Normal 4 3 3 2 2 3 4" xfId="10685" xr:uid="{51C54050-BD48-4BB9-A544-837202D227C7}"/>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8D1FA2EC-8DB5-4F60-9978-B5A3137DC9BD}"/>
    <cellStyle name="Normal 4 3 3 2 2 4 2 3" xfId="13243" xr:uid="{3AD9BA62-CB67-4296-B1AC-D66458E007DD}"/>
    <cellStyle name="Normal 4 3 3 2 2 4 3" xfId="5989" xr:uid="{00000000-0005-0000-0000-00006B140000}"/>
    <cellStyle name="Normal 4 3 3 2 2 4 3 2" xfId="15315" xr:uid="{299EB1F7-AA65-4B9B-AD7D-28E03080F125}"/>
    <cellStyle name="Normal 4 3 3 2 2 4 4" xfId="11098" xr:uid="{602C8A66-E593-43F5-B16B-568DA0D50628}"/>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DCA605CD-5CC8-4F36-9D06-5A9CBDA6E05C}"/>
    <cellStyle name="Normal 4 3 3 2 2 5 2 3" xfId="13656" xr:uid="{64ABDBAD-48FD-40E3-8583-61601533AF02}"/>
    <cellStyle name="Normal 4 3 3 2 2 5 3" xfId="6402" xr:uid="{00000000-0005-0000-0000-00006F140000}"/>
    <cellStyle name="Normal 4 3 3 2 2 5 3 2" xfId="15728" xr:uid="{E8B84DE0-0B99-4599-A84B-8AAB6F13F4F1}"/>
    <cellStyle name="Normal 4 3 3 2 2 5 4" xfId="11511" xr:uid="{E3B67A13-B32C-4753-80BD-DFAA6A7D3E6D}"/>
    <cellStyle name="Normal 4 3 3 2 2 6" xfId="2532" xr:uid="{00000000-0005-0000-0000-000070140000}"/>
    <cellStyle name="Normal 4 3 3 2 2 6 2" xfId="6815" xr:uid="{00000000-0005-0000-0000-000071140000}"/>
    <cellStyle name="Normal 4 3 3 2 2 6 2 2" xfId="16141" xr:uid="{06473189-28B2-4FCD-A40B-4FC500598241}"/>
    <cellStyle name="Normal 4 3 3 2 2 6 3" xfId="11924" xr:uid="{B5420FA5-59D5-4799-8751-FCB84C5B6E14}"/>
    <cellStyle name="Normal 4 3 3 2 2 7" xfId="4750" xr:uid="{00000000-0005-0000-0000-000072140000}"/>
    <cellStyle name="Normal 4 3 3 2 2 7 2" xfId="14076" xr:uid="{55D08702-2183-495F-9023-54A2CA0D48F3}"/>
    <cellStyle name="Normal 4 3 3 2 2 8" xfId="9131" xr:uid="{D7BA3B10-6765-4B57-99D1-3AF7343772F8}"/>
    <cellStyle name="Normal 4 3 3 2 2 9" xfId="9859" xr:uid="{1555009B-5F36-4D4A-BAC4-84A05D5B690B}"/>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10AA06F8-7024-4CB8-ACB8-72AE0042B779}"/>
    <cellStyle name="Normal 4 3 3 2 3 2 3" xfId="12416" xr:uid="{C2B68BEB-DD1D-4D59-A54B-4E362FA00C5B}"/>
    <cellStyle name="Normal 4 3 3 2 3 3" xfId="5162" xr:uid="{00000000-0005-0000-0000-000076140000}"/>
    <cellStyle name="Normal 4 3 3 2 3 3 2" xfId="14488" xr:uid="{C1A5A618-277B-45FD-98D7-266E9AAFC626}"/>
    <cellStyle name="Normal 4 3 3 2 3 4" xfId="9349" xr:uid="{E498700C-D7AE-42FC-8EB1-59BA2C1BA6B9}"/>
    <cellStyle name="Normal 4 3 3 2 3 5" xfId="10271" xr:uid="{44DB7D68-6636-40B3-9A51-84561D042801}"/>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F86E7335-4D52-49E9-9C92-D70F1CF1F807}"/>
    <cellStyle name="Normal 4 3 3 2 4 2 3" xfId="12829" xr:uid="{A984DA9F-41CB-4C34-99DB-912206005DF2}"/>
    <cellStyle name="Normal 4 3 3 2 4 3" xfId="5575" xr:uid="{00000000-0005-0000-0000-00007A140000}"/>
    <cellStyle name="Normal 4 3 3 2 4 3 2" xfId="14901" xr:uid="{30FDDA1A-AF18-4A63-A417-DBD947CEA335}"/>
    <cellStyle name="Normal 4 3 3 2 4 4" xfId="10684" xr:uid="{9669EF20-5F46-4ADC-91C3-B1B01E2676FF}"/>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5D69D19F-650A-4D31-9B97-297AE3144E09}"/>
    <cellStyle name="Normal 4 3 3 2 5 2 3" xfId="13242" xr:uid="{6D9986DE-3C15-42C4-837F-CB5A7C095524}"/>
    <cellStyle name="Normal 4 3 3 2 5 3" xfId="5988" xr:uid="{00000000-0005-0000-0000-00007E140000}"/>
    <cellStyle name="Normal 4 3 3 2 5 3 2" xfId="15314" xr:uid="{A169AB04-A1D1-47D2-BE28-C288F2B37B91}"/>
    <cellStyle name="Normal 4 3 3 2 5 4" xfId="11097" xr:uid="{83F87EFC-16E4-47F3-A16C-4B29057CE529}"/>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77610CD6-BD6B-49C2-8822-E8F941B5C58C}"/>
    <cellStyle name="Normal 4 3 3 2 6 2 3" xfId="13655" xr:uid="{9AD3CC0E-FDB6-4638-A4B6-116E7347F863}"/>
    <cellStyle name="Normal 4 3 3 2 6 3" xfId="6401" xr:uid="{00000000-0005-0000-0000-000082140000}"/>
    <cellStyle name="Normal 4 3 3 2 6 3 2" xfId="15727" xr:uid="{A3641446-FDA0-459F-B78F-77B902BC67E1}"/>
    <cellStyle name="Normal 4 3 3 2 6 4" xfId="11510" xr:uid="{CC0D8E43-9DB5-4DF2-8210-D3B0054A2C5F}"/>
    <cellStyle name="Normal 4 3 3 2 7" xfId="2531" xr:uid="{00000000-0005-0000-0000-000083140000}"/>
    <cellStyle name="Normal 4 3 3 2 7 2" xfId="6814" xr:uid="{00000000-0005-0000-0000-000084140000}"/>
    <cellStyle name="Normal 4 3 3 2 7 2 2" xfId="16140" xr:uid="{C5720AB4-BB4D-49FF-886C-8606E7A67AE8}"/>
    <cellStyle name="Normal 4 3 3 2 7 3" xfId="11923" xr:uid="{2CEC2D06-A6CC-4515-8E93-AC743E58D601}"/>
    <cellStyle name="Normal 4 3 3 2 8" xfId="4749" xr:uid="{00000000-0005-0000-0000-000085140000}"/>
    <cellStyle name="Normal 4 3 3 2 8 2" xfId="14075" xr:uid="{77A04E40-3D49-4B66-9558-B3BB7E68B871}"/>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6C64B32A-2202-4E65-8533-A862F1542FAC}"/>
    <cellStyle name="Normal 4 3 3 3 2 2 3" xfId="12418" xr:uid="{84C0A383-7E34-4762-9D46-C2DE4EC5952A}"/>
    <cellStyle name="Normal 4 3 3 3 2 3" xfId="5164" xr:uid="{00000000-0005-0000-0000-00008A140000}"/>
    <cellStyle name="Normal 4 3 3 3 2 3 2" xfId="14490" xr:uid="{A4BB9956-936C-4FCF-935C-88FB1D9BDA9F}"/>
    <cellStyle name="Normal 4 3 3 3 2 4" xfId="9453" xr:uid="{18D68920-503C-42C1-A733-EBE17DC6D008}"/>
    <cellStyle name="Normal 4 3 3 3 2 5" xfId="10273" xr:uid="{373D52F1-63FE-48E8-B729-E00BDB55D2EC}"/>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814EB53A-B72D-4634-B2D8-7D64A9AB58F6}"/>
    <cellStyle name="Normal 4 3 3 3 3 2 3" xfId="12831" xr:uid="{B9BC5F9B-CA1E-4B44-BD92-E4B5D681A46D}"/>
    <cellStyle name="Normal 4 3 3 3 3 3" xfId="5577" xr:uid="{00000000-0005-0000-0000-00008E140000}"/>
    <cellStyle name="Normal 4 3 3 3 3 3 2" xfId="14903" xr:uid="{AAD1997A-4062-4C03-850B-594345B6AE62}"/>
    <cellStyle name="Normal 4 3 3 3 3 4" xfId="10686" xr:uid="{C9536D12-8ED9-4D96-83E2-BBCF2D084CEA}"/>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67CE2FA2-BD9B-41A3-B923-E79FCCCAE3E2}"/>
    <cellStyle name="Normal 4 3 3 3 4 2 3" xfId="13244" xr:uid="{094EEE45-A4EF-46F2-A941-827B5EE63E41}"/>
    <cellStyle name="Normal 4 3 3 3 4 3" xfId="5990" xr:uid="{00000000-0005-0000-0000-000092140000}"/>
    <cellStyle name="Normal 4 3 3 3 4 3 2" xfId="15316" xr:uid="{E0BC4E8D-345E-4F0E-BF2D-84351707C81A}"/>
    <cellStyle name="Normal 4 3 3 3 4 4" xfId="11099" xr:uid="{82FC06A3-140B-4E62-917F-68F3F658A4AB}"/>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A98ACA7B-540A-4E99-B89E-AB006E6397EC}"/>
    <cellStyle name="Normal 4 3 3 3 5 2 3" xfId="13657" xr:uid="{B8E245E7-E592-41A6-9B91-A010CE059B10}"/>
    <cellStyle name="Normal 4 3 3 3 5 3" xfId="6403" xr:uid="{00000000-0005-0000-0000-000096140000}"/>
    <cellStyle name="Normal 4 3 3 3 5 3 2" xfId="15729" xr:uid="{1C611A39-F83A-4832-B223-DE49FEF26E12}"/>
    <cellStyle name="Normal 4 3 3 3 5 4" xfId="11512" xr:uid="{5D0451D0-C805-4820-A3E2-EFDF3CBD01FF}"/>
    <cellStyle name="Normal 4 3 3 3 6" xfId="2533" xr:uid="{00000000-0005-0000-0000-000097140000}"/>
    <cellStyle name="Normal 4 3 3 3 6 2" xfId="6816" xr:uid="{00000000-0005-0000-0000-000098140000}"/>
    <cellStyle name="Normal 4 3 3 3 6 2 2" xfId="16142" xr:uid="{0D719236-B885-4126-B772-A831760A6FA9}"/>
    <cellStyle name="Normal 4 3 3 3 6 3" xfId="11925" xr:uid="{ABA467FD-F286-4A36-8112-A85A6538D2FB}"/>
    <cellStyle name="Normal 4 3 3 3 7" xfId="4751" xr:uid="{00000000-0005-0000-0000-000099140000}"/>
    <cellStyle name="Normal 4 3 3 3 7 2" xfId="14077" xr:uid="{7B80CC13-3B01-4E28-88EF-8896FBB43668}"/>
    <cellStyle name="Normal 4 3 3 3 8" xfId="9028" xr:uid="{A0BD85BE-0D8B-455E-B326-708B8FF8A8C8}"/>
    <cellStyle name="Normal 4 3 3 3 9" xfId="9860" xr:uid="{417D7AB7-871C-415F-B839-A9B95F6D74BF}"/>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6DAF2512-BAF3-4A75-B029-B5F9DF3DE44D}"/>
    <cellStyle name="Normal 4 3 3 4 2 3" xfId="12415" xr:uid="{CA0DF304-F388-4741-98EC-56E0CEE9B5AA}"/>
    <cellStyle name="Normal 4 3 3 4 3" xfId="5161" xr:uid="{00000000-0005-0000-0000-00009D140000}"/>
    <cellStyle name="Normal 4 3 3 4 3 2" xfId="14487" xr:uid="{0D181CC6-18E8-4311-A3E4-BC07B62E2B39}"/>
    <cellStyle name="Normal 4 3 3 4 4" xfId="9246" xr:uid="{E1107DA9-8F13-4216-80A2-CEA1D2EF57FC}"/>
    <cellStyle name="Normal 4 3 3 4 5" xfId="10270" xr:uid="{7071589F-1C4B-4DC0-A9B7-F583D3DE2CF2}"/>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3ABC8C0F-EABE-4E6C-B4A3-54136EC78442}"/>
    <cellStyle name="Normal 4 3 3 5 2 3" xfId="12828" xr:uid="{FA0F0584-1000-4230-A2CE-266DDC8C659B}"/>
    <cellStyle name="Normal 4 3 3 5 3" xfId="5574" xr:uid="{00000000-0005-0000-0000-0000A1140000}"/>
    <cellStyle name="Normal 4 3 3 5 3 2" xfId="14900" xr:uid="{84F0368D-401B-4748-A311-61D267758B9D}"/>
    <cellStyle name="Normal 4 3 3 5 4" xfId="10683" xr:uid="{CC724FFF-BA3D-492A-93D2-AA7DAFD1198E}"/>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E9797175-D4F4-4BFD-A7E3-2173AE1F4216}"/>
    <cellStyle name="Normal 4 3 3 6 2 3" xfId="13241" xr:uid="{27C2EB41-4839-4A93-8780-5F278DA5DE17}"/>
    <cellStyle name="Normal 4 3 3 6 3" xfId="5987" xr:uid="{00000000-0005-0000-0000-0000A5140000}"/>
    <cellStyle name="Normal 4 3 3 6 3 2" xfId="15313" xr:uid="{1A92DF70-5D35-4C92-B45A-B23BF927ABC8}"/>
    <cellStyle name="Normal 4 3 3 6 4" xfId="11096" xr:uid="{2005A723-3658-45E4-AB2E-39FF694F45DD}"/>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BC2968BA-BCBC-4E17-9443-375B9ABEF1AA}"/>
    <cellStyle name="Normal 4 3 3 7 2 3" xfId="13654" xr:uid="{A74B82B8-B155-4DB4-950B-A7B7EB1B78D4}"/>
    <cellStyle name="Normal 4 3 3 7 3" xfId="6400" xr:uid="{00000000-0005-0000-0000-0000A9140000}"/>
    <cellStyle name="Normal 4 3 3 7 3 2" xfId="15726" xr:uid="{64D560A8-81E4-4BE6-8187-96B528F8B964}"/>
    <cellStyle name="Normal 4 3 3 7 4" xfId="11509" xr:uid="{11AFC053-F5D7-4535-B74E-95C82A40F529}"/>
    <cellStyle name="Normal 4 3 3 8" xfId="2530" xr:uid="{00000000-0005-0000-0000-0000AA140000}"/>
    <cellStyle name="Normal 4 3 3 8 2" xfId="6813" xr:uid="{00000000-0005-0000-0000-0000AB140000}"/>
    <cellStyle name="Normal 4 3 3 8 2 2" xfId="16139" xr:uid="{EE8666EE-12C0-4544-8CF9-5E41F421244B}"/>
    <cellStyle name="Normal 4 3 3 8 3" xfId="11922" xr:uid="{623F6FBB-7A6E-4167-90B5-B114BB68482A}"/>
    <cellStyle name="Normal 4 3 3 9" xfId="4748" xr:uid="{00000000-0005-0000-0000-0000AC140000}"/>
    <cellStyle name="Normal 4 3 3 9 2" xfId="14074" xr:uid="{20762313-B21D-46D7-9F1D-8F72D2FA721F}"/>
    <cellStyle name="Normal 4 3 4" xfId="842" xr:uid="{00000000-0005-0000-0000-0000AD140000}"/>
    <cellStyle name="Normal 4 3 4 2" xfId="3079" xr:uid="{00000000-0005-0000-0000-0000AE140000}"/>
    <cellStyle name="Normal 4 3 4 2 2" xfId="7301" xr:uid="{00000000-0005-0000-0000-0000AF140000}"/>
    <cellStyle name="Normal 4 3 4 2 2 2" xfId="16627" xr:uid="{C3807A4F-4127-4B9E-A26B-70A823C61D04}"/>
    <cellStyle name="Normal 4 3 4 2 3" xfId="12410" xr:uid="{48BB77D1-C930-43F4-A197-C6BF8EBC72D6}"/>
    <cellStyle name="Normal 4 3 4 3" xfId="5156" xr:uid="{00000000-0005-0000-0000-0000B0140000}"/>
    <cellStyle name="Normal 4 3 4 3 2" xfId="14482" xr:uid="{3F7B2A0C-29E6-4BD7-A075-E8A956A7E184}"/>
    <cellStyle name="Normal 4 3 4 4" xfId="9608" xr:uid="{C2EFFD2B-01D5-4B2B-BD85-BB4245D6A35E}"/>
    <cellStyle name="Normal 4 3 4 5" xfId="10265" xr:uid="{9175711C-2EE6-40D1-AE99-EAEF96FB3308}"/>
    <cellStyle name="Normal 4 3 5" xfId="1262" xr:uid="{00000000-0005-0000-0000-0000B1140000}"/>
    <cellStyle name="Normal 4 3 5 2" xfId="3492" xr:uid="{00000000-0005-0000-0000-0000B2140000}"/>
    <cellStyle name="Normal 4 3 5 2 2" xfId="7714" xr:uid="{00000000-0005-0000-0000-0000B3140000}"/>
    <cellStyle name="Normal 4 3 5 2 2 2" xfId="17040" xr:uid="{F8AFC6AF-C89C-4AB3-878D-DC5506356BC6}"/>
    <cellStyle name="Normal 4 3 5 2 3" xfId="12823" xr:uid="{CAB908D7-631C-4F38-B45A-DDEE54B1C98D}"/>
    <cellStyle name="Normal 4 3 5 3" xfId="5569" xr:uid="{00000000-0005-0000-0000-0000B4140000}"/>
    <cellStyle name="Normal 4 3 5 3 2" xfId="14895" xr:uid="{9109CD37-CB0C-4F00-845F-4E11711DD1D4}"/>
    <cellStyle name="Normal 4 3 5 4" xfId="10678" xr:uid="{C5D46A54-11ED-4497-8E59-41C1AF7815DA}"/>
    <cellStyle name="Normal 4 3 6" xfId="1675" xr:uid="{00000000-0005-0000-0000-0000B5140000}"/>
    <cellStyle name="Normal 4 3 6 2" xfId="3905" xr:uid="{00000000-0005-0000-0000-0000B6140000}"/>
    <cellStyle name="Normal 4 3 6 2 2" xfId="8127" xr:uid="{00000000-0005-0000-0000-0000B7140000}"/>
    <cellStyle name="Normal 4 3 6 2 2 2" xfId="17453" xr:uid="{C41A5C0B-BA85-47BA-801C-5EF2FE914F87}"/>
    <cellStyle name="Normal 4 3 6 2 3" xfId="13236" xr:uid="{8DDE3788-2328-4319-A9DA-0C2C6D580D30}"/>
    <cellStyle name="Normal 4 3 6 3" xfId="5982" xr:uid="{00000000-0005-0000-0000-0000B8140000}"/>
    <cellStyle name="Normal 4 3 6 3 2" xfId="15308" xr:uid="{DCA02597-5639-440E-9921-85DF817DE1D8}"/>
    <cellStyle name="Normal 4 3 6 4" xfId="11091" xr:uid="{4507C50F-7F41-4939-872C-BF4369A7DCD4}"/>
    <cellStyle name="Normal 4 3 7" xfId="2089" xr:uid="{00000000-0005-0000-0000-0000B9140000}"/>
    <cellStyle name="Normal 4 3 7 2" xfId="4318" xr:uid="{00000000-0005-0000-0000-0000BA140000}"/>
    <cellStyle name="Normal 4 3 7 2 2" xfId="8540" xr:uid="{00000000-0005-0000-0000-0000BB140000}"/>
    <cellStyle name="Normal 4 3 7 2 2 2" xfId="17866" xr:uid="{73D10F7A-8317-4585-8899-9897AB402B89}"/>
    <cellStyle name="Normal 4 3 7 2 3" xfId="13649" xr:uid="{BA0C54C2-8292-4E48-BE87-CD28881DB346}"/>
    <cellStyle name="Normal 4 3 7 3" xfId="6395" xr:uid="{00000000-0005-0000-0000-0000BC140000}"/>
    <cellStyle name="Normal 4 3 7 3 2" xfId="15721" xr:uid="{831B2BA6-2581-4F3A-AB81-8D8C6760D518}"/>
    <cellStyle name="Normal 4 3 7 4" xfId="11504" xr:uid="{42645A1A-BADB-48C8-8B89-8AE19DA7EA8A}"/>
    <cellStyle name="Normal 4 3 8" xfId="2525" xr:uid="{00000000-0005-0000-0000-0000BD140000}"/>
    <cellStyle name="Normal 4 3 8 2" xfId="6808" xr:uid="{00000000-0005-0000-0000-0000BE140000}"/>
    <cellStyle name="Normal 4 3 8 2 2" xfId="16134" xr:uid="{5933975F-EFB3-46A1-836B-5CBF7E4FC212}"/>
    <cellStyle name="Normal 4 3 8 3" xfId="11917" xr:uid="{A14DA209-7F73-4BBB-96BE-014F76FD088D}"/>
    <cellStyle name="Normal 4 3 9" xfId="4743" xr:uid="{00000000-0005-0000-0000-0000BF140000}"/>
    <cellStyle name="Normal 4 3 9 2" xfId="14069" xr:uid="{8CCE6384-1AF5-4980-BA94-05B095780DF6}"/>
    <cellStyle name="Normal 4 4" xfId="378" xr:uid="{00000000-0005-0000-0000-0000C0140000}"/>
    <cellStyle name="Normal 4 4 10" xfId="2534" xr:uid="{00000000-0005-0000-0000-0000C1140000}"/>
    <cellStyle name="Normal 4 4 10 2" xfId="6817" xr:uid="{00000000-0005-0000-0000-0000C2140000}"/>
    <cellStyle name="Normal 4 4 10 2 2" xfId="16143" xr:uid="{C0FBD4AC-D5EA-4F8E-99EF-38C2AE339C61}"/>
    <cellStyle name="Normal 4 4 10 3" xfId="11926" xr:uid="{006450C4-3230-44B1-AA34-E792F73A931A}"/>
    <cellStyle name="Normal 4 4 11" xfId="4752" xr:uid="{00000000-0005-0000-0000-0000C3140000}"/>
    <cellStyle name="Normal 4 4 11 2" xfId="14078" xr:uid="{9F555D37-D8C8-4714-AC07-4D25B62B4D07}"/>
    <cellStyle name="Normal 4 4 12" xfId="8749" xr:uid="{A91736B6-873D-4B1A-8B29-18DC69E5E65F}"/>
    <cellStyle name="Normal 4 4 13" xfId="9861" xr:uid="{C2A1812F-DF55-4E97-9145-5496C5D1D5E4}"/>
    <cellStyle name="Normal 4 4 2" xfId="379" xr:uid="{00000000-0005-0000-0000-0000C4140000}"/>
    <cellStyle name="Normal 4 4 2 10" xfId="4753" xr:uid="{00000000-0005-0000-0000-0000C5140000}"/>
    <cellStyle name="Normal 4 4 2 10 2" xfId="14079" xr:uid="{789390AA-6713-4DDB-9E8E-1041E56FF353}"/>
    <cellStyle name="Normal 4 4 2 11" xfId="8781" xr:uid="{12B8F0AD-1EB8-4D0A-9CAD-21DEEFEDAE41}"/>
    <cellStyle name="Normal 4 4 2 12" xfId="9862" xr:uid="{ABBA4B3A-E94F-4ABE-B268-DEDFEBFFA55A}"/>
    <cellStyle name="Normal 4 4 2 2" xfId="380" xr:uid="{00000000-0005-0000-0000-0000C6140000}"/>
    <cellStyle name="Normal 4 4 2 2 10" xfId="8824" xr:uid="{FF218EA8-00A9-476B-AA88-FBBBBED2D06B}"/>
    <cellStyle name="Normal 4 4 2 2 11" xfId="9863" xr:uid="{8B31BDAE-BDFC-4F73-B183-711788A2DCE6}"/>
    <cellStyle name="Normal 4 4 2 2 2" xfId="381" xr:uid="{00000000-0005-0000-0000-0000C7140000}"/>
    <cellStyle name="Normal 4 4 2 2 2 10" xfId="9864" xr:uid="{AB90A7F0-F02B-4197-ADE2-A7DA62FE932C}"/>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3D201C58-6ED0-4D8C-ACE8-5C996C5DA9D5}"/>
    <cellStyle name="Normal 4 4 2 2 2 2 2 2 3" xfId="12423" xr:uid="{99863528-8F8D-4402-AC3B-AECE2164FEB3}"/>
    <cellStyle name="Normal 4 4 2 2 2 2 2 3" xfId="5169" xr:uid="{00000000-0005-0000-0000-0000CC140000}"/>
    <cellStyle name="Normal 4 4 2 2 2 2 2 3 2" xfId="14495" xr:uid="{88B7F48E-917D-45F5-8E0F-BB2B0FFD8C6E}"/>
    <cellStyle name="Normal 4 4 2 2 2 2 2 4" xfId="9559" xr:uid="{6E5E886C-D83F-47E6-AD2B-552CC2A98FD0}"/>
    <cellStyle name="Normal 4 4 2 2 2 2 2 5" xfId="10278" xr:uid="{F4F2E87F-2816-4C0F-8B08-E55C4C9D558A}"/>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0C5C863B-BEF9-43A6-8FC0-FF5123B29679}"/>
    <cellStyle name="Normal 4 4 2 2 2 2 3 2 3" xfId="12836" xr:uid="{D7AA469E-2649-4643-84E6-89CBACF32D17}"/>
    <cellStyle name="Normal 4 4 2 2 2 2 3 3" xfId="5582" xr:uid="{00000000-0005-0000-0000-0000D0140000}"/>
    <cellStyle name="Normal 4 4 2 2 2 2 3 3 2" xfId="14908" xr:uid="{CD2A56C3-0CC4-466C-9689-FB0ED3AD0EFC}"/>
    <cellStyle name="Normal 4 4 2 2 2 2 3 4" xfId="10691" xr:uid="{0FE6CC41-1329-4067-9DD9-A4A74606B169}"/>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5EA0257F-5BF8-4ECF-8B97-7CE730C7634A}"/>
    <cellStyle name="Normal 4 4 2 2 2 2 4 2 3" xfId="13249" xr:uid="{4FF53578-D7CE-4B07-9DA7-9519A2DC040F}"/>
    <cellStyle name="Normal 4 4 2 2 2 2 4 3" xfId="5995" xr:uid="{00000000-0005-0000-0000-0000D4140000}"/>
    <cellStyle name="Normal 4 4 2 2 2 2 4 3 2" xfId="15321" xr:uid="{C1AB96EE-F87C-420C-8900-8058ED5FAC8D}"/>
    <cellStyle name="Normal 4 4 2 2 2 2 4 4" xfId="11104" xr:uid="{95C52C8C-52CA-4BAE-AE85-D29F66B774F9}"/>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B1BCC458-02AC-4F77-A97F-26E23C18B685}"/>
    <cellStyle name="Normal 4 4 2 2 2 2 5 2 3" xfId="13662" xr:uid="{CEBB5E26-00F5-4E5B-9BB7-A7E3A8EEE37E}"/>
    <cellStyle name="Normal 4 4 2 2 2 2 5 3" xfId="6408" xr:uid="{00000000-0005-0000-0000-0000D8140000}"/>
    <cellStyle name="Normal 4 4 2 2 2 2 5 3 2" xfId="15734" xr:uid="{24C8D19E-1664-48F2-BEFA-E091AA70101B}"/>
    <cellStyle name="Normal 4 4 2 2 2 2 5 4" xfId="11517" xr:uid="{89EA829D-BECA-476C-BB30-B19A98CF6F02}"/>
    <cellStyle name="Normal 4 4 2 2 2 2 6" xfId="2538" xr:uid="{00000000-0005-0000-0000-0000D9140000}"/>
    <cellStyle name="Normal 4 4 2 2 2 2 6 2" xfId="6821" xr:uid="{00000000-0005-0000-0000-0000DA140000}"/>
    <cellStyle name="Normal 4 4 2 2 2 2 6 2 2" xfId="16147" xr:uid="{B9AB75C6-2D73-4AC0-A924-ECB3A93D3E5C}"/>
    <cellStyle name="Normal 4 4 2 2 2 2 6 3" xfId="11930" xr:uid="{DF97FDFC-A7EC-4113-829B-066D5FF0DA95}"/>
    <cellStyle name="Normal 4 4 2 2 2 2 7" xfId="4756" xr:uid="{00000000-0005-0000-0000-0000DB140000}"/>
    <cellStyle name="Normal 4 4 2 2 2 2 7 2" xfId="14082" xr:uid="{BA8F1C60-9DDB-48D4-8441-45EF8474CA64}"/>
    <cellStyle name="Normal 4 4 2 2 2 2 8" xfId="9134" xr:uid="{B37D4C66-6754-4A5E-BFF7-77694E4355C2}"/>
    <cellStyle name="Normal 4 4 2 2 2 2 9" xfId="9865" xr:uid="{0A82C417-DBCF-4FB3-9336-D6DB1D8AD8E6}"/>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A16889C7-47CA-47AE-898B-4F57B1BBA1B9}"/>
    <cellStyle name="Normal 4 4 2 2 2 3 2 3" xfId="12422" xr:uid="{2E871675-A48C-478B-A009-592B9BD9F935}"/>
    <cellStyle name="Normal 4 4 2 2 2 3 3" xfId="5168" xr:uid="{00000000-0005-0000-0000-0000DF140000}"/>
    <cellStyle name="Normal 4 4 2 2 2 3 3 2" xfId="14494" xr:uid="{93026122-229F-4C16-8E54-867BFD5C2DA6}"/>
    <cellStyle name="Normal 4 4 2 2 2 3 4" xfId="9352" xr:uid="{76F31DA2-44D0-447F-BA9C-6271BA6AAE96}"/>
    <cellStyle name="Normal 4 4 2 2 2 3 5" xfId="10277" xr:uid="{38103AC5-C9FF-4699-95AF-8011548DA78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394587C5-2436-42C4-86D8-E9D662BD3423}"/>
    <cellStyle name="Normal 4 4 2 2 2 4 2 3" xfId="12835" xr:uid="{FA70460E-581F-4BC4-8571-2B97091BE4C1}"/>
    <cellStyle name="Normal 4 4 2 2 2 4 3" xfId="5581" xr:uid="{00000000-0005-0000-0000-0000E3140000}"/>
    <cellStyle name="Normal 4 4 2 2 2 4 3 2" xfId="14907" xr:uid="{D4665DA0-F690-436B-A095-BC12CE125E2E}"/>
    <cellStyle name="Normal 4 4 2 2 2 4 4" xfId="10690" xr:uid="{6C79AD24-CC73-446F-818B-2C48060E364F}"/>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E787B493-3AF7-45E6-835C-9BDF8071A1D1}"/>
    <cellStyle name="Normal 4 4 2 2 2 5 2 3" xfId="13248" xr:uid="{530CCCF4-95AF-43DE-97B5-BE5CE8B75757}"/>
    <cellStyle name="Normal 4 4 2 2 2 5 3" xfId="5994" xr:uid="{00000000-0005-0000-0000-0000E7140000}"/>
    <cellStyle name="Normal 4 4 2 2 2 5 3 2" xfId="15320" xr:uid="{3FB55E46-4D11-4BDF-B532-362EDA6E92F4}"/>
    <cellStyle name="Normal 4 4 2 2 2 5 4" xfId="11103" xr:uid="{D318322B-F55E-47C7-93A4-5BF7EF6D894B}"/>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728CB38E-1AA2-480E-80EC-8BB6ECCB752F}"/>
    <cellStyle name="Normal 4 4 2 2 2 6 2 3" xfId="13661" xr:uid="{9F52EEA2-C897-4FA0-B78B-F35F517769E4}"/>
    <cellStyle name="Normal 4 4 2 2 2 6 3" xfId="6407" xr:uid="{00000000-0005-0000-0000-0000EB140000}"/>
    <cellStyle name="Normal 4 4 2 2 2 6 3 2" xfId="15733" xr:uid="{05312365-DAAC-48EA-AA94-626DDBCCD843}"/>
    <cellStyle name="Normal 4 4 2 2 2 6 4" xfId="11516" xr:uid="{71087405-04D7-4156-9B75-271C19CADD8B}"/>
    <cellStyle name="Normal 4 4 2 2 2 7" xfId="2537" xr:uid="{00000000-0005-0000-0000-0000EC140000}"/>
    <cellStyle name="Normal 4 4 2 2 2 7 2" xfId="6820" xr:uid="{00000000-0005-0000-0000-0000ED140000}"/>
    <cellStyle name="Normal 4 4 2 2 2 7 2 2" xfId="16146" xr:uid="{021FF223-6D6A-4016-BC8C-2F58C83EE360}"/>
    <cellStyle name="Normal 4 4 2 2 2 7 3" xfId="11929" xr:uid="{C4BD7005-F81D-4C31-BFA5-32F41FC7EC7E}"/>
    <cellStyle name="Normal 4 4 2 2 2 8" xfId="4755" xr:uid="{00000000-0005-0000-0000-0000EE140000}"/>
    <cellStyle name="Normal 4 4 2 2 2 8 2" xfId="14081" xr:uid="{FFDE878F-CC2E-4208-8E15-D60745CF2E17}"/>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DD84779F-E2A4-4526-A707-AB00B263A6EE}"/>
    <cellStyle name="Normal 4 4 2 2 3 2 2 3" xfId="12424" xr:uid="{92DBB0F1-FB30-4621-B0A1-9505DFFCFB50}"/>
    <cellStyle name="Normal 4 4 2 2 3 2 3" xfId="5170" xr:uid="{00000000-0005-0000-0000-0000F3140000}"/>
    <cellStyle name="Normal 4 4 2 2 3 2 3 2" xfId="14496" xr:uid="{ACF30F4A-AECB-4510-B896-9B3043E6970E}"/>
    <cellStyle name="Normal 4 4 2 2 3 2 4" xfId="9456" xr:uid="{7CB0B972-68D8-4A2C-A3A7-1D2BD109E44A}"/>
    <cellStyle name="Normal 4 4 2 2 3 2 5" xfId="10279" xr:uid="{23911A84-5DFA-407C-A082-B46A021EBB58}"/>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C77BCFBB-A4CA-4C92-B4EF-B56A95F33ACB}"/>
    <cellStyle name="Normal 4 4 2 2 3 3 2 3" xfId="12837" xr:uid="{DEEF4A2C-CB58-4A2B-BF09-F4E5110F916C}"/>
    <cellStyle name="Normal 4 4 2 2 3 3 3" xfId="5583" xr:uid="{00000000-0005-0000-0000-0000F7140000}"/>
    <cellStyle name="Normal 4 4 2 2 3 3 3 2" xfId="14909" xr:uid="{15BB7547-7084-4D77-A5E4-C01DAE70330C}"/>
    <cellStyle name="Normal 4 4 2 2 3 3 4" xfId="10692" xr:uid="{F0BBADAE-D184-41B0-9105-1C154ACCFF89}"/>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5A360556-03D9-4A50-A17B-CFEC6E1CB915}"/>
    <cellStyle name="Normal 4 4 2 2 3 4 2 3" xfId="13250" xr:uid="{CF2F527C-03E8-4963-996A-DE4A7D627BF8}"/>
    <cellStyle name="Normal 4 4 2 2 3 4 3" xfId="5996" xr:uid="{00000000-0005-0000-0000-0000FB140000}"/>
    <cellStyle name="Normal 4 4 2 2 3 4 3 2" xfId="15322" xr:uid="{3C11924B-815F-4D59-8C69-009709F5CC64}"/>
    <cellStyle name="Normal 4 4 2 2 3 4 4" xfId="11105" xr:uid="{25348337-ABEB-4490-A8DF-C27201BA4509}"/>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77108173-5D90-4EEC-B7C8-2AD1EC2934A5}"/>
    <cellStyle name="Normal 4 4 2 2 3 5 2 3" xfId="13663" xr:uid="{A2E91154-16A8-498C-8CB4-0355766657D7}"/>
    <cellStyle name="Normal 4 4 2 2 3 5 3" xfId="6409" xr:uid="{00000000-0005-0000-0000-0000FF140000}"/>
    <cellStyle name="Normal 4 4 2 2 3 5 3 2" xfId="15735" xr:uid="{FC049C80-F68A-4650-A84E-9F145898F517}"/>
    <cellStyle name="Normal 4 4 2 2 3 5 4" xfId="11518" xr:uid="{E9173081-B708-4044-AE8D-32A41870D6FE}"/>
    <cellStyle name="Normal 4 4 2 2 3 6" xfId="2539" xr:uid="{00000000-0005-0000-0000-000000150000}"/>
    <cellStyle name="Normal 4 4 2 2 3 6 2" xfId="6822" xr:uid="{00000000-0005-0000-0000-000001150000}"/>
    <cellStyle name="Normal 4 4 2 2 3 6 2 2" xfId="16148" xr:uid="{CF6C4DC5-4B79-457D-9608-560BF646B969}"/>
    <cellStyle name="Normal 4 4 2 2 3 6 3" xfId="11931" xr:uid="{8CAF3B53-C560-4C3F-A886-FEFBA3DD3EED}"/>
    <cellStyle name="Normal 4 4 2 2 3 7" xfId="4757" xr:uid="{00000000-0005-0000-0000-000002150000}"/>
    <cellStyle name="Normal 4 4 2 2 3 7 2" xfId="14083" xr:uid="{DF405667-7E60-4EF9-AD4A-689119F00B90}"/>
    <cellStyle name="Normal 4 4 2 2 3 8" xfId="9031" xr:uid="{F1B59444-328A-4279-8A0A-A9F7E26061D5}"/>
    <cellStyle name="Normal 4 4 2 2 3 9" xfId="9866" xr:uid="{56D5A08A-2F4D-4E24-9AB2-B938FA9463B7}"/>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D8005923-9102-44CC-87FC-9424F700E881}"/>
    <cellStyle name="Normal 4 4 2 2 4 2 3" xfId="12421" xr:uid="{5536554C-00F9-4B83-9FAD-5C05102E5E77}"/>
    <cellStyle name="Normal 4 4 2 2 4 3" xfId="5167" xr:uid="{00000000-0005-0000-0000-000006150000}"/>
    <cellStyle name="Normal 4 4 2 2 4 3 2" xfId="14493" xr:uid="{DD3A5884-92B4-4BE4-BC4C-CBE3B4088A71}"/>
    <cellStyle name="Normal 4 4 2 2 4 4" xfId="9249" xr:uid="{7E4CA7C7-738D-4CFA-907A-40590344548A}"/>
    <cellStyle name="Normal 4 4 2 2 4 5" xfId="10276" xr:uid="{E763FFBB-A56F-431F-8071-F4246217393B}"/>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B605DDB7-8174-49EB-8C24-9425621DF0F8}"/>
    <cellStyle name="Normal 4 4 2 2 5 2 3" xfId="12834" xr:uid="{A4BC3E3F-8194-4712-BF6F-48677ABC92E2}"/>
    <cellStyle name="Normal 4 4 2 2 5 3" xfId="5580" xr:uid="{00000000-0005-0000-0000-00000A150000}"/>
    <cellStyle name="Normal 4 4 2 2 5 3 2" xfId="14906" xr:uid="{F4355986-9DAB-439A-92FB-1C20E154C4BF}"/>
    <cellStyle name="Normal 4 4 2 2 5 4" xfId="10689" xr:uid="{4E200604-9AA7-47CF-B163-3F3302FAE3B6}"/>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93B5BD6E-DCC4-48BA-A811-394F8649941E}"/>
    <cellStyle name="Normal 4 4 2 2 6 2 3" xfId="13247" xr:uid="{63E11799-DD40-47D0-9FC7-8B287863200A}"/>
    <cellStyle name="Normal 4 4 2 2 6 3" xfId="5993" xr:uid="{00000000-0005-0000-0000-00000E150000}"/>
    <cellStyle name="Normal 4 4 2 2 6 3 2" xfId="15319" xr:uid="{421DA693-C50A-425A-962F-6CE121EA8413}"/>
    <cellStyle name="Normal 4 4 2 2 6 4" xfId="11102" xr:uid="{53F63C5B-2556-4407-B0CA-930674EBBB30}"/>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BE935191-A767-4856-A044-1E2ED3F568BE}"/>
    <cellStyle name="Normal 4 4 2 2 7 2 3" xfId="13660" xr:uid="{1BCACC25-4667-49CA-9666-21694F110D2B}"/>
    <cellStyle name="Normal 4 4 2 2 7 3" xfId="6406" xr:uid="{00000000-0005-0000-0000-000012150000}"/>
    <cellStyle name="Normal 4 4 2 2 7 3 2" xfId="15732" xr:uid="{990073F9-DE26-4EA7-8E37-C4F1872404A2}"/>
    <cellStyle name="Normal 4 4 2 2 7 4" xfId="11515" xr:uid="{85BB7C49-B64F-4AE9-ADC4-7CDA99FC25DD}"/>
    <cellStyle name="Normal 4 4 2 2 8" xfId="2536" xr:uid="{00000000-0005-0000-0000-000013150000}"/>
    <cellStyle name="Normal 4 4 2 2 8 2" xfId="6819" xr:uid="{00000000-0005-0000-0000-000014150000}"/>
    <cellStyle name="Normal 4 4 2 2 8 2 2" xfId="16145" xr:uid="{4FC1F803-6562-463F-A158-1DF62657D88D}"/>
    <cellStyle name="Normal 4 4 2 2 8 3" xfId="11928" xr:uid="{C34B54A6-7635-43D8-9F36-A1435A1C124B}"/>
    <cellStyle name="Normal 4 4 2 2 9" xfId="4754" xr:uid="{00000000-0005-0000-0000-000015150000}"/>
    <cellStyle name="Normal 4 4 2 2 9 2" xfId="14080" xr:uid="{E4C5F6EE-8C7E-4984-A184-6C74E5C00A1A}"/>
    <cellStyle name="Normal 4 4 2 3" xfId="384" xr:uid="{00000000-0005-0000-0000-000016150000}"/>
    <cellStyle name="Normal 4 4 2 3 10" xfId="9867" xr:uid="{91368136-ECE9-4687-ACEB-8716D2D89C7A}"/>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E324151E-3373-45E3-9330-726D35E6C632}"/>
    <cellStyle name="Normal 4 4 2 3 2 2 2 3" xfId="12426" xr:uid="{57F30E4E-A245-4220-8E6B-4365826BD5F6}"/>
    <cellStyle name="Normal 4 4 2 3 2 2 3" xfId="5172" xr:uid="{00000000-0005-0000-0000-00001B150000}"/>
    <cellStyle name="Normal 4 4 2 3 2 2 3 2" xfId="14498" xr:uid="{D0AC1B5A-69DC-4143-B73C-4C2645BFF3C1}"/>
    <cellStyle name="Normal 4 4 2 3 2 2 4" xfId="9516" xr:uid="{93008D3B-5827-4778-B167-5B518B5BF56F}"/>
    <cellStyle name="Normal 4 4 2 3 2 2 5" xfId="10281" xr:uid="{5EB07032-1B07-4372-B9CC-288100A98A7E}"/>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C4ABBF45-61B5-47ED-9074-E5C81B7981B2}"/>
    <cellStyle name="Normal 4 4 2 3 2 3 2 3" xfId="12839" xr:uid="{1189F2CF-FF23-4E1D-ABD4-66A6530FB1F4}"/>
    <cellStyle name="Normal 4 4 2 3 2 3 3" xfId="5585" xr:uid="{00000000-0005-0000-0000-00001F150000}"/>
    <cellStyle name="Normal 4 4 2 3 2 3 3 2" xfId="14911" xr:uid="{943DA49F-93A2-4CF5-AF1E-0878D58D8FC4}"/>
    <cellStyle name="Normal 4 4 2 3 2 3 4" xfId="10694" xr:uid="{E897CCC8-587E-4FED-8D88-35672CB8ED97}"/>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27D693C1-D0A5-48A8-96D4-D3092ADCF42F}"/>
    <cellStyle name="Normal 4 4 2 3 2 4 2 3" xfId="13252" xr:uid="{8EC88FE9-6818-4BE1-8019-07F195436160}"/>
    <cellStyle name="Normal 4 4 2 3 2 4 3" xfId="5998" xr:uid="{00000000-0005-0000-0000-000023150000}"/>
    <cellStyle name="Normal 4 4 2 3 2 4 3 2" xfId="15324" xr:uid="{152C9F3D-9B70-46DA-82C9-968B3DBE5BA9}"/>
    <cellStyle name="Normal 4 4 2 3 2 4 4" xfId="11107" xr:uid="{4154E19F-946E-428A-8DF0-5AA157B3C39E}"/>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05AFD70D-30F8-41BF-80AD-276319679477}"/>
    <cellStyle name="Normal 4 4 2 3 2 5 2 3" xfId="13665" xr:uid="{65442A1F-A573-4CC1-98D8-C6C5033DF67C}"/>
    <cellStyle name="Normal 4 4 2 3 2 5 3" xfId="6411" xr:uid="{00000000-0005-0000-0000-000027150000}"/>
    <cellStyle name="Normal 4 4 2 3 2 5 3 2" xfId="15737" xr:uid="{3FF48B32-EDEC-4143-A20A-75325E6A5399}"/>
    <cellStyle name="Normal 4 4 2 3 2 5 4" xfId="11520" xr:uid="{97B04474-4C50-4E75-9902-62C63E2E45B4}"/>
    <cellStyle name="Normal 4 4 2 3 2 6" xfId="2541" xr:uid="{00000000-0005-0000-0000-000028150000}"/>
    <cellStyle name="Normal 4 4 2 3 2 6 2" xfId="6824" xr:uid="{00000000-0005-0000-0000-000029150000}"/>
    <cellStyle name="Normal 4 4 2 3 2 6 2 2" xfId="16150" xr:uid="{E0110231-4347-4EC5-8B95-2789D674572D}"/>
    <cellStyle name="Normal 4 4 2 3 2 6 3" xfId="11933" xr:uid="{E405B805-752F-42C1-84D2-C07AAF935AC5}"/>
    <cellStyle name="Normal 4 4 2 3 2 7" xfId="4759" xr:uid="{00000000-0005-0000-0000-00002A150000}"/>
    <cellStyle name="Normal 4 4 2 3 2 7 2" xfId="14085" xr:uid="{C9DFAD4A-9871-4F56-BE6E-31D5EE534721}"/>
    <cellStyle name="Normal 4 4 2 3 2 8" xfId="9091" xr:uid="{9DBAED0A-05EE-4674-B1B7-8D03DBB53301}"/>
    <cellStyle name="Normal 4 4 2 3 2 9" xfId="9868" xr:uid="{9BF7E339-AA71-466C-A670-E6FBCEF4C604}"/>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73EE36E9-CDD8-4F45-A2DA-B1687AC923B3}"/>
    <cellStyle name="Normal 4 4 2 3 3 2 3" xfId="12425" xr:uid="{63333746-3555-4273-8A52-15D3DEA1C219}"/>
    <cellStyle name="Normal 4 4 2 3 3 3" xfId="5171" xr:uid="{00000000-0005-0000-0000-00002E150000}"/>
    <cellStyle name="Normal 4 4 2 3 3 3 2" xfId="14497" xr:uid="{F5B6AA23-3C04-4666-857E-D521D74DD6E9}"/>
    <cellStyle name="Normal 4 4 2 3 3 4" xfId="9309" xr:uid="{73E912F6-92AF-449E-AE53-1DEDEF686C0F}"/>
    <cellStyle name="Normal 4 4 2 3 3 5" xfId="10280" xr:uid="{8E07E7DE-0769-4614-8794-2C4596ECA126}"/>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AE12B0A3-08BB-4B48-B515-129CE9760500}"/>
    <cellStyle name="Normal 4 4 2 3 4 2 3" xfId="12838" xr:uid="{B44EFC16-F3C9-4FE9-8567-B06412801746}"/>
    <cellStyle name="Normal 4 4 2 3 4 3" xfId="5584" xr:uid="{00000000-0005-0000-0000-000032150000}"/>
    <cellStyle name="Normal 4 4 2 3 4 3 2" xfId="14910" xr:uid="{360084BD-29FA-4E0A-9AA7-38FA9B657ABB}"/>
    <cellStyle name="Normal 4 4 2 3 4 4" xfId="10693" xr:uid="{5B643644-B3BA-46F7-9BF6-60F00AF0FB20}"/>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BF091A29-C529-47D0-8FAD-B0CBE72F96D0}"/>
    <cellStyle name="Normal 4 4 2 3 5 2 3" xfId="13251" xr:uid="{A9A0A1F5-3A71-4095-A899-8CB7EBE86D30}"/>
    <cellStyle name="Normal 4 4 2 3 5 3" xfId="5997" xr:uid="{00000000-0005-0000-0000-000036150000}"/>
    <cellStyle name="Normal 4 4 2 3 5 3 2" xfId="15323" xr:uid="{FB4ECA41-A691-47A7-856B-C8A110E078E0}"/>
    <cellStyle name="Normal 4 4 2 3 5 4" xfId="11106" xr:uid="{E57AB228-F0EF-4E44-81CC-3BCFA1EB122F}"/>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FAADB493-715F-413E-BE64-785C3C8D2DC6}"/>
    <cellStyle name="Normal 4 4 2 3 6 2 3" xfId="13664" xr:uid="{68EB2832-7191-4C86-BDE6-08E028B16EB5}"/>
    <cellStyle name="Normal 4 4 2 3 6 3" xfId="6410" xr:uid="{00000000-0005-0000-0000-00003A150000}"/>
    <cellStyle name="Normal 4 4 2 3 6 3 2" xfId="15736" xr:uid="{A3382630-E4D0-4637-A76F-E536129EF39E}"/>
    <cellStyle name="Normal 4 4 2 3 6 4" xfId="11519" xr:uid="{7CBC6C84-9503-47DC-8EF7-5C0FAF752010}"/>
    <cellStyle name="Normal 4 4 2 3 7" xfId="2540" xr:uid="{00000000-0005-0000-0000-00003B150000}"/>
    <cellStyle name="Normal 4 4 2 3 7 2" xfId="6823" xr:uid="{00000000-0005-0000-0000-00003C150000}"/>
    <cellStyle name="Normal 4 4 2 3 7 2 2" xfId="16149" xr:uid="{0CAD3DF5-AE5D-40D2-980A-87E8B2DC4B54}"/>
    <cellStyle name="Normal 4 4 2 3 7 3" xfId="11932" xr:uid="{B212164A-8921-48A2-AB13-FBE9018BC87B}"/>
    <cellStyle name="Normal 4 4 2 3 8" xfId="4758" xr:uid="{00000000-0005-0000-0000-00003D150000}"/>
    <cellStyle name="Normal 4 4 2 3 8 2" xfId="14084" xr:uid="{F6651BC6-FF3A-44BA-ADC8-A7929EFE2644}"/>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CD519A2C-A175-4BD1-8AC9-370A0E6EED9A}"/>
    <cellStyle name="Normal 4 4 2 4 2 2 3" xfId="12427" xr:uid="{D9602E56-85B9-4B2A-96AA-65F5722324EC}"/>
    <cellStyle name="Normal 4 4 2 4 2 3" xfId="5173" xr:uid="{00000000-0005-0000-0000-000042150000}"/>
    <cellStyle name="Normal 4 4 2 4 2 3 2" xfId="14499" xr:uid="{01995806-D1F5-470F-BC6F-B35201AD569E}"/>
    <cellStyle name="Normal 4 4 2 4 2 4" xfId="9413" xr:uid="{4DC092EA-7C69-4E02-9FE8-33F62D070F54}"/>
    <cellStyle name="Normal 4 4 2 4 2 5" xfId="10282" xr:uid="{92493BD6-DC91-439F-9954-7D26345B74CC}"/>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20AE5116-09F6-4EE0-B374-D39FCB094E53}"/>
    <cellStyle name="Normal 4 4 2 4 3 2 3" xfId="12840" xr:uid="{919EE8EF-19AB-46D5-B464-79E72D93E4B6}"/>
    <cellStyle name="Normal 4 4 2 4 3 3" xfId="5586" xr:uid="{00000000-0005-0000-0000-000046150000}"/>
    <cellStyle name="Normal 4 4 2 4 3 3 2" xfId="14912" xr:uid="{F34AED52-16CC-4A28-8CB2-C988BDBA1B82}"/>
    <cellStyle name="Normal 4 4 2 4 3 4" xfId="10695" xr:uid="{5E214595-E305-4D93-9D00-8938DC105F06}"/>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E223970E-E5E1-4CFE-92BF-CD7E3829A2E6}"/>
    <cellStyle name="Normal 4 4 2 4 4 2 3" xfId="13253" xr:uid="{5BD65B75-1510-4796-9019-E449D4CF0D4F}"/>
    <cellStyle name="Normal 4 4 2 4 4 3" xfId="5999" xr:uid="{00000000-0005-0000-0000-00004A150000}"/>
    <cellStyle name="Normal 4 4 2 4 4 3 2" xfId="15325" xr:uid="{9EA172E8-8050-4ACF-9E8B-979435CDA292}"/>
    <cellStyle name="Normal 4 4 2 4 4 4" xfId="11108" xr:uid="{6E252345-1D04-4A85-8420-E1C8DAF81635}"/>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1B17DF74-BA5C-49E5-8A87-9714036FC865}"/>
    <cellStyle name="Normal 4 4 2 4 5 2 3" xfId="13666" xr:uid="{1130254C-6065-4896-9BD9-5FA3C7DF9128}"/>
    <cellStyle name="Normal 4 4 2 4 5 3" xfId="6412" xr:uid="{00000000-0005-0000-0000-00004E150000}"/>
    <cellStyle name="Normal 4 4 2 4 5 3 2" xfId="15738" xr:uid="{B650040F-8D26-4BDC-BFBA-C2A561FC31CD}"/>
    <cellStyle name="Normal 4 4 2 4 5 4" xfId="11521" xr:uid="{7C29C576-7DBC-401D-A9A8-DBE672F5FF5B}"/>
    <cellStyle name="Normal 4 4 2 4 6" xfId="2542" xr:uid="{00000000-0005-0000-0000-00004F150000}"/>
    <cellStyle name="Normal 4 4 2 4 6 2" xfId="6825" xr:uid="{00000000-0005-0000-0000-000050150000}"/>
    <cellStyle name="Normal 4 4 2 4 6 2 2" xfId="16151" xr:uid="{3452FE4F-5B44-4BA6-A9AE-373ABF0E9E07}"/>
    <cellStyle name="Normal 4 4 2 4 6 3" xfId="11934" xr:uid="{2B36D4CE-5E01-4448-A66D-44124A43AA8B}"/>
    <cellStyle name="Normal 4 4 2 4 7" xfId="4760" xr:uid="{00000000-0005-0000-0000-000051150000}"/>
    <cellStyle name="Normal 4 4 2 4 7 2" xfId="14086" xr:uid="{FD6A47DC-C4A5-46AA-A1BD-0090F6271E2E}"/>
    <cellStyle name="Normal 4 4 2 4 8" xfId="8988" xr:uid="{F852E7B0-7ACD-4401-B3B6-BE989A5C8AD5}"/>
    <cellStyle name="Normal 4 4 2 4 9" xfId="9869" xr:uid="{0BB262BC-615C-472A-BFBD-C2C1498BBB96}"/>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841916F9-B7AE-4492-87FD-E75D3B87A104}"/>
    <cellStyle name="Normal 4 4 2 5 2 3" xfId="12420" xr:uid="{023ED191-EB17-4B7C-9821-4B948C42778E}"/>
    <cellStyle name="Normal 4 4 2 5 3" xfId="5166" xr:uid="{00000000-0005-0000-0000-000055150000}"/>
    <cellStyle name="Normal 4 4 2 5 3 2" xfId="14492" xr:uid="{4BEA4586-7823-4AA4-86CF-CB4156457B45}"/>
    <cellStyle name="Normal 4 4 2 5 4" xfId="9205" xr:uid="{A63DE01D-3EC8-40FC-A47E-E0EA001EED52}"/>
    <cellStyle name="Normal 4 4 2 5 5" xfId="10275" xr:uid="{FBE71D22-906E-4807-B834-9055F9F64F88}"/>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E987AC4B-F9A6-4710-9F87-2D3F6AF77B69}"/>
    <cellStyle name="Normal 4 4 2 6 2 3" xfId="12833" xr:uid="{ADA92D9C-4BA0-4728-A854-9E9E83162517}"/>
    <cellStyle name="Normal 4 4 2 6 3" xfId="5579" xr:uid="{00000000-0005-0000-0000-000059150000}"/>
    <cellStyle name="Normal 4 4 2 6 3 2" xfId="14905" xr:uid="{76BC4798-183A-4D22-95E7-408257405E4D}"/>
    <cellStyle name="Normal 4 4 2 6 4" xfId="10688" xr:uid="{76E253F6-47B2-45E6-8A8F-B906C048C489}"/>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04A95D5B-3162-455E-A249-F7BA03531916}"/>
    <cellStyle name="Normal 4 4 2 7 2 3" xfId="13246" xr:uid="{0AE730A5-9C20-41A3-9864-AA61DE919ABD}"/>
    <cellStyle name="Normal 4 4 2 7 3" xfId="5992" xr:uid="{00000000-0005-0000-0000-00005D150000}"/>
    <cellStyle name="Normal 4 4 2 7 3 2" xfId="15318" xr:uid="{14474BDE-B4D3-49CB-8DDD-5CC8A2D36AE2}"/>
    <cellStyle name="Normal 4 4 2 7 4" xfId="11101" xr:uid="{1DE532BF-999D-49CC-96D1-303F3D54C222}"/>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AFBA45FA-98FC-44A7-8528-13619812F9BA}"/>
    <cellStyle name="Normal 4 4 2 8 2 3" xfId="13659" xr:uid="{C95C1436-6780-4544-8792-C10A7FBA526F}"/>
    <cellStyle name="Normal 4 4 2 8 3" xfId="6405" xr:uid="{00000000-0005-0000-0000-000061150000}"/>
    <cellStyle name="Normal 4 4 2 8 3 2" xfId="15731" xr:uid="{3ED36C44-044A-48A3-B1A9-309DE150DE6E}"/>
    <cellStyle name="Normal 4 4 2 8 4" xfId="11514" xr:uid="{A04C5EA6-B0B5-4A9A-BFFD-1189A6AD8DA4}"/>
    <cellStyle name="Normal 4 4 2 9" xfId="2535" xr:uid="{00000000-0005-0000-0000-000062150000}"/>
    <cellStyle name="Normal 4 4 2 9 2" xfId="6818" xr:uid="{00000000-0005-0000-0000-000063150000}"/>
    <cellStyle name="Normal 4 4 2 9 2 2" xfId="16144" xr:uid="{652B4846-149C-4EB4-A060-A4044C7F84FB}"/>
    <cellStyle name="Normal 4 4 2 9 3" xfId="11927" xr:uid="{0DBA21F2-FDEB-4C1D-B87A-CA9D97A73CD8}"/>
    <cellStyle name="Normal 4 4 3" xfId="387" xr:uid="{00000000-0005-0000-0000-000064150000}"/>
    <cellStyle name="Normal 4 4 3 10" xfId="8823" xr:uid="{E623F102-F69B-4FD0-BEDA-A1480AF4D892}"/>
    <cellStyle name="Normal 4 4 3 11" xfId="9870" xr:uid="{1FF99B93-2CAA-4C9B-A1A5-AB551F088834}"/>
    <cellStyle name="Normal 4 4 3 2" xfId="388" xr:uid="{00000000-0005-0000-0000-000065150000}"/>
    <cellStyle name="Normal 4 4 3 2 10" xfId="9871" xr:uid="{98A8FD4B-FC45-4317-A1CC-1499B23E91E5}"/>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59843293-2BD7-4B85-86D8-BAC3772B35B4}"/>
    <cellStyle name="Normal 4 4 3 2 2 2 2 3" xfId="12430" xr:uid="{453EC713-3121-4CB6-B165-3EDF172AB62C}"/>
    <cellStyle name="Normal 4 4 3 2 2 2 3" xfId="5176" xr:uid="{00000000-0005-0000-0000-00006A150000}"/>
    <cellStyle name="Normal 4 4 3 2 2 2 3 2" xfId="14502" xr:uid="{ECEB701C-61D6-4859-A5F6-DE0E411C4A3C}"/>
    <cellStyle name="Normal 4 4 3 2 2 2 4" xfId="9558" xr:uid="{8C9519E6-5920-473D-9749-EC61E4877632}"/>
    <cellStyle name="Normal 4 4 3 2 2 2 5" xfId="10285" xr:uid="{219BC7E6-BDED-4854-BCB2-F2C0F9B14255}"/>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94CA5BE2-245F-439B-B4F7-978DE550F9E2}"/>
    <cellStyle name="Normal 4 4 3 2 2 3 2 3" xfId="12843" xr:uid="{D67DC238-127C-4E69-91AF-C96B862DE201}"/>
    <cellStyle name="Normal 4 4 3 2 2 3 3" xfId="5589" xr:uid="{00000000-0005-0000-0000-00006E150000}"/>
    <cellStyle name="Normal 4 4 3 2 2 3 3 2" xfId="14915" xr:uid="{91FD6669-3949-45EF-BA7A-F902C4588DB5}"/>
    <cellStyle name="Normal 4 4 3 2 2 3 4" xfId="10698" xr:uid="{E9553DF5-8458-497F-9B0E-B6E7627EEC8B}"/>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876DC393-A03D-4AC4-BE99-65265CCD5CD2}"/>
    <cellStyle name="Normal 4 4 3 2 2 4 2 3" xfId="13256" xr:uid="{FFC1A724-6A9C-4180-A731-89EBA090B334}"/>
    <cellStyle name="Normal 4 4 3 2 2 4 3" xfId="6002" xr:uid="{00000000-0005-0000-0000-000072150000}"/>
    <cellStyle name="Normal 4 4 3 2 2 4 3 2" xfId="15328" xr:uid="{53F4BD24-E0B1-40CE-A2F3-7E4CD3CC1A80}"/>
    <cellStyle name="Normal 4 4 3 2 2 4 4" xfId="11111" xr:uid="{C2D95F7C-2793-4D02-B4AE-A1D40D3F0C3B}"/>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AC2EF6CF-11EB-4804-821D-84C9943DA48A}"/>
    <cellStyle name="Normal 4 4 3 2 2 5 2 3" xfId="13669" xr:uid="{10A45274-E4BE-448B-A198-452764F05A8D}"/>
    <cellStyle name="Normal 4 4 3 2 2 5 3" xfId="6415" xr:uid="{00000000-0005-0000-0000-000076150000}"/>
    <cellStyle name="Normal 4 4 3 2 2 5 3 2" xfId="15741" xr:uid="{5AB4969E-6226-4436-9730-CE83478B39C1}"/>
    <cellStyle name="Normal 4 4 3 2 2 5 4" xfId="11524" xr:uid="{69C706EA-7E26-480F-832B-9D1A69FA719A}"/>
    <cellStyle name="Normal 4 4 3 2 2 6" xfId="2545" xr:uid="{00000000-0005-0000-0000-000077150000}"/>
    <cellStyle name="Normal 4 4 3 2 2 6 2" xfId="6828" xr:uid="{00000000-0005-0000-0000-000078150000}"/>
    <cellStyle name="Normal 4 4 3 2 2 6 2 2" xfId="16154" xr:uid="{365ECBF3-2A79-47AD-BD1E-652CD387069D}"/>
    <cellStyle name="Normal 4 4 3 2 2 6 3" xfId="11937" xr:uid="{774BAFEF-9FDD-47D1-884B-783563AE246F}"/>
    <cellStyle name="Normal 4 4 3 2 2 7" xfId="4763" xr:uid="{00000000-0005-0000-0000-000079150000}"/>
    <cellStyle name="Normal 4 4 3 2 2 7 2" xfId="14089" xr:uid="{561B511C-A457-440C-B241-311CC3658777}"/>
    <cellStyle name="Normal 4 4 3 2 2 8" xfId="9133" xr:uid="{37002A66-D58A-4EF9-8D22-8F1A3EE99E08}"/>
    <cellStyle name="Normal 4 4 3 2 2 9" xfId="9872" xr:uid="{AE43F3EF-3BAA-4413-BF80-C93044F8A3CD}"/>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54FC158E-56A1-48D4-8997-CD5600DA14E9}"/>
    <cellStyle name="Normal 4 4 3 2 3 2 3" xfId="12429" xr:uid="{AE49E419-1345-4742-8044-2EA92C26AD54}"/>
    <cellStyle name="Normal 4 4 3 2 3 3" xfId="5175" xr:uid="{00000000-0005-0000-0000-00007D150000}"/>
    <cellStyle name="Normal 4 4 3 2 3 3 2" xfId="14501" xr:uid="{6C39E281-BA1C-401E-A2B2-BB190304D49B}"/>
    <cellStyle name="Normal 4 4 3 2 3 4" xfId="9351" xr:uid="{51AD2B95-755A-411D-AA40-98381F5D8294}"/>
    <cellStyle name="Normal 4 4 3 2 3 5" xfId="10284" xr:uid="{BA5F29CC-3715-4068-87CD-1F58C7D8FF35}"/>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8BE2F13E-1662-4DD4-B3E3-00B59332D9A5}"/>
    <cellStyle name="Normal 4 4 3 2 4 2 3" xfId="12842" xr:uid="{700F05D1-1A6B-45D3-8D57-535ADCC2BC3D}"/>
    <cellStyle name="Normal 4 4 3 2 4 3" xfId="5588" xr:uid="{00000000-0005-0000-0000-000081150000}"/>
    <cellStyle name="Normal 4 4 3 2 4 3 2" xfId="14914" xr:uid="{6277FD0F-039E-4423-B36F-B0EF0BBCFC20}"/>
    <cellStyle name="Normal 4 4 3 2 4 4" xfId="10697" xr:uid="{12F416B6-D3D6-4A8B-A067-5E1AB4228724}"/>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8311D549-A4CB-48E3-AA2E-5E0660A94395}"/>
    <cellStyle name="Normal 4 4 3 2 5 2 3" xfId="13255" xr:uid="{C747B1EC-6C64-46C8-AAB0-971D194EB4F5}"/>
    <cellStyle name="Normal 4 4 3 2 5 3" xfId="6001" xr:uid="{00000000-0005-0000-0000-000085150000}"/>
    <cellStyle name="Normal 4 4 3 2 5 3 2" xfId="15327" xr:uid="{6A2B8926-0089-4DB9-A4FF-5F31CC6FE5BD}"/>
    <cellStyle name="Normal 4 4 3 2 5 4" xfId="11110" xr:uid="{A29953DC-9F2C-40CD-AF5C-E1840C26670E}"/>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6A7B469C-3604-4E87-8343-9DC27B7F6EDD}"/>
    <cellStyle name="Normal 4 4 3 2 6 2 3" xfId="13668" xr:uid="{A745B290-43F3-47AC-8AFD-89B35EC22851}"/>
    <cellStyle name="Normal 4 4 3 2 6 3" xfId="6414" xr:uid="{00000000-0005-0000-0000-000089150000}"/>
    <cellStyle name="Normal 4 4 3 2 6 3 2" xfId="15740" xr:uid="{71380919-D235-45A0-BB90-16C7DF740B2F}"/>
    <cellStyle name="Normal 4 4 3 2 6 4" xfId="11523" xr:uid="{FD0DCB5E-C7AD-4982-9AAD-B7A4DF412DCD}"/>
    <cellStyle name="Normal 4 4 3 2 7" xfId="2544" xr:uid="{00000000-0005-0000-0000-00008A150000}"/>
    <cellStyle name="Normal 4 4 3 2 7 2" xfId="6827" xr:uid="{00000000-0005-0000-0000-00008B150000}"/>
    <cellStyle name="Normal 4 4 3 2 7 2 2" xfId="16153" xr:uid="{631AF7AE-73D1-4F1B-8D19-47F6E1D42995}"/>
    <cellStyle name="Normal 4 4 3 2 7 3" xfId="11936" xr:uid="{2EC052B6-79E4-4732-A4A5-5E5DFA2C5B0A}"/>
    <cellStyle name="Normal 4 4 3 2 8" xfId="4762" xr:uid="{00000000-0005-0000-0000-00008C150000}"/>
    <cellStyle name="Normal 4 4 3 2 8 2" xfId="14088" xr:uid="{C05AC8B8-8B68-4714-8C8A-F8B19A6DC777}"/>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CA02AC9B-EB29-409A-B8C8-879076D964B8}"/>
    <cellStyle name="Normal 4 4 3 3 2 2 3" xfId="12431" xr:uid="{3678A8D1-0B5B-4250-B170-5350D08C2C53}"/>
    <cellStyle name="Normal 4 4 3 3 2 3" xfId="5177" xr:uid="{00000000-0005-0000-0000-000091150000}"/>
    <cellStyle name="Normal 4 4 3 3 2 3 2" xfId="14503" xr:uid="{8E473396-18ED-4D3C-AACF-3ACDE3EBFA2B}"/>
    <cellStyle name="Normal 4 4 3 3 2 4" xfId="9455" xr:uid="{E39EB3A2-D99A-426C-AFEC-E4C90C85BE02}"/>
    <cellStyle name="Normal 4 4 3 3 2 5" xfId="10286" xr:uid="{0FA3F502-C8DA-4ADB-96F3-E00A58954158}"/>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0008CDBA-9020-4E66-8FF2-F947586946E2}"/>
    <cellStyle name="Normal 4 4 3 3 3 2 3" xfId="12844" xr:uid="{8286CF21-7CC0-4850-B5DD-E33D8F016BE6}"/>
    <cellStyle name="Normal 4 4 3 3 3 3" xfId="5590" xr:uid="{00000000-0005-0000-0000-000095150000}"/>
    <cellStyle name="Normal 4 4 3 3 3 3 2" xfId="14916" xr:uid="{676EFDA7-E871-4A1E-A4B2-4A6B0D3843F2}"/>
    <cellStyle name="Normal 4 4 3 3 3 4" xfId="10699" xr:uid="{4D808059-9C38-4379-878B-1D29931FF36B}"/>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EB47DE37-4ED7-4A4A-99EA-E64E940E7ED8}"/>
    <cellStyle name="Normal 4 4 3 3 4 2 3" xfId="13257" xr:uid="{94FD6E26-EE6B-46CD-9FE7-72B5BBA5FF4C}"/>
    <cellStyle name="Normal 4 4 3 3 4 3" xfId="6003" xr:uid="{00000000-0005-0000-0000-000099150000}"/>
    <cellStyle name="Normal 4 4 3 3 4 3 2" xfId="15329" xr:uid="{BEFDED52-70F1-406A-AFB1-11F5FAE66131}"/>
    <cellStyle name="Normal 4 4 3 3 4 4" xfId="11112" xr:uid="{7D40FAAA-5C63-4860-8DFC-813AE9FA2C7D}"/>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D9DA8186-2EEF-4224-A58D-BECE130351C7}"/>
    <cellStyle name="Normal 4 4 3 3 5 2 3" xfId="13670" xr:uid="{92DE63D6-D7D3-4D07-9990-20B8C97A252C}"/>
    <cellStyle name="Normal 4 4 3 3 5 3" xfId="6416" xr:uid="{00000000-0005-0000-0000-00009D150000}"/>
    <cellStyle name="Normal 4 4 3 3 5 3 2" xfId="15742" xr:uid="{3C8BEF88-BA1E-4573-8E55-23D382603061}"/>
    <cellStyle name="Normal 4 4 3 3 5 4" xfId="11525" xr:uid="{61FC78CD-F48E-4791-94E6-25D30481857E}"/>
    <cellStyle name="Normal 4 4 3 3 6" xfId="2546" xr:uid="{00000000-0005-0000-0000-00009E150000}"/>
    <cellStyle name="Normal 4 4 3 3 6 2" xfId="6829" xr:uid="{00000000-0005-0000-0000-00009F150000}"/>
    <cellStyle name="Normal 4 4 3 3 6 2 2" xfId="16155" xr:uid="{2FE1FC27-7DB6-4797-8BC1-BABA703CBC29}"/>
    <cellStyle name="Normal 4 4 3 3 6 3" xfId="11938" xr:uid="{73E65C7B-5B16-4E67-982D-833789BCE243}"/>
    <cellStyle name="Normal 4 4 3 3 7" xfId="4764" xr:uid="{00000000-0005-0000-0000-0000A0150000}"/>
    <cellStyle name="Normal 4 4 3 3 7 2" xfId="14090" xr:uid="{2869710D-1F0B-462B-888F-5955D4ADF330}"/>
    <cellStyle name="Normal 4 4 3 3 8" xfId="9030" xr:uid="{F975DAAD-4546-4770-9976-5C5C66DA227B}"/>
    <cellStyle name="Normal 4 4 3 3 9" xfId="9873" xr:uid="{91C4F287-3534-4EC5-A99F-B34DD0D5AF39}"/>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B79DB162-2A53-41FA-B3EA-D7E5B6459225}"/>
    <cellStyle name="Normal 4 4 3 4 2 3" xfId="12428" xr:uid="{7741D031-9AA2-4E85-8460-CF3B63E78AD9}"/>
    <cellStyle name="Normal 4 4 3 4 3" xfId="5174" xr:uid="{00000000-0005-0000-0000-0000A4150000}"/>
    <cellStyle name="Normal 4 4 3 4 3 2" xfId="14500" xr:uid="{83E0E34B-3716-4C60-B21F-5364F2E81752}"/>
    <cellStyle name="Normal 4 4 3 4 4" xfId="9248" xr:uid="{6C5F877B-48E6-47C2-B849-E53F373D5A86}"/>
    <cellStyle name="Normal 4 4 3 4 5" xfId="10283" xr:uid="{168CBC12-33F0-44DB-8267-34094D3D2574}"/>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3C9BAD95-70A0-4E79-804D-2F22755391DC}"/>
    <cellStyle name="Normal 4 4 3 5 2 3" xfId="12841" xr:uid="{F30BC16D-0AAF-4E37-913B-9C6B509D0903}"/>
    <cellStyle name="Normal 4 4 3 5 3" xfId="5587" xr:uid="{00000000-0005-0000-0000-0000A8150000}"/>
    <cellStyle name="Normal 4 4 3 5 3 2" xfId="14913" xr:uid="{D0B57298-2A64-4575-B7AF-FAB8962E0414}"/>
    <cellStyle name="Normal 4 4 3 5 4" xfId="10696" xr:uid="{ADAB1182-7E2F-4F2C-B59F-DFFEC7624547}"/>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96DD8520-8671-4629-B197-8597336E4787}"/>
    <cellStyle name="Normal 4 4 3 6 2 3" xfId="13254" xr:uid="{AB6378E4-7F6F-4E53-804D-51B97FCFC638}"/>
    <cellStyle name="Normal 4 4 3 6 3" xfId="6000" xr:uid="{00000000-0005-0000-0000-0000AC150000}"/>
    <cellStyle name="Normal 4 4 3 6 3 2" xfId="15326" xr:uid="{F8E7C919-E846-4B03-96A1-8E203C3C7965}"/>
    <cellStyle name="Normal 4 4 3 6 4" xfId="11109" xr:uid="{500007D0-F03A-4477-8371-18CF165AED1F}"/>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5992FF31-1161-4BA3-908E-E84A61C6880D}"/>
    <cellStyle name="Normal 4 4 3 7 2 3" xfId="13667" xr:uid="{5D8A807E-5F00-485E-98AE-78CEAD5EB818}"/>
    <cellStyle name="Normal 4 4 3 7 3" xfId="6413" xr:uid="{00000000-0005-0000-0000-0000B0150000}"/>
    <cellStyle name="Normal 4 4 3 7 3 2" xfId="15739" xr:uid="{F6E6AF12-EC42-465D-83CA-DCD70C3781C2}"/>
    <cellStyle name="Normal 4 4 3 7 4" xfId="11522" xr:uid="{F43F2FF7-85A3-4598-86E9-8143F33AEEAF}"/>
    <cellStyle name="Normal 4 4 3 8" xfId="2543" xr:uid="{00000000-0005-0000-0000-0000B1150000}"/>
    <cellStyle name="Normal 4 4 3 8 2" xfId="6826" xr:uid="{00000000-0005-0000-0000-0000B2150000}"/>
    <cellStyle name="Normal 4 4 3 8 2 2" xfId="16152" xr:uid="{391C7A94-23BF-43E8-B20D-42FBA7BC3AF0}"/>
    <cellStyle name="Normal 4 4 3 8 3" xfId="11935" xr:uid="{1C34D43A-A163-4F6F-AFEC-06E2271604BA}"/>
    <cellStyle name="Normal 4 4 3 9" xfId="4761" xr:uid="{00000000-0005-0000-0000-0000B3150000}"/>
    <cellStyle name="Normal 4 4 3 9 2" xfId="14087" xr:uid="{94AB0378-6AF9-444E-B6FB-4A6C770F0A2D}"/>
    <cellStyle name="Normal 4 4 4" xfId="391" xr:uid="{00000000-0005-0000-0000-0000B4150000}"/>
    <cellStyle name="Normal 4 4 4 10" xfId="9874" xr:uid="{C7FD2FE3-24E4-49F8-BEF4-EC4E6896C02D}"/>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9455CA71-74A4-41E9-9B52-1CFA3DB50E12}"/>
    <cellStyle name="Normal 4 4 4 2 2 2 3" xfId="12433" xr:uid="{698FD0A1-243C-4218-8467-ED96E7F6A97F}"/>
    <cellStyle name="Normal 4 4 4 2 2 3" xfId="5179" xr:uid="{00000000-0005-0000-0000-0000B9150000}"/>
    <cellStyle name="Normal 4 4 4 2 2 3 2" xfId="14505" xr:uid="{E2BBF47E-C881-48B2-B6D7-82032F3827C7}"/>
    <cellStyle name="Normal 4 4 4 2 2 4" xfId="9484" xr:uid="{69910E0C-08C8-41C5-A6FC-61B52F6CD538}"/>
    <cellStyle name="Normal 4 4 4 2 2 5" xfId="10288" xr:uid="{2A7F519C-7FC0-401D-9FB5-BCF6CE7279A4}"/>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DE01960C-3BC8-4A84-9123-2A5BC21B376C}"/>
    <cellStyle name="Normal 4 4 4 2 3 2 3" xfId="12846" xr:uid="{1A34BD67-E45D-4927-AA9C-3E578365097D}"/>
    <cellStyle name="Normal 4 4 4 2 3 3" xfId="5592" xr:uid="{00000000-0005-0000-0000-0000BD150000}"/>
    <cellStyle name="Normal 4 4 4 2 3 3 2" xfId="14918" xr:uid="{E0CC6CC1-3E87-46B0-901C-08B21C364A8E}"/>
    <cellStyle name="Normal 4 4 4 2 3 4" xfId="10701" xr:uid="{B4FEC2ED-EDC3-4598-8147-8CDDD5D0B128}"/>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048FBAEF-6A1E-4335-B7DC-7B48A176EC1D}"/>
    <cellStyle name="Normal 4 4 4 2 4 2 3" xfId="13259" xr:uid="{AD496B76-9D5D-46BD-89BB-0415E5B625D9}"/>
    <cellStyle name="Normal 4 4 4 2 4 3" xfId="6005" xr:uid="{00000000-0005-0000-0000-0000C1150000}"/>
    <cellStyle name="Normal 4 4 4 2 4 3 2" xfId="15331" xr:uid="{07FADB48-1971-4288-9731-1B14993E4A9E}"/>
    <cellStyle name="Normal 4 4 4 2 4 4" xfId="11114" xr:uid="{979F7B0C-07B7-47DB-8FE8-7F4DECC58BCB}"/>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CF3621C8-D919-41FE-8235-BFA32EAC7844}"/>
    <cellStyle name="Normal 4 4 4 2 5 2 3" xfId="13672" xr:uid="{601732F3-72D0-4B75-ABDE-71CACD8B12D6}"/>
    <cellStyle name="Normal 4 4 4 2 5 3" xfId="6418" xr:uid="{00000000-0005-0000-0000-0000C5150000}"/>
    <cellStyle name="Normal 4 4 4 2 5 3 2" xfId="15744" xr:uid="{4A20B545-E3A0-4B03-B910-9ADC6DC82B5A}"/>
    <cellStyle name="Normal 4 4 4 2 5 4" xfId="11527" xr:uid="{09418AE9-E14A-4900-9C71-8391934ACA4A}"/>
    <cellStyle name="Normal 4 4 4 2 6" xfId="2548" xr:uid="{00000000-0005-0000-0000-0000C6150000}"/>
    <cellStyle name="Normal 4 4 4 2 6 2" xfId="6831" xr:uid="{00000000-0005-0000-0000-0000C7150000}"/>
    <cellStyle name="Normal 4 4 4 2 6 2 2" xfId="16157" xr:uid="{B1A6E59C-C2DB-450B-8568-65A5A8F8E1B2}"/>
    <cellStyle name="Normal 4 4 4 2 6 3" xfId="11940" xr:uid="{6082B909-B3E1-4F07-8CDE-252F9C9FC956}"/>
    <cellStyle name="Normal 4 4 4 2 7" xfId="4766" xr:uid="{00000000-0005-0000-0000-0000C8150000}"/>
    <cellStyle name="Normal 4 4 4 2 7 2" xfId="14092" xr:uid="{7BAFB288-B79B-4F95-9A7E-4B52D2373B04}"/>
    <cellStyle name="Normal 4 4 4 2 8" xfId="9059" xr:uid="{76617FCA-DBA6-4291-BD32-6340A19903F7}"/>
    <cellStyle name="Normal 4 4 4 2 9" xfId="9875" xr:uid="{32DF089C-5BC0-44EF-B2DA-857994A5138D}"/>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59E061B6-CDF7-42F1-99E6-D34693B23DEB}"/>
    <cellStyle name="Normal 4 4 4 3 2 3" xfId="12432" xr:uid="{DB94988B-1851-4CD1-A6D9-8844E712FA05}"/>
    <cellStyle name="Normal 4 4 4 3 3" xfId="5178" xr:uid="{00000000-0005-0000-0000-0000CC150000}"/>
    <cellStyle name="Normal 4 4 4 3 3 2" xfId="14504" xr:uid="{A2B3AF31-8621-492C-9381-2EA25DDB0620}"/>
    <cellStyle name="Normal 4 4 4 3 4" xfId="9277" xr:uid="{DD01CD29-2559-4BCC-919C-99D1D75C445F}"/>
    <cellStyle name="Normal 4 4 4 3 5" xfId="10287" xr:uid="{3854C3AF-F864-4A90-B21A-65CA82CB48AD}"/>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9F39B1D2-3080-4A6C-9932-C406AE581968}"/>
    <cellStyle name="Normal 4 4 4 4 2 3" xfId="12845" xr:uid="{07B2B32A-4E74-4073-87E1-10FF33A3BFD3}"/>
    <cellStyle name="Normal 4 4 4 4 3" xfId="5591" xr:uid="{00000000-0005-0000-0000-0000D0150000}"/>
    <cellStyle name="Normal 4 4 4 4 3 2" xfId="14917" xr:uid="{CC68F37C-5CA7-4F66-AC06-8E60F2682301}"/>
    <cellStyle name="Normal 4 4 4 4 4" xfId="10700" xr:uid="{1967E2CD-104C-4973-B2EA-E3393D36024B}"/>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A5E1B9D1-AF2D-4364-9278-A7F61D971C95}"/>
    <cellStyle name="Normal 4 4 4 5 2 3" xfId="13258" xr:uid="{905D68E9-8CE9-4FC1-A151-6F98AE9B05E8}"/>
    <cellStyle name="Normal 4 4 4 5 3" xfId="6004" xr:uid="{00000000-0005-0000-0000-0000D4150000}"/>
    <cellStyle name="Normal 4 4 4 5 3 2" xfId="15330" xr:uid="{A8834B23-7FB1-49D0-9F0E-2237A139B824}"/>
    <cellStyle name="Normal 4 4 4 5 4" xfId="11113" xr:uid="{14D226E2-6326-4FB1-9909-918D06211E2D}"/>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565DC4C1-243B-4BB7-895D-8B75F68BCB5B}"/>
    <cellStyle name="Normal 4 4 4 6 2 3" xfId="13671" xr:uid="{AD68BE19-BB96-4DDC-BD2E-A0401EF53388}"/>
    <cellStyle name="Normal 4 4 4 6 3" xfId="6417" xr:uid="{00000000-0005-0000-0000-0000D8150000}"/>
    <cellStyle name="Normal 4 4 4 6 3 2" xfId="15743" xr:uid="{21EACD14-2F20-41AB-966D-80D985A30526}"/>
    <cellStyle name="Normal 4 4 4 6 4" xfId="11526" xr:uid="{8F88CFB0-1367-4BBA-9113-F1B9547AC66A}"/>
    <cellStyle name="Normal 4 4 4 7" xfId="2547" xr:uid="{00000000-0005-0000-0000-0000D9150000}"/>
    <cellStyle name="Normal 4 4 4 7 2" xfId="6830" xr:uid="{00000000-0005-0000-0000-0000DA150000}"/>
    <cellStyle name="Normal 4 4 4 7 2 2" xfId="16156" xr:uid="{FE15C8F1-E558-4FBF-B316-49A2146F1E4E}"/>
    <cellStyle name="Normal 4 4 4 7 3" xfId="11939" xr:uid="{172F7EDE-D3F0-4C76-92FA-85029BFF80DB}"/>
    <cellStyle name="Normal 4 4 4 8" xfId="4765" xr:uid="{00000000-0005-0000-0000-0000DB150000}"/>
    <cellStyle name="Normal 4 4 4 8 2" xfId="14091" xr:uid="{5EDC6C0E-A761-45A2-98C4-B4FC8848E556}"/>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785FCD56-DF62-479C-8276-3F091E3F8F35}"/>
    <cellStyle name="Normal 4 4 5 2 2 3" xfId="12434" xr:uid="{6B8BDF9F-C4DD-4263-A74D-55708DED4481}"/>
    <cellStyle name="Normal 4 4 5 2 3" xfId="5180" xr:uid="{00000000-0005-0000-0000-0000E0150000}"/>
    <cellStyle name="Normal 4 4 5 2 3 2" xfId="14506" xr:uid="{496CD5B7-D7F5-484C-A0E4-8EF4EDDF6ED1}"/>
    <cellStyle name="Normal 4 4 5 2 4" xfId="9393" xr:uid="{C2991CC4-4E0B-46C4-B338-C6A1C9BA2DE9}"/>
    <cellStyle name="Normal 4 4 5 2 5" xfId="10289" xr:uid="{CFC0A88D-4A11-46B4-93FC-86B739354849}"/>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EE11B74A-0AF5-473E-9295-435FEBC585DC}"/>
    <cellStyle name="Normal 4 4 5 3 2 3" xfId="12847" xr:uid="{73A952B8-7161-4189-96D8-B11ED6D9B7C0}"/>
    <cellStyle name="Normal 4 4 5 3 3" xfId="5593" xr:uid="{00000000-0005-0000-0000-0000E4150000}"/>
    <cellStyle name="Normal 4 4 5 3 3 2" xfId="14919" xr:uid="{D0087425-F040-4379-BAC8-727E02E716FA}"/>
    <cellStyle name="Normal 4 4 5 3 4" xfId="10702" xr:uid="{ACEE6999-E840-4ECC-B81D-1BE62884A4BD}"/>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B8689E8F-DE5D-49C7-AFEC-9791FC023727}"/>
    <cellStyle name="Normal 4 4 5 4 2 3" xfId="13260" xr:uid="{C3300157-1BEB-4766-B0A2-4EF5CD83A42E}"/>
    <cellStyle name="Normal 4 4 5 4 3" xfId="6006" xr:uid="{00000000-0005-0000-0000-0000E8150000}"/>
    <cellStyle name="Normal 4 4 5 4 3 2" xfId="15332" xr:uid="{E5655BBB-F01C-423F-92BF-09CB6F1F3ADC}"/>
    <cellStyle name="Normal 4 4 5 4 4" xfId="11115" xr:uid="{BE0F1C1B-CF54-43F0-B4A7-9FCC9335B3D0}"/>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7D4469B6-31E7-4039-8B11-C8CEC2F73DB1}"/>
    <cellStyle name="Normal 4 4 5 5 2 3" xfId="13673" xr:uid="{AE1BF314-1B33-4E23-AE5A-C28BE6FCD737}"/>
    <cellStyle name="Normal 4 4 5 5 3" xfId="6419" xr:uid="{00000000-0005-0000-0000-0000EC150000}"/>
    <cellStyle name="Normal 4 4 5 5 3 2" xfId="15745" xr:uid="{C07200AA-A8C0-4E55-94AD-B15E16150EF6}"/>
    <cellStyle name="Normal 4 4 5 5 4" xfId="11528" xr:uid="{B0A23E2C-E2F9-4A71-8ADA-92E5F3718D50}"/>
    <cellStyle name="Normal 4 4 5 6" xfId="2549" xr:uid="{00000000-0005-0000-0000-0000ED150000}"/>
    <cellStyle name="Normal 4 4 5 6 2" xfId="6832" xr:uid="{00000000-0005-0000-0000-0000EE150000}"/>
    <cellStyle name="Normal 4 4 5 6 2 2" xfId="16158" xr:uid="{67534EFA-5E5E-4A90-9CFA-0DA015B8EE6C}"/>
    <cellStyle name="Normal 4 4 5 6 3" xfId="11941" xr:uid="{66B20A1A-943D-44C8-A2A9-18D6E3CC447A}"/>
    <cellStyle name="Normal 4 4 5 7" xfId="4767" xr:uid="{00000000-0005-0000-0000-0000EF150000}"/>
    <cellStyle name="Normal 4 4 5 7 2" xfId="14093" xr:uid="{F00D4407-99F0-43C9-A430-2B03DB957EC5}"/>
    <cellStyle name="Normal 4 4 5 8" xfId="8968" xr:uid="{BE877DDE-435D-4CBA-84F2-0372D1DDE771}"/>
    <cellStyle name="Normal 4 4 5 9" xfId="9876" xr:uid="{F95000E3-AA49-4562-96C4-BF8DA7AADAFE}"/>
    <cellStyle name="Normal 4 4 6" xfId="853" xr:uid="{00000000-0005-0000-0000-0000F0150000}"/>
    <cellStyle name="Normal 4 4 6 2" xfId="3088" xr:uid="{00000000-0005-0000-0000-0000F1150000}"/>
    <cellStyle name="Normal 4 4 6 2 2" xfId="7310" xr:uid="{00000000-0005-0000-0000-0000F2150000}"/>
    <cellStyle name="Normal 4 4 6 2 2 2" xfId="16636" xr:uid="{FEFAEB4B-AF16-40DB-B304-B9848C86F92A}"/>
    <cellStyle name="Normal 4 4 6 2 3" xfId="12419" xr:uid="{183D36C9-A015-4F07-AAA5-F0595AEEB22C}"/>
    <cellStyle name="Normal 4 4 6 3" xfId="5165" xr:uid="{00000000-0005-0000-0000-0000F3150000}"/>
    <cellStyle name="Normal 4 4 6 3 2" xfId="14491" xr:uid="{2DACD298-4776-48B8-BEFF-C88D892D79E9}"/>
    <cellStyle name="Normal 4 4 6 4" xfId="9171" xr:uid="{C474601B-95F0-4C9E-AB77-B3E61D2A21D7}"/>
    <cellStyle name="Normal 4 4 6 5" xfId="10274" xr:uid="{99E30768-08A0-4A88-ABBD-B09E4E7A4F7E}"/>
    <cellStyle name="Normal 4 4 7" xfId="1271" xr:uid="{00000000-0005-0000-0000-0000F4150000}"/>
    <cellStyle name="Normal 4 4 7 2" xfId="3501" xr:uid="{00000000-0005-0000-0000-0000F5150000}"/>
    <cellStyle name="Normal 4 4 7 2 2" xfId="7723" xr:uid="{00000000-0005-0000-0000-0000F6150000}"/>
    <cellStyle name="Normal 4 4 7 2 2 2" xfId="17049" xr:uid="{BA73F218-B53C-4654-A07C-FBAD3221D5F9}"/>
    <cellStyle name="Normal 4 4 7 2 3" xfId="12832" xr:uid="{BFBA2790-87BE-4B24-ABF1-B53267522FDB}"/>
    <cellStyle name="Normal 4 4 7 3" xfId="5578" xr:uid="{00000000-0005-0000-0000-0000F7150000}"/>
    <cellStyle name="Normal 4 4 7 3 2" xfId="14904" xr:uid="{DA85A155-3302-4DC6-A80A-483F264FBF20}"/>
    <cellStyle name="Normal 4 4 7 4" xfId="10687" xr:uid="{A92036F7-9556-46AB-8580-9AB34E3D9A46}"/>
    <cellStyle name="Normal 4 4 8" xfId="1684" xr:uid="{00000000-0005-0000-0000-0000F8150000}"/>
    <cellStyle name="Normal 4 4 8 2" xfId="3914" xr:uid="{00000000-0005-0000-0000-0000F9150000}"/>
    <cellStyle name="Normal 4 4 8 2 2" xfId="8136" xr:uid="{00000000-0005-0000-0000-0000FA150000}"/>
    <cellStyle name="Normal 4 4 8 2 2 2" xfId="17462" xr:uid="{492A8EC6-7B30-456A-9781-25B1F89DC903}"/>
    <cellStyle name="Normal 4 4 8 2 3" xfId="13245" xr:uid="{6FDDB6D4-D9C6-4F4D-BB2D-7E01C1D9568F}"/>
    <cellStyle name="Normal 4 4 8 3" xfId="5991" xr:uid="{00000000-0005-0000-0000-0000FB150000}"/>
    <cellStyle name="Normal 4 4 8 3 2" xfId="15317" xr:uid="{36FB1452-DC1D-46F9-B966-03AD7E33D88E}"/>
    <cellStyle name="Normal 4 4 8 4" xfId="11100" xr:uid="{9487A1C6-64CF-4251-80E9-9FE0A9619D42}"/>
    <cellStyle name="Normal 4 4 9" xfId="2098" xr:uid="{00000000-0005-0000-0000-0000FC150000}"/>
    <cellStyle name="Normal 4 4 9 2" xfId="4327" xr:uid="{00000000-0005-0000-0000-0000FD150000}"/>
    <cellStyle name="Normal 4 4 9 2 2" xfId="8549" xr:uid="{00000000-0005-0000-0000-0000FE150000}"/>
    <cellStyle name="Normal 4 4 9 2 2 2" xfId="17875" xr:uid="{C3F8069D-E0DA-4197-BA70-F8AF41ABBF22}"/>
    <cellStyle name="Normal 4 4 9 2 3" xfId="13658" xr:uid="{F3D1F8EE-BE37-4712-A57C-C063DE9FB306}"/>
    <cellStyle name="Normal 4 4 9 3" xfId="6404" xr:uid="{00000000-0005-0000-0000-0000FF150000}"/>
    <cellStyle name="Normal 4 4 9 3 2" xfId="15730" xr:uid="{2826BD90-93EF-4F30-AF69-4AB6D406465C}"/>
    <cellStyle name="Normal 4 4 9 4" xfId="11513" xr:uid="{611F45EB-D879-4B7C-8CB2-E8E1EDC878B3}"/>
    <cellStyle name="Normal 4 5" xfId="394" xr:uid="{00000000-0005-0000-0000-000000160000}"/>
    <cellStyle name="Normal 4 6" xfId="395" xr:uid="{00000000-0005-0000-0000-000001160000}"/>
    <cellStyle name="Normal 4 6 10" xfId="4768" xr:uid="{00000000-0005-0000-0000-000002160000}"/>
    <cellStyle name="Normal 4 6 10 2" xfId="14094" xr:uid="{659C751E-CD60-4322-9822-4FE5FF77ED53}"/>
    <cellStyle name="Normal 4 6 11" xfId="8772" xr:uid="{23628FEE-4113-4B2C-B2A0-0106FC7F55C2}"/>
    <cellStyle name="Normal 4 6 12" xfId="9877" xr:uid="{E8F16383-5F12-4B1C-A07F-F0BFA1E2ACF2}"/>
    <cellStyle name="Normal 4 6 2" xfId="396" xr:uid="{00000000-0005-0000-0000-000003160000}"/>
    <cellStyle name="Normal 4 6 2 10" xfId="8825" xr:uid="{C3062495-9D56-441B-95F6-B73E7DAC524C}"/>
    <cellStyle name="Normal 4 6 2 11" xfId="9878" xr:uid="{B97AC65B-9DFE-435E-A8EA-6DB33C66E4A3}"/>
    <cellStyle name="Normal 4 6 2 2" xfId="397" xr:uid="{00000000-0005-0000-0000-000004160000}"/>
    <cellStyle name="Normal 4 6 2 2 10" xfId="9879" xr:uid="{89C7A233-48DC-4F26-9806-AEAD766166A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8A2D01FD-4FF6-4393-AE42-B39F135DD1BC}"/>
    <cellStyle name="Normal 4 6 2 2 2 2 2 3" xfId="12438" xr:uid="{57D808A7-0BA6-4490-A13A-F80A6C107348}"/>
    <cellStyle name="Normal 4 6 2 2 2 2 3" xfId="5184" xr:uid="{00000000-0005-0000-0000-000009160000}"/>
    <cellStyle name="Normal 4 6 2 2 2 2 3 2" xfId="14510" xr:uid="{E81E8964-78E6-467B-921C-5017F8E9B629}"/>
    <cellStyle name="Normal 4 6 2 2 2 2 4" xfId="9560" xr:uid="{04DAEE11-A96E-4522-8546-8A0C107E12B9}"/>
    <cellStyle name="Normal 4 6 2 2 2 2 5" xfId="10293" xr:uid="{DED9B9B8-F602-41EF-842E-4E674F11AB5F}"/>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F0CA0B9D-E2AD-4ADA-B3E3-6ACAB5D3AD6A}"/>
    <cellStyle name="Normal 4 6 2 2 2 3 2 3" xfId="12851" xr:uid="{9CBE70E5-E17E-4F33-8759-831578425B45}"/>
    <cellStyle name="Normal 4 6 2 2 2 3 3" xfId="5597" xr:uid="{00000000-0005-0000-0000-00000D160000}"/>
    <cellStyle name="Normal 4 6 2 2 2 3 3 2" xfId="14923" xr:uid="{59360659-58A2-4E00-AEFF-CDF1A7357015}"/>
    <cellStyle name="Normal 4 6 2 2 2 3 4" xfId="10706" xr:uid="{031D0C27-E94C-4704-9887-3E6C057A109E}"/>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001700C3-3559-4D3D-B7D5-5328EDE253CE}"/>
    <cellStyle name="Normal 4 6 2 2 2 4 2 3" xfId="13264" xr:uid="{44226F8E-DB96-4405-A797-5DF2A41B2599}"/>
    <cellStyle name="Normal 4 6 2 2 2 4 3" xfId="6010" xr:uid="{00000000-0005-0000-0000-000011160000}"/>
    <cellStyle name="Normal 4 6 2 2 2 4 3 2" xfId="15336" xr:uid="{473BBE1F-0410-4296-9C73-0D33FA0FBFE9}"/>
    <cellStyle name="Normal 4 6 2 2 2 4 4" xfId="11119" xr:uid="{999D161C-5F1E-44C3-9CED-5E2433ECCF6B}"/>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728AC2CE-46F3-4B8A-B3DE-EA54F88FDB74}"/>
    <cellStyle name="Normal 4 6 2 2 2 5 2 3" xfId="13677" xr:uid="{9F0D05DD-C077-4A30-AB8B-34E7E8D80BCF}"/>
    <cellStyle name="Normal 4 6 2 2 2 5 3" xfId="6423" xr:uid="{00000000-0005-0000-0000-000015160000}"/>
    <cellStyle name="Normal 4 6 2 2 2 5 3 2" xfId="15749" xr:uid="{81E79D1A-16C8-439E-8594-09691569FC87}"/>
    <cellStyle name="Normal 4 6 2 2 2 5 4" xfId="11532" xr:uid="{11EE0A53-D559-4EE5-A08F-F2937B227821}"/>
    <cellStyle name="Normal 4 6 2 2 2 6" xfId="2553" xr:uid="{00000000-0005-0000-0000-000016160000}"/>
    <cellStyle name="Normal 4 6 2 2 2 6 2" xfId="6836" xr:uid="{00000000-0005-0000-0000-000017160000}"/>
    <cellStyle name="Normal 4 6 2 2 2 6 2 2" xfId="16162" xr:uid="{C944DE93-DE32-4F15-858B-1A8829161DA0}"/>
    <cellStyle name="Normal 4 6 2 2 2 6 3" xfId="11945" xr:uid="{B5479A88-A1FE-4A91-B622-66C96FF65671}"/>
    <cellStyle name="Normal 4 6 2 2 2 7" xfId="4771" xr:uid="{00000000-0005-0000-0000-000018160000}"/>
    <cellStyle name="Normal 4 6 2 2 2 7 2" xfId="14097" xr:uid="{96FDF49F-FF6A-4ADB-AA3A-9E7E6CC3EACC}"/>
    <cellStyle name="Normal 4 6 2 2 2 8" xfId="9135" xr:uid="{2F4C420F-13DD-45DD-99DD-C7AFF7CD7823}"/>
    <cellStyle name="Normal 4 6 2 2 2 9" xfId="9880" xr:uid="{E74FFC03-064F-4867-89B3-4538EF3AD5DF}"/>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5CCE3E57-9B3F-42E3-819A-1133431D206E}"/>
    <cellStyle name="Normal 4 6 2 2 3 2 3" xfId="12437" xr:uid="{41A58498-362A-4DE9-8716-E3F92FF23088}"/>
    <cellStyle name="Normal 4 6 2 2 3 3" xfId="5183" xr:uid="{00000000-0005-0000-0000-00001C160000}"/>
    <cellStyle name="Normal 4 6 2 2 3 3 2" xfId="14509" xr:uid="{DA84F31F-8A7B-4289-AD14-73D02AC334AF}"/>
    <cellStyle name="Normal 4 6 2 2 3 4" xfId="9353" xr:uid="{60C7EC16-17DE-43AF-A246-41C667B376B7}"/>
    <cellStyle name="Normal 4 6 2 2 3 5" xfId="10292" xr:uid="{AE5CE309-A7CC-4E01-B86E-90C6DDA43A0B}"/>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7A1DA01C-9F7D-4950-B810-1A3B7ED68F68}"/>
    <cellStyle name="Normal 4 6 2 2 4 2 3" xfId="12850" xr:uid="{23FC6E8E-3C43-4B55-AF1F-67EAC4F242DB}"/>
    <cellStyle name="Normal 4 6 2 2 4 3" xfId="5596" xr:uid="{00000000-0005-0000-0000-000020160000}"/>
    <cellStyle name="Normal 4 6 2 2 4 3 2" xfId="14922" xr:uid="{59E34DF6-3369-4A59-8F72-72743D424625}"/>
    <cellStyle name="Normal 4 6 2 2 4 4" xfId="10705" xr:uid="{37427EEA-DACA-4C23-A3D9-BC98F751F759}"/>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3430E919-C3AA-4FA7-81F9-DEC454BC2D8A}"/>
    <cellStyle name="Normal 4 6 2 2 5 2 3" xfId="13263" xr:uid="{07474471-738F-42C7-8D90-FC1BF6C07CD9}"/>
    <cellStyle name="Normal 4 6 2 2 5 3" xfId="6009" xr:uid="{00000000-0005-0000-0000-000024160000}"/>
    <cellStyle name="Normal 4 6 2 2 5 3 2" xfId="15335" xr:uid="{5E3FE30E-3291-48D2-A23D-F9145CE26369}"/>
    <cellStyle name="Normal 4 6 2 2 5 4" xfId="11118" xr:uid="{AB21022A-184D-40AC-A6F4-539E3CF5CEB4}"/>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0822EF72-D62C-4493-942C-B26186717DAA}"/>
    <cellStyle name="Normal 4 6 2 2 6 2 3" xfId="13676" xr:uid="{159FE5B0-A071-4195-8581-EE9764CE7EB8}"/>
    <cellStyle name="Normal 4 6 2 2 6 3" xfId="6422" xr:uid="{00000000-0005-0000-0000-000028160000}"/>
    <cellStyle name="Normal 4 6 2 2 6 3 2" xfId="15748" xr:uid="{57DF1734-B2C2-4C84-9F38-AEA7C3013A0C}"/>
    <cellStyle name="Normal 4 6 2 2 6 4" xfId="11531" xr:uid="{9F4CF0F6-5F8A-4ECC-9AC8-C26DA5985CF2}"/>
    <cellStyle name="Normal 4 6 2 2 7" xfId="2552" xr:uid="{00000000-0005-0000-0000-000029160000}"/>
    <cellStyle name="Normal 4 6 2 2 7 2" xfId="6835" xr:uid="{00000000-0005-0000-0000-00002A160000}"/>
    <cellStyle name="Normal 4 6 2 2 7 2 2" xfId="16161" xr:uid="{84D74DE5-0698-4760-ADB4-98AC510A0DA7}"/>
    <cellStyle name="Normal 4 6 2 2 7 3" xfId="11944" xr:uid="{CC7D3411-1937-402D-BCD8-981DEFBCBAA4}"/>
    <cellStyle name="Normal 4 6 2 2 8" xfId="4770" xr:uid="{00000000-0005-0000-0000-00002B160000}"/>
    <cellStyle name="Normal 4 6 2 2 8 2" xfId="14096" xr:uid="{49B10A9B-1F21-472C-B1B4-0DDAA87D2D95}"/>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A296876E-B0B6-435E-83F0-01A51D6E3CB4}"/>
    <cellStyle name="Normal 4 6 2 3 2 2 3" xfId="12439" xr:uid="{4627EB28-0D80-4F83-A596-070A473F980A}"/>
    <cellStyle name="Normal 4 6 2 3 2 3" xfId="5185" xr:uid="{00000000-0005-0000-0000-000030160000}"/>
    <cellStyle name="Normal 4 6 2 3 2 3 2" xfId="14511" xr:uid="{A713B3B7-D5F9-4921-8F2A-2CA7DAD2BC0D}"/>
    <cellStyle name="Normal 4 6 2 3 2 4" xfId="9457" xr:uid="{E86AED2D-42AD-49DE-9461-1FA72B82C89E}"/>
    <cellStyle name="Normal 4 6 2 3 2 5" xfId="10294" xr:uid="{7D3A6896-CF39-402C-99C0-CE208A223102}"/>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C5FCA7C8-65D2-4ED6-B165-A6A8F3292395}"/>
    <cellStyle name="Normal 4 6 2 3 3 2 3" xfId="12852" xr:uid="{3704B572-ABFF-4F24-8BD8-A6FBCF35CD10}"/>
    <cellStyle name="Normal 4 6 2 3 3 3" xfId="5598" xr:uid="{00000000-0005-0000-0000-000034160000}"/>
    <cellStyle name="Normal 4 6 2 3 3 3 2" xfId="14924" xr:uid="{A330117A-62C7-4ACC-8602-92CDB30DEF01}"/>
    <cellStyle name="Normal 4 6 2 3 3 4" xfId="10707" xr:uid="{6A2A6CA2-F89B-4E01-B48E-07DB5445F802}"/>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7FED9CDF-1375-4663-BF06-B216E79B73A3}"/>
    <cellStyle name="Normal 4 6 2 3 4 2 3" xfId="13265" xr:uid="{429385C3-E612-42E9-B918-63405813EC1E}"/>
    <cellStyle name="Normal 4 6 2 3 4 3" xfId="6011" xr:uid="{00000000-0005-0000-0000-000038160000}"/>
    <cellStyle name="Normal 4 6 2 3 4 3 2" xfId="15337" xr:uid="{F4BFF9CE-CABA-40A0-83CA-B1BA281D7D50}"/>
    <cellStyle name="Normal 4 6 2 3 4 4" xfId="11120" xr:uid="{CA53AAB3-E646-4D39-A8F9-94C78499C62F}"/>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DEBCEC59-D9FA-42C4-BFBA-0C6CE2F271D7}"/>
    <cellStyle name="Normal 4 6 2 3 5 2 3" xfId="13678" xr:uid="{593CB2E8-9141-415D-B46C-3564208B3A96}"/>
    <cellStyle name="Normal 4 6 2 3 5 3" xfId="6424" xr:uid="{00000000-0005-0000-0000-00003C160000}"/>
    <cellStyle name="Normal 4 6 2 3 5 3 2" xfId="15750" xr:uid="{37758771-DC77-4B79-A657-19E5B64E34DB}"/>
    <cellStyle name="Normal 4 6 2 3 5 4" xfId="11533" xr:uid="{7C704559-134C-48C1-BCE2-7CDB908A9522}"/>
    <cellStyle name="Normal 4 6 2 3 6" xfId="2554" xr:uid="{00000000-0005-0000-0000-00003D160000}"/>
    <cellStyle name="Normal 4 6 2 3 6 2" xfId="6837" xr:uid="{00000000-0005-0000-0000-00003E160000}"/>
    <cellStyle name="Normal 4 6 2 3 6 2 2" xfId="16163" xr:uid="{601F9999-2856-4AF4-B300-9D0119729F32}"/>
    <cellStyle name="Normal 4 6 2 3 6 3" xfId="11946" xr:uid="{8559BB04-B3E5-4829-9A15-A10BCEFBF551}"/>
    <cellStyle name="Normal 4 6 2 3 7" xfId="4772" xr:uid="{00000000-0005-0000-0000-00003F160000}"/>
    <cellStyle name="Normal 4 6 2 3 7 2" xfId="14098" xr:uid="{7DA67EAC-45D7-46A0-8930-06A2008F9375}"/>
    <cellStyle name="Normal 4 6 2 3 8" xfId="9032" xr:uid="{576A1DC5-5971-4772-803F-0A60F80D4C41}"/>
    <cellStyle name="Normal 4 6 2 3 9" xfId="9881" xr:uid="{B4366151-3356-4807-83DE-44A3DB082A65}"/>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05FD3491-5F70-45CF-98AF-A6D4CC380682}"/>
    <cellStyle name="Normal 4 6 2 4 2 3" xfId="12436" xr:uid="{AE8CA910-39C6-4179-A18B-10A35FBF2995}"/>
    <cellStyle name="Normal 4 6 2 4 3" xfId="5182" xr:uid="{00000000-0005-0000-0000-000043160000}"/>
    <cellStyle name="Normal 4 6 2 4 3 2" xfId="14508" xr:uid="{F4C86137-D1F3-4A25-83A8-23E576047BCB}"/>
    <cellStyle name="Normal 4 6 2 4 4" xfId="9250" xr:uid="{CBBC9A51-5203-4C00-93C7-FE7C973DCDD1}"/>
    <cellStyle name="Normal 4 6 2 4 5" xfId="10291" xr:uid="{C306C4A0-738A-4C98-BF67-140BF97785EF}"/>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5C248A27-DCBE-4F3E-B0AE-92C6CFE6FEE3}"/>
    <cellStyle name="Normal 4 6 2 5 2 3" xfId="12849" xr:uid="{7AADA5B6-AEA1-4B6B-B0BA-694ED0988A01}"/>
    <cellStyle name="Normal 4 6 2 5 3" xfId="5595" xr:uid="{00000000-0005-0000-0000-000047160000}"/>
    <cellStyle name="Normal 4 6 2 5 3 2" xfId="14921" xr:uid="{5E344B23-B371-4CA3-837E-2CA634A66B2F}"/>
    <cellStyle name="Normal 4 6 2 5 4" xfId="10704" xr:uid="{6BF4893D-AFBE-4851-AACD-6FE1512E5DEF}"/>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C7AE65F2-3946-4EF6-B619-914062B3AFFE}"/>
    <cellStyle name="Normal 4 6 2 6 2 3" xfId="13262" xr:uid="{E0D48827-71CC-426A-AAF1-95A4CA29ADE9}"/>
    <cellStyle name="Normal 4 6 2 6 3" xfId="6008" xr:uid="{00000000-0005-0000-0000-00004B160000}"/>
    <cellStyle name="Normal 4 6 2 6 3 2" xfId="15334" xr:uid="{E0D8D88B-CA55-483F-A244-4AA3EF73D21A}"/>
    <cellStyle name="Normal 4 6 2 6 4" xfId="11117" xr:uid="{041B7A7F-46C7-4FD1-AE0A-CC5DA813A3C1}"/>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0F294BE7-9216-420D-A2F3-3873AF7EA705}"/>
    <cellStyle name="Normal 4 6 2 7 2 3" xfId="13675" xr:uid="{76ED18DC-58D8-4864-8483-B8FBB34F7AF0}"/>
    <cellStyle name="Normal 4 6 2 7 3" xfId="6421" xr:uid="{00000000-0005-0000-0000-00004F160000}"/>
    <cellStyle name="Normal 4 6 2 7 3 2" xfId="15747" xr:uid="{EF5C5B2A-84D2-44C4-9676-805D74DAF8B8}"/>
    <cellStyle name="Normal 4 6 2 7 4" xfId="11530" xr:uid="{16B75CB0-7B79-421C-983D-D1D6AC1E004D}"/>
    <cellStyle name="Normal 4 6 2 8" xfId="2551" xr:uid="{00000000-0005-0000-0000-000050160000}"/>
    <cellStyle name="Normal 4 6 2 8 2" xfId="6834" xr:uid="{00000000-0005-0000-0000-000051160000}"/>
    <cellStyle name="Normal 4 6 2 8 2 2" xfId="16160" xr:uid="{232FC8F2-E6DE-4C36-85D6-147797BBDAEA}"/>
    <cellStyle name="Normal 4 6 2 8 3" xfId="11943" xr:uid="{5006E8D8-AAC7-4709-8C5C-A05377BC602C}"/>
    <cellStyle name="Normal 4 6 2 9" xfId="4769" xr:uid="{00000000-0005-0000-0000-000052160000}"/>
    <cellStyle name="Normal 4 6 2 9 2" xfId="14095" xr:uid="{786A8230-C468-4B19-BBB1-3EE081D09BDC}"/>
    <cellStyle name="Normal 4 6 3" xfId="400" xr:uid="{00000000-0005-0000-0000-000053160000}"/>
    <cellStyle name="Normal 4 6 3 10" xfId="9882" xr:uid="{E1D4A9C5-73FC-41DB-A3B4-55AED21278BA}"/>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41B7AE71-E911-425E-A4D7-C94C7BF3B278}"/>
    <cellStyle name="Normal 4 6 3 2 2 2 3" xfId="12441" xr:uid="{C805C7D0-3625-473E-BBCA-9F5B070B0456}"/>
    <cellStyle name="Normal 4 6 3 2 2 3" xfId="5187" xr:uid="{00000000-0005-0000-0000-000058160000}"/>
    <cellStyle name="Normal 4 6 3 2 2 3 2" xfId="14513" xr:uid="{812BA4BC-0939-41C9-800A-9FB9D09BAAD4}"/>
    <cellStyle name="Normal 4 6 3 2 2 4" xfId="9507" xr:uid="{63E4C3EA-8BE6-4CDE-9E44-1D64049D4CF5}"/>
    <cellStyle name="Normal 4 6 3 2 2 5" xfId="10296" xr:uid="{335883B2-DDC6-44DE-8610-133FB3BB2C77}"/>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09156BA4-8488-4B3A-BA7B-9244BED9C1EC}"/>
    <cellStyle name="Normal 4 6 3 2 3 2 3" xfId="12854" xr:uid="{771CC3D9-59FF-423E-9129-56B85F061A87}"/>
    <cellStyle name="Normal 4 6 3 2 3 3" xfId="5600" xr:uid="{00000000-0005-0000-0000-00005C160000}"/>
    <cellStyle name="Normal 4 6 3 2 3 3 2" xfId="14926" xr:uid="{BDEDCFC2-8B85-4B9E-A23E-39A0DDCC629E}"/>
    <cellStyle name="Normal 4 6 3 2 3 4" xfId="10709" xr:uid="{FA2424B9-2A8D-4CBB-81A1-056B498ADBB3}"/>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83D3B959-E100-42F2-9F3E-D630A273C0EF}"/>
    <cellStyle name="Normal 4 6 3 2 4 2 3" xfId="13267" xr:uid="{38B6EB8D-012C-479D-BA3D-411890EC6FE0}"/>
    <cellStyle name="Normal 4 6 3 2 4 3" xfId="6013" xr:uid="{00000000-0005-0000-0000-000060160000}"/>
    <cellStyle name="Normal 4 6 3 2 4 3 2" xfId="15339" xr:uid="{8CCE2118-E1E0-492A-ADD4-7E82927E21EB}"/>
    <cellStyle name="Normal 4 6 3 2 4 4" xfId="11122" xr:uid="{9F98719B-E3EC-4F2A-AD39-3B1E3B300966}"/>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6A031312-0F34-4D64-BF72-3CDA27A427D7}"/>
    <cellStyle name="Normal 4 6 3 2 5 2 3" xfId="13680" xr:uid="{1451909C-789D-4693-B364-536E847DFEEA}"/>
    <cellStyle name="Normal 4 6 3 2 5 3" xfId="6426" xr:uid="{00000000-0005-0000-0000-000064160000}"/>
    <cellStyle name="Normal 4 6 3 2 5 3 2" xfId="15752" xr:uid="{CC01875E-B057-4B67-9809-68650308219C}"/>
    <cellStyle name="Normal 4 6 3 2 5 4" xfId="11535" xr:uid="{D57F921F-3BCD-493D-91B4-9BA5F71FB708}"/>
    <cellStyle name="Normal 4 6 3 2 6" xfId="2556" xr:uid="{00000000-0005-0000-0000-000065160000}"/>
    <cellStyle name="Normal 4 6 3 2 6 2" xfId="6839" xr:uid="{00000000-0005-0000-0000-000066160000}"/>
    <cellStyle name="Normal 4 6 3 2 6 2 2" xfId="16165" xr:uid="{FBA4A1C0-3454-465F-B35E-DAA05AF35E0A}"/>
    <cellStyle name="Normal 4 6 3 2 6 3" xfId="11948" xr:uid="{98BAD2E9-651F-4F97-A6D3-003758F43416}"/>
    <cellStyle name="Normal 4 6 3 2 7" xfId="4774" xr:uid="{00000000-0005-0000-0000-000067160000}"/>
    <cellStyle name="Normal 4 6 3 2 7 2" xfId="14100" xr:uid="{57C03E12-C7CD-4010-8C5B-31FBE83F38C5}"/>
    <cellStyle name="Normal 4 6 3 2 8" xfId="9082" xr:uid="{B272D1AE-3713-4AD0-AE3F-D1A7344AD432}"/>
    <cellStyle name="Normal 4 6 3 2 9" xfId="9883" xr:uid="{A7904670-033F-4045-8E1A-8B5C0F10D95D}"/>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F9DC4038-84B0-4A5F-8FE5-FF7E5DEBB710}"/>
    <cellStyle name="Normal 4 6 3 3 2 3" xfId="12440" xr:uid="{0666C47C-AF59-4B9C-A890-21558FA676D9}"/>
    <cellStyle name="Normal 4 6 3 3 3" xfId="5186" xr:uid="{00000000-0005-0000-0000-00006B160000}"/>
    <cellStyle name="Normal 4 6 3 3 3 2" xfId="14512" xr:uid="{3ACDB74A-A986-492B-A98C-DCF71CAF7408}"/>
    <cellStyle name="Normal 4 6 3 3 4" xfId="9300" xr:uid="{955A2E97-C871-4115-A4F5-A642AE2D2C4B}"/>
    <cellStyle name="Normal 4 6 3 3 5" xfId="10295" xr:uid="{822F539F-2FDA-49DC-AC95-105855882CBE}"/>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1917A97D-96DD-4610-8799-0D4B7507F65C}"/>
    <cellStyle name="Normal 4 6 3 4 2 3" xfId="12853" xr:uid="{83FF6C68-8A07-4040-B5D1-DD5F3C16D0F0}"/>
    <cellStyle name="Normal 4 6 3 4 3" xfId="5599" xr:uid="{00000000-0005-0000-0000-00006F160000}"/>
    <cellStyle name="Normal 4 6 3 4 3 2" xfId="14925" xr:uid="{E641E33D-3C0E-4633-AAAF-FA603DE2825D}"/>
    <cellStyle name="Normal 4 6 3 4 4" xfId="10708" xr:uid="{3ADB1FF5-1BD1-4A5D-8B67-C2F6B933800B}"/>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1D555730-826E-4C6A-A20F-371184F293C9}"/>
    <cellStyle name="Normal 4 6 3 5 2 3" xfId="13266" xr:uid="{359A0EE1-560A-4216-9391-19B20BA2EA45}"/>
    <cellStyle name="Normal 4 6 3 5 3" xfId="6012" xr:uid="{00000000-0005-0000-0000-000073160000}"/>
    <cellStyle name="Normal 4 6 3 5 3 2" xfId="15338" xr:uid="{AF3A1473-2DA0-4481-8A4F-93E2E48CB7F7}"/>
    <cellStyle name="Normal 4 6 3 5 4" xfId="11121" xr:uid="{39D6CAB7-4249-4136-B8E0-12BC376AEB75}"/>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5FA680B0-F8F3-4C9C-9B87-5C358C972DF5}"/>
    <cellStyle name="Normal 4 6 3 6 2 3" xfId="13679" xr:uid="{96A55212-080E-4236-A12C-93CC9E3F7EED}"/>
    <cellStyle name="Normal 4 6 3 6 3" xfId="6425" xr:uid="{00000000-0005-0000-0000-000077160000}"/>
    <cellStyle name="Normal 4 6 3 6 3 2" xfId="15751" xr:uid="{F4E41679-302D-4AF1-8FF8-CD2EBA5E2133}"/>
    <cellStyle name="Normal 4 6 3 6 4" xfId="11534" xr:uid="{A9BBC99A-7109-4695-91C7-43F7F86159CC}"/>
    <cellStyle name="Normal 4 6 3 7" xfId="2555" xr:uid="{00000000-0005-0000-0000-000078160000}"/>
    <cellStyle name="Normal 4 6 3 7 2" xfId="6838" xr:uid="{00000000-0005-0000-0000-000079160000}"/>
    <cellStyle name="Normal 4 6 3 7 2 2" xfId="16164" xr:uid="{513381F1-8F6A-4FAF-A642-A1410EBC5D8C}"/>
    <cellStyle name="Normal 4 6 3 7 3" xfId="11947" xr:uid="{69DA6632-1CB4-4BB5-9179-05036EAB229C}"/>
    <cellStyle name="Normal 4 6 3 8" xfId="4773" xr:uid="{00000000-0005-0000-0000-00007A160000}"/>
    <cellStyle name="Normal 4 6 3 8 2" xfId="14099" xr:uid="{2543BE7D-223F-491A-9FCC-5D8DC387CEDF}"/>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E6754ED0-EE8C-427F-BE32-97C881B2E712}"/>
    <cellStyle name="Normal 4 6 4 2 2 3" xfId="12442" xr:uid="{E9FA69F2-A0F3-4D8E-A08C-9C3B286B5C24}"/>
    <cellStyle name="Normal 4 6 4 2 3" xfId="5188" xr:uid="{00000000-0005-0000-0000-00007F160000}"/>
    <cellStyle name="Normal 4 6 4 2 3 2" xfId="14514" xr:uid="{17FE74A4-D35B-44F7-9C4C-988E10DDE65E}"/>
    <cellStyle name="Normal 4 6 4 2 4" xfId="9404" xr:uid="{D1BAB6D6-35EF-4C34-91EA-2EB17352CDF9}"/>
    <cellStyle name="Normal 4 6 4 2 5" xfId="10297" xr:uid="{7193E8E4-6822-48E0-8F47-79DE7B9C42FD}"/>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307D63EF-1AF4-439A-B348-DBB4DE95CDC6}"/>
    <cellStyle name="Normal 4 6 4 3 2 3" xfId="12855" xr:uid="{5668153A-1EE2-4D19-B7DF-82B104712BFE}"/>
    <cellStyle name="Normal 4 6 4 3 3" xfId="5601" xr:uid="{00000000-0005-0000-0000-000083160000}"/>
    <cellStyle name="Normal 4 6 4 3 3 2" xfId="14927" xr:uid="{C2C30316-6EB6-4EB3-B8C6-7379EEB6D6E3}"/>
    <cellStyle name="Normal 4 6 4 3 4" xfId="10710" xr:uid="{889ABA3B-7400-4D95-9031-890F222DBC9B}"/>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A00835E9-6D29-4E12-BDDA-AC43CE5FFCF5}"/>
    <cellStyle name="Normal 4 6 4 4 2 3" xfId="13268" xr:uid="{6B542E37-6A58-47C6-9402-8392C9820148}"/>
    <cellStyle name="Normal 4 6 4 4 3" xfId="6014" xr:uid="{00000000-0005-0000-0000-000087160000}"/>
    <cellStyle name="Normal 4 6 4 4 3 2" xfId="15340" xr:uid="{0DB1978F-7465-4C1E-B6AA-C08370E460C4}"/>
    <cellStyle name="Normal 4 6 4 4 4" xfId="11123" xr:uid="{C8EFCFBF-8BED-448E-930C-8F0E18BC0ABC}"/>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EF82ABC2-DB6B-4892-9EDE-C0D04D08C019}"/>
    <cellStyle name="Normal 4 6 4 5 2 3" xfId="13681" xr:uid="{4C0FC2D9-3CE1-48FF-8691-9F3BD56A7DF3}"/>
    <cellStyle name="Normal 4 6 4 5 3" xfId="6427" xr:uid="{00000000-0005-0000-0000-00008B160000}"/>
    <cellStyle name="Normal 4 6 4 5 3 2" xfId="15753" xr:uid="{B4854CDC-5036-4828-BD68-E6FFF47740B0}"/>
    <cellStyle name="Normal 4 6 4 5 4" xfId="11536" xr:uid="{D0EEE0A1-FADD-438C-8FCD-B4023858AD8D}"/>
    <cellStyle name="Normal 4 6 4 6" xfId="2557" xr:uid="{00000000-0005-0000-0000-00008C160000}"/>
    <cellStyle name="Normal 4 6 4 6 2" xfId="6840" xr:uid="{00000000-0005-0000-0000-00008D160000}"/>
    <cellStyle name="Normal 4 6 4 6 2 2" xfId="16166" xr:uid="{444FFA4F-20E8-4A00-904F-BE093AE56D78}"/>
    <cellStyle name="Normal 4 6 4 6 3" xfId="11949" xr:uid="{6B69C5F7-5D0D-4AFF-BACE-06D8A026E433}"/>
    <cellStyle name="Normal 4 6 4 7" xfId="4775" xr:uid="{00000000-0005-0000-0000-00008E160000}"/>
    <cellStyle name="Normal 4 6 4 7 2" xfId="14101" xr:uid="{23F4E250-9B67-4742-801D-D85D074129DE}"/>
    <cellStyle name="Normal 4 6 4 8" xfId="8979" xr:uid="{358D1440-F461-4509-8416-8F78F7D13FF4}"/>
    <cellStyle name="Normal 4 6 4 9" xfId="9884" xr:uid="{F4FE9142-8A8E-4215-AE06-42B14919359E}"/>
    <cellStyle name="Normal 4 6 5" xfId="869" xr:uid="{00000000-0005-0000-0000-00008F160000}"/>
    <cellStyle name="Normal 4 6 5 2" xfId="3104" xr:uid="{00000000-0005-0000-0000-000090160000}"/>
    <cellStyle name="Normal 4 6 5 2 2" xfId="7326" xr:uid="{00000000-0005-0000-0000-000091160000}"/>
    <cellStyle name="Normal 4 6 5 2 2 2" xfId="16652" xr:uid="{FF79A95F-38FC-4B75-9F14-1D166199B4CB}"/>
    <cellStyle name="Normal 4 6 5 2 3" xfId="12435" xr:uid="{4F403DF9-08F2-4069-BD06-40417E721F41}"/>
    <cellStyle name="Normal 4 6 5 3" xfId="5181" xr:uid="{00000000-0005-0000-0000-000092160000}"/>
    <cellStyle name="Normal 4 6 5 3 2" xfId="14507" xr:uid="{DAD26937-2D50-49CB-AB22-78A88162EFF9}"/>
    <cellStyle name="Normal 4 6 5 4" xfId="9196" xr:uid="{8DF5D81E-BEC3-4373-A99C-2D9CDEEBBA3C}"/>
    <cellStyle name="Normal 4 6 5 5" xfId="10290" xr:uid="{ACE12E9A-443E-484D-9CE8-0549EFCC249B}"/>
    <cellStyle name="Normal 4 6 6" xfId="1287" xr:uid="{00000000-0005-0000-0000-000093160000}"/>
    <cellStyle name="Normal 4 6 6 2" xfId="3517" xr:uid="{00000000-0005-0000-0000-000094160000}"/>
    <cellStyle name="Normal 4 6 6 2 2" xfId="7739" xr:uid="{00000000-0005-0000-0000-000095160000}"/>
    <cellStyle name="Normal 4 6 6 2 2 2" xfId="17065" xr:uid="{B8100ABA-8BD4-4489-A31F-09365D24D8F0}"/>
    <cellStyle name="Normal 4 6 6 2 3" xfId="12848" xr:uid="{F1D4A89C-4B78-464D-89F5-2C63478D3911}"/>
    <cellStyle name="Normal 4 6 6 3" xfId="5594" xr:uid="{00000000-0005-0000-0000-000096160000}"/>
    <cellStyle name="Normal 4 6 6 3 2" xfId="14920" xr:uid="{FF2C4A7E-B936-4E14-8894-4B36DB122662}"/>
    <cellStyle name="Normal 4 6 6 4" xfId="10703" xr:uid="{9707984E-9A71-475C-9FD8-A822CB46B1DA}"/>
    <cellStyle name="Normal 4 6 7" xfId="1700" xr:uid="{00000000-0005-0000-0000-000097160000}"/>
    <cellStyle name="Normal 4 6 7 2" xfId="3930" xr:uid="{00000000-0005-0000-0000-000098160000}"/>
    <cellStyle name="Normal 4 6 7 2 2" xfId="8152" xr:uid="{00000000-0005-0000-0000-000099160000}"/>
    <cellStyle name="Normal 4 6 7 2 2 2" xfId="17478" xr:uid="{6B26BC3C-5CAE-4502-BBB6-727CFB6B7D23}"/>
    <cellStyle name="Normal 4 6 7 2 3" xfId="13261" xr:uid="{D3E81A0D-F603-4417-B779-188BC7AC9360}"/>
    <cellStyle name="Normal 4 6 7 3" xfId="6007" xr:uid="{00000000-0005-0000-0000-00009A160000}"/>
    <cellStyle name="Normal 4 6 7 3 2" xfId="15333" xr:uid="{D5033258-F700-44C4-B375-F6B4B53E2F61}"/>
    <cellStyle name="Normal 4 6 7 4" xfId="11116" xr:uid="{B43E5945-3D15-4673-850E-DD6834A92998}"/>
    <cellStyle name="Normal 4 6 8" xfId="2114" xr:uid="{00000000-0005-0000-0000-00009B160000}"/>
    <cellStyle name="Normal 4 6 8 2" xfId="4343" xr:uid="{00000000-0005-0000-0000-00009C160000}"/>
    <cellStyle name="Normal 4 6 8 2 2" xfId="8565" xr:uid="{00000000-0005-0000-0000-00009D160000}"/>
    <cellStyle name="Normal 4 6 8 2 2 2" xfId="17891" xr:uid="{D2632953-8D00-40C1-B861-A2AF14D810DA}"/>
    <cellStyle name="Normal 4 6 8 2 3" xfId="13674" xr:uid="{79443A50-CFC8-49B2-96D0-B5875DD7CE07}"/>
    <cellStyle name="Normal 4 6 8 3" xfId="6420" xr:uid="{00000000-0005-0000-0000-00009E160000}"/>
    <cellStyle name="Normal 4 6 8 3 2" xfId="15746" xr:uid="{2BCD185B-D841-47BE-A44F-84FD2B689498}"/>
    <cellStyle name="Normal 4 6 8 4" xfId="11529" xr:uid="{2F7079D9-37AB-41BA-9379-F92E10DF39CD}"/>
    <cellStyle name="Normal 4 6 9" xfId="2550" xr:uid="{00000000-0005-0000-0000-00009F160000}"/>
    <cellStyle name="Normal 4 6 9 2" xfId="6833" xr:uid="{00000000-0005-0000-0000-0000A0160000}"/>
    <cellStyle name="Normal 4 6 9 2 2" xfId="16159" xr:uid="{409878D0-2756-4A8A-9A70-2A72E4DAE1DC}"/>
    <cellStyle name="Normal 4 6 9 3" xfId="11942" xr:uid="{F30557C8-23AA-4201-80F9-A596EFA2EEF8}"/>
    <cellStyle name="Normal 4 7" xfId="403" xr:uid="{00000000-0005-0000-0000-0000A1160000}"/>
    <cellStyle name="Normal 4 7 10" xfId="9885" xr:uid="{54B64241-B167-487F-B38D-616943C163A7}"/>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55BBCE0D-30E0-4ED7-8D34-12E65FFC5017}"/>
    <cellStyle name="Normal 4 7 2 2 2 3" xfId="12444" xr:uid="{D2D2EF41-3439-4859-9926-BD1CB4F40C98}"/>
    <cellStyle name="Normal 4 7 2 2 3" xfId="5190" xr:uid="{00000000-0005-0000-0000-0000A6160000}"/>
    <cellStyle name="Normal 4 7 2 2 3 2" xfId="14516" xr:uid="{6988FA89-1B55-4A3A-A71E-83A5BF8D72A9}"/>
    <cellStyle name="Normal 4 7 2 2 4" xfId="9475" xr:uid="{1E309EF6-7D7C-4A4D-B2F1-E00D0CF6E167}"/>
    <cellStyle name="Normal 4 7 2 2 5" xfId="10299" xr:uid="{6E2BFFD4-DB84-4A10-96A1-7E8581DBD75A}"/>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16E95798-FEEF-496B-9E1E-710F791100E4}"/>
    <cellStyle name="Normal 4 7 2 3 2 3" xfId="12857" xr:uid="{6385549A-086E-4B49-97E8-4EA937704C90}"/>
    <cellStyle name="Normal 4 7 2 3 3" xfId="5603" xr:uid="{00000000-0005-0000-0000-0000AA160000}"/>
    <cellStyle name="Normal 4 7 2 3 3 2" xfId="14929" xr:uid="{F81F7559-0C14-4254-A433-C22AE319756A}"/>
    <cellStyle name="Normal 4 7 2 3 4" xfId="10712" xr:uid="{2782245E-8878-4CA1-9AE9-5A5181779A1E}"/>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8B614BD3-04E6-4CC2-A42F-0E86911E63C6}"/>
    <cellStyle name="Normal 4 7 2 4 2 3" xfId="13270" xr:uid="{27819E92-CBC2-476D-ADEF-95F39D2F12F1}"/>
    <cellStyle name="Normal 4 7 2 4 3" xfId="6016" xr:uid="{00000000-0005-0000-0000-0000AE160000}"/>
    <cellStyle name="Normal 4 7 2 4 3 2" xfId="15342" xr:uid="{0867DB0F-03B5-42C9-838F-DF8614DA6D90}"/>
    <cellStyle name="Normal 4 7 2 4 4" xfId="11125" xr:uid="{025C1610-512D-4B54-B49E-07CADF2FD309}"/>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A2877876-EC3B-428E-9B9F-18C3506347EA}"/>
    <cellStyle name="Normal 4 7 2 5 2 3" xfId="13683" xr:uid="{22A14D91-10FB-4B33-A320-1B6CCD14126F}"/>
    <cellStyle name="Normal 4 7 2 5 3" xfId="6429" xr:uid="{00000000-0005-0000-0000-0000B2160000}"/>
    <cellStyle name="Normal 4 7 2 5 3 2" xfId="15755" xr:uid="{FABCB34F-F3F6-4F77-B560-D59D32810D9D}"/>
    <cellStyle name="Normal 4 7 2 5 4" xfId="11538" xr:uid="{CF3F1637-5EB5-465C-AB91-F7A55FBD9BED}"/>
    <cellStyle name="Normal 4 7 2 6" xfId="2559" xr:uid="{00000000-0005-0000-0000-0000B3160000}"/>
    <cellStyle name="Normal 4 7 2 6 2" xfId="6842" xr:uid="{00000000-0005-0000-0000-0000B4160000}"/>
    <cellStyle name="Normal 4 7 2 6 2 2" xfId="16168" xr:uid="{53875A14-8011-4D1E-9A18-BE4ECC3F4FA0}"/>
    <cellStyle name="Normal 4 7 2 6 3" xfId="11951" xr:uid="{1DCDDA06-F1B9-46E1-8445-28081D3E5144}"/>
    <cellStyle name="Normal 4 7 2 7" xfId="4777" xr:uid="{00000000-0005-0000-0000-0000B5160000}"/>
    <cellStyle name="Normal 4 7 2 7 2" xfId="14103" xr:uid="{E2ECE957-4E43-4F7B-9A31-8C459634DAF9}"/>
    <cellStyle name="Normal 4 7 2 8" xfId="9050" xr:uid="{C18A0BCD-6C40-47C4-AC72-E06914F008F6}"/>
    <cellStyle name="Normal 4 7 2 9" xfId="9886" xr:uid="{FCA0D4A0-F426-4D7B-9D16-B4BA80431F8D}"/>
    <cellStyle name="Normal 4 7 3" xfId="877" xr:uid="{00000000-0005-0000-0000-0000B6160000}"/>
    <cellStyle name="Normal 4 7 3 2" xfId="3112" xr:uid="{00000000-0005-0000-0000-0000B7160000}"/>
    <cellStyle name="Normal 4 7 3 2 2" xfId="7334" xr:uid="{00000000-0005-0000-0000-0000B8160000}"/>
    <cellStyle name="Normal 4 7 3 2 2 2" xfId="16660" xr:uid="{87234D4F-C5E7-4E5E-B774-42F55A6DB3CE}"/>
    <cellStyle name="Normal 4 7 3 2 3" xfId="12443" xr:uid="{394D07A6-EC76-4E31-A02F-0012DC529822}"/>
    <cellStyle name="Normal 4 7 3 3" xfId="5189" xr:uid="{00000000-0005-0000-0000-0000B9160000}"/>
    <cellStyle name="Normal 4 7 3 3 2" xfId="14515" xr:uid="{FC5F42DF-BA5C-493F-B5C2-E3DC7E6668A5}"/>
    <cellStyle name="Normal 4 7 3 4" xfId="9268" xr:uid="{83DA99B2-5D77-4110-AEB9-304D3ECEF3EB}"/>
    <cellStyle name="Normal 4 7 3 5" xfId="10298" xr:uid="{8ABCF82F-C848-41B6-91D1-BC8C4EA02D12}"/>
    <cellStyle name="Normal 4 7 4" xfId="1295" xr:uid="{00000000-0005-0000-0000-0000BA160000}"/>
    <cellStyle name="Normal 4 7 4 2" xfId="3525" xr:uid="{00000000-0005-0000-0000-0000BB160000}"/>
    <cellStyle name="Normal 4 7 4 2 2" xfId="7747" xr:uid="{00000000-0005-0000-0000-0000BC160000}"/>
    <cellStyle name="Normal 4 7 4 2 2 2" xfId="17073" xr:uid="{C00C7442-8E67-4CF0-B44D-C1EB8510764D}"/>
    <cellStyle name="Normal 4 7 4 2 3" xfId="12856" xr:uid="{810F1D9D-76D1-4C4B-ADC4-92FD4AE8563F}"/>
    <cellStyle name="Normal 4 7 4 3" xfId="5602" xr:uid="{00000000-0005-0000-0000-0000BD160000}"/>
    <cellStyle name="Normal 4 7 4 3 2" xfId="14928" xr:uid="{1222BA37-2EED-4C18-B898-6F2F05BB20BF}"/>
    <cellStyle name="Normal 4 7 4 4" xfId="10711" xr:uid="{F78DC10A-6467-4369-850E-366B5E22931F}"/>
    <cellStyle name="Normal 4 7 5" xfId="1708" xr:uid="{00000000-0005-0000-0000-0000BE160000}"/>
    <cellStyle name="Normal 4 7 5 2" xfId="3938" xr:uid="{00000000-0005-0000-0000-0000BF160000}"/>
    <cellStyle name="Normal 4 7 5 2 2" xfId="8160" xr:uid="{00000000-0005-0000-0000-0000C0160000}"/>
    <cellStyle name="Normal 4 7 5 2 2 2" xfId="17486" xr:uid="{C21CF584-723C-4F61-ADD0-D99B7013BDA4}"/>
    <cellStyle name="Normal 4 7 5 2 3" xfId="13269" xr:uid="{7BA5AE93-B0CB-4328-9DD2-76846FC50626}"/>
    <cellStyle name="Normal 4 7 5 3" xfId="6015" xr:uid="{00000000-0005-0000-0000-0000C1160000}"/>
    <cellStyle name="Normal 4 7 5 3 2" xfId="15341" xr:uid="{4740BFD5-9699-48DF-9D8F-198EC98CC304}"/>
    <cellStyle name="Normal 4 7 5 4" xfId="11124" xr:uid="{6FE286AA-69B1-4ED7-9185-2B42D766F9F0}"/>
    <cellStyle name="Normal 4 7 6" xfId="2122" xr:uid="{00000000-0005-0000-0000-0000C2160000}"/>
    <cellStyle name="Normal 4 7 6 2" xfId="4351" xr:uid="{00000000-0005-0000-0000-0000C3160000}"/>
    <cellStyle name="Normal 4 7 6 2 2" xfId="8573" xr:uid="{00000000-0005-0000-0000-0000C4160000}"/>
    <cellStyle name="Normal 4 7 6 2 2 2" xfId="17899" xr:uid="{7327C4C6-3FB3-4A3F-8AE9-E653547689A2}"/>
    <cellStyle name="Normal 4 7 6 2 3" xfId="13682" xr:uid="{9563B834-C371-4552-8516-B7E9A07972C0}"/>
    <cellStyle name="Normal 4 7 6 3" xfId="6428" xr:uid="{00000000-0005-0000-0000-0000C5160000}"/>
    <cellStyle name="Normal 4 7 6 3 2" xfId="15754" xr:uid="{94B95640-EE41-4B3E-9E16-C108AA7C778E}"/>
    <cellStyle name="Normal 4 7 6 4" xfId="11537" xr:uid="{0AD1310D-1F4E-405E-8169-7825A852461C}"/>
    <cellStyle name="Normal 4 7 7" xfId="2558" xr:uid="{00000000-0005-0000-0000-0000C6160000}"/>
    <cellStyle name="Normal 4 7 7 2" xfId="6841" xr:uid="{00000000-0005-0000-0000-0000C7160000}"/>
    <cellStyle name="Normal 4 7 7 2 2" xfId="16167" xr:uid="{B2C90FC8-EE7D-49FD-8134-5997AF2472E4}"/>
    <cellStyle name="Normal 4 7 7 3" xfId="11950" xr:uid="{9863FB9B-C95B-472B-A166-DDFB890700E6}"/>
    <cellStyle name="Normal 4 7 8" xfId="4776" xr:uid="{00000000-0005-0000-0000-0000C8160000}"/>
    <cellStyle name="Normal 4 7 8 2" xfId="14102" xr:uid="{D7DC4E6E-2D03-4B32-9E93-191F5B4218FD}"/>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432C3D4A-E901-4DF9-B3A1-746985291E50}"/>
    <cellStyle name="Normal 4 8 2 2 3" xfId="12445" xr:uid="{2F1E6F99-A5AE-4E7C-8765-E8ED68DBF7AC}"/>
    <cellStyle name="Normal 4 8 2 3" xfId="5191" xr:uid="{00000000-0005-0000-0000-0000CD160000}"/>
    <cellStyle name="Normal 4 8 2 3 2" xfId="14517" xr:uid="{AEFE76B2-A48E-42A6-84AA-F0CB5F86AD54}"/>
    <cellStyle name="Normal 4 8 2 4" xfId="9384" xr:uid="{6351F1DA-E485-4044-8429-C0AE76E79EEE}"/>
    <cellStyle name="Normal 4 8 2 5" xfId="10300" xr:uid="{7C96B706-078F-4F61-A272-02E3539C0EDD}"/>
    <cellStyle name="Normal 4 8 3" xfId="1297" xr:uid="{00000000-0005-0000-0000-0000CE160000}"/>
    <cellStyle name="Normal 4 8 3 2" xfId="3527" xr:uid="{00000000-0005-0000-0000-0000CF160000}"/>
    <cellStyle name="Normal 4 8 3 2 2" xfId="7749" xr:uid="{00000000-0005-0000-0000-0000D0160000}"/>
    <cellStyle name="Normal 4 8 3 2 2 2" xfId="17075" xr:uid="{985BED29-11C0-4BEF-9BB2-829FB1C39882}"/>
    <cellStyle name="Normal 4 8 3 2 3" xfId="12858" xr:uid="{FDDDA61E-9353-4C77-AE1B-8A5C0769FB34}"/>
    <cellStyle name="Normal 4 8 3 3" xfId="5604" xr:uid="{00000000-0005-0000-0000-0000D1160000}"/>
    <cellStyle name="Normal 4 8 3 3 2" xfId="14930" xr:uid="{FED852DD-0519-46BB-A95E-B9E498E499B2}"/>
    <cellStyle name="Normal 4 8 3 4" xfId="10713" xr:uid="{85DA8804-7FC3-4A13-B3F2-3EDD4B4174D1}"/>
    <cellStyle name="Normal 4 8 4" xfId="1710" xr:uid="{00000000-0005-0000-0000-0000D2160000}"/>
    <cellStyle name="Normal 4 8 4 2" xfId="3940" xr:uid="{00000000-0005-0000-0000-0000D3160000}"/>
    <cellStyle name="Normal 4 8 4 2 2" xfId="8162" xr:uid="{00000000-0005-0000-0000-0000D4160000}"/>
    <cellStyle name="Normal 4 8 4 2 2 2" xfId="17488" xr:uid="{5245D4F5-A836-498F-A4D8-538A659F581E}"/>
    <cellStyle name="Normal 4 8 4 2 3" xfId="13271" xr:uid="{079B4F89-4791-44AE-ADFE-929C291CDD16}"/>
    <cellStyle name="Normal 4 8 4 3" xfId="6017" xr:uid="{00000000-0005-0000-0000-0000D5160000}"/>
    <cellStyle name="Normal 4 8 4 3 2" xfId="15343" xr:uid="{96783C27-DB94-45E1-8C11-A4874B56F542}"/>
    <cellStyle name="Normal 4 8 4 4" xfId="11126" xr:uid="{6905C985-3732-4E35-9B2F-D3738DAA1667}"/>
    <cellStyle name="Normal 4 8 5" xfId="2124" xr:uid="{00000000-0005-0000-0000-0000D6160000}"/>
    <cellStyle name="Normal 4 8 5 2" xfId="4353" xr:uid="{00000000-0005-0000-0000-0000D7160000}"/>
    <cellStyle name="Normal 4 8 5 2 2" xfId="8575" xr:uid="{00000000-0005-0000-0000-0000D8160000}"/>
    <cellStyle name="Normal 4 8 5 2 2 2" xfId="17901" xr:uid="{B05CF42E-CFAB-4D52-8D28-1CA8EF410332}"/>
    <cellStyle name="Normal 4 8 5 2 3" xfId="13684" xr:uid="{0DCF30FA-9F0B-464F-AE83-0BB9B0965184}"/>
    <cellStyle name="Normal 4 8 5 3" xfId="6430" xr:uid="{00000000-0005-0000-0000-0000D9160000}"/>
    <cellStyle name="Normal 4 8 5 3 2" xfId="15756" xr:uid="{41D54847-F363-461A-AD86-4831BBC2C4F5}"/>
    <cellStyle name="Normal 4 8 5 4" xfId="11539" xr:uid="{3B28E06B-B0CC-4860-BCE5-2E2FA6DE9526}"/>
    <cellStyle name="Normal 4 8 6" xfId="2560" xr:uid="{00000000-0005-0000-0000-0000DA160000}"/>
    <cellStyle name="Normal 4 8 6 2" xfId="6843" xr:uid="{00000000-0005-0000-0000-0000DB160000}"/>
    <cellStyle name="Normal 4 8 6 2 2" xfId="16169" xr:uid="{BC690DE2-7FE6-448E-BC20-CDD2A5023B33}"/>
    <cellStyle name="Normal 4 8 6 3" xfId="11952" xr:uid="{895A25B5-6841-4F11-9E9E-96A67A65F346}"/>
    <cellStyle name="Normal 4 8 7" xfId="4778" xr:uid="{00000000-0005-0000-0000-0000DC160000}"/>
    <cellStyle name="Normal 4 8 7 2" xfId="14104" xr:uid="{22F5BC72-46F8-4262-99D9-EDA418B478BD}"/>
    <cellStyle name="Normal 4 8 8" xfId="8959" xr:uid="{E3216EF3-66EB-48FF-967C-A258B3C3F4FF}"/>
    <cellStyle name="Normal 4 8 9" xfId="9887" xr:uid="{C4E9355F-BF66-4248-8B9B-3C808D9BE1BB}"/>
    <cellStyle name="Normal 4 9" xfId="4715" xr:uid="{00000000-0005-0000-0000-0000DD160000}"/>
    <cellStyle name="Normal 4 9 2" xfId="9162" xr:uid="{BC355FAB-4557-4712-A03F-EB5522B29E6A}"/>
    <cellStyle name="Normal 4 9 3" xfId="14041" xr:uid="{48956364-81E3-4B3B-A299-8DA6A7637C9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BF8C0F89-3979-4430-90E0-E157CEA57763}"/>
    <cellStyle name="Normal 5 10 2 3" xfId="13272" xr:uid="{55D0EE12-FFB9-4395-AAD0-C9B822A0C28A}"/>
    <cellStyle name="Normal 5 10 3" xfId="6018" xr:uid="{00000000-0005-0000-0000-0000E2160000}"/>
    <cellStyle name="Normal 5 10 3 2" xfId="15344" xr:uid="{04254D9B-DAE4-4AEF-85B3-A8EB499CED69}"/>
    <cellStyle name="Normal 5 10 4" xfId="11127" xr:uid="{03E13EA3-6F25-4197-8009-F6E0C1324133}"/>
    <cellStyle name="Normal 5 11" xfId="2125" xr:uid="{00000000-0005-0000-0000-0000E3160000}"/>
    <cellStyle name="Normal 5 11 2" xfId="4354" xr:uid="{00000000-0005-0000-0000-0000E4160000}"/>
    <cellStyle name="Normal 5 11 2 2" xfId="8576" xr:uid="{00000000-0005-0000-0000-0000E5160000}"/>
    <cellStyle name="Normal 5 11 2 2 2" xfId="17902" xr:uid="{31FB732E-4B69-4386-9D01-6254DBB25456}"/>
    <cellStyle name="Normal 5 11 2 3" xfId="13685" xr:uid="{E1EDF2D7-F452-4191-AD9E-81759DBD7E51}"/>
    <cellStyle name="Normal 5 11 3" xfId="6431" xr:uid="{00000000-0005-0000-0000-0000E6160000}"/>
    <cellStyle name="Normal 5 11 3 2" xfId="15757" xr:uid="{7AF95CD8-F0D4-4C30-A2D1-AAE53AEB38FE}"/>
    <cellStyle name="Normal 5 11 4" xfId="11540" xr:uid="{64E6EB5C-9D07-4CE6-BA09-D465D2113847}"/>
    <cellStyle name="Normal 5 12" xfId="2561" xr:uid="{00000000-0005-0000-0000-0000E7160000}"/>
    <cellStyle name="Normal 5 12 2" xfId="6844" xr:uid="{00000000-0005-0000-0000-0000E8160000}"/>
    <cellStyle name="Normal 5 12 2 2" xfId="16170" xr:uid="{5CC1C416-9E0A-460E-BD36-F5AF62A46916}"/>
    <cellStyle name="Normal 5 12 3" xfId="11953" xr:uid="{64E89B42-6DEA-4067-B9E4-71321839AC90}"/>
    <cellStyle name="Normal 5 13" xfId="4779" xr:uid="{00000000-0005-0000-0000-0000E9160000}"/>
    <cellStyle name="Normal 5 13 2" xfId="14105" xr:uid="{2E4A8864-B98E-4FC2-A9DB-746ECBC1CB2B}"/>
    <cellStyle name="Normal 5 14" xfId="8741" xr:uid="{6467398C-BC57-47BF-AF01-9B3356F8431F}"/>
    <cellStyle name="Normal 5 15" xfId="9888" xr:uid="{ED2AD83C-2389-4BCE-9EDE-B85ABD0D3D62}"/>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BAB52561-4104-4D61-80B9-B7D197C25C80}"/>
    <cellStyle name="Normal 5 2 10 2 3" xfId="13686" xr:uid="{EF09A9E2-0638-4A1C-BCFC-CFAD9AF81788}"/>
    <cellStyle name="Normal 5 2 10 3" xfId="6432" xr:uid="{00000000-0005-0000-0000-0000EE160000}"/>
    <cellStyle name="Normal 5 2 10 3 2" xfId="15758" xr:uid="{EE56E43A-3613-404E-A08F-C9CAB4BFD168}"/>
    <cellStyle name="Normal 5 2 10 4" xfId="11541" xr:uid="{BF7DC31E-ECA7-4366-8711-6E99DDF5D9A6}"/>
    <cellStyle name="Normal 5 2 11" xfId="2562" xr:uid="{00000000-0005-0000-0000-0000EF160000}"/>
    <cellStyle name="Normal 5 2 11 2" xfId="6845" xr:uid="{00000000-0005-0000-0000-0000F0160000}"/>
    <cellStyle name="Normal 5 2 11 2 2" xfId="16171" xr:uid="{BBC1249F-FF79-4046-8054-E0AD101DE01D}"/>
    <cellStyle name="Normal 5 2 11 3" xfId="11954" xr:uid="{18A89595-54AC-4899-AA05-B6D25CA9543A}"/>
    <cellStyle name="Normal 5 2 12" xfId="4780" xr:uid="{00000000-0005-0000-0000-0000F1160000}"/>
    <cellStyle name="Normal 5 2 12 2" xfId="14106" xr:uid="{FCCFE788-A06C-45A9-8414-C485578FA144}"/>
    <cellStyle name="Normal 5 2 13" xfId="8744" xr:uid="{40D5DF2B-E9DF-4D52-AAE0-3E5A94050B59}"/>
    <cellStyle name="Normal 5 2 14" xfId="9889" xr:uid="{A7C59B96-A8BB-46B7-9814-8A5C5BF06289}"/>
    <cellStyle name="Normal 5 2 2" xfId="408" xr:uid="{00000000-0005-0000-0000-0000F2160000}"/>
    <cellStyle name="Normal 5 2 2 10" xfId="2563" xr:uid="{00000000-0005-0000-0000-0000F3160000}"/>
    <cellStyle name="Normal 5 2 2 10 2" xfId="6846" xr:uid="{00000000-0005-0000-0000-0000F4160000}"/>
    <cellStyle name="Normal 5 2 2 10 2 2" xfId="16172" xr:uid="{43866647-EBC6-4433-B25F-ECB926B73465}"/>
    <cellStyle name="Normal 5 2 2 10 3" xfId="11955" xr:uid="{D99CDDD1-9757-4277-9224-95722EEBECEA}"/>
    <cellStyle name="Normal 5 2 2 11" xfId="4781" xr:uid="{00000000-0005-0000-0000-0000F5160000}"/>
    <cellStyle name="Normal 5 2 2 11 2" xfId="14107" xr:uid="{E7B759DE-C242-4D17-895D-776600632FD4}"/>
    <cellStyle name="Normal 5 2 2 12" xfId="8753" xr:uid="{96D04E2F-D92F-448D-9FDA-8261D8BEE094}"/>
    <cellStyle name="Normal 5 2 2 13" xfId="9890" xr:uid="{48694C14-6171-4FF7-8682-16BBBDAAFF77}"/>
    <cellStyle name="Normal 5 2 2 2" xfId="409" xr:uid="{00000000-0005-0000-0000-0000F6160000}"/>
    <cellStyle name="Normal 5 2 2 2 10" xfId="4782" xr:uid="{00000000-0005-0000-0000-0000F7160000}"/>
    <cellStyle name="Normal 5 2 2 2 10 2" xfId="14108" xr:uid="{9DB7ED3C-8554-469F-8C55-6B7475BF2059}"/>
    <cellStyle name="Normal 5 2 2 2 11" xfId="8771" xr:uid="{0E58ED1C-12F1-4692-801F-170CA6F7CBDB}"/>
    <cellStyle name="Normal 5 2 2 2 12" xfId="9891" xr:uid="{80B609BC-CBBC-47B3-8784-1024E326D89D}"/>
    <cellStyle name="Normal 5 2 2 2 2" xfId="410" xr:uid="{00000000-0005-0000-0000-0000F8160000}"/>
    <cellStyle name="Normal 5 2 2 2 2 10" xfId="8829" xr:uid="{AC161972-21E9-4E03-8D2E-9F95632CB08D}"/>
    <cellStyle name="Normal 5 2 2 2 2 11" xfId="9892" xr:uid="{E128E9A2-32B4-49B4-8AA0-ADE649FF9083}"/>
    <cellStyle name="Normal 5 2 2 2 2 2" xfId="411" xr:uid="{00000000-0005-0000-0000-0000F9160000}"/>
    <cellStyle name="Normal 5 2 2 2 2 2 10" xfId="9893" xr:uid="{752AA219-8B57-4ED2-99CD-4239357E148B}"/>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F121FD8D-6541-4B9F-9105-D3D004E7F0CA}"/>
    <cellStyle name="Normal 5 2 2 2 2 2 2 2 2 3" xfId="12452" xr:uid="{57B352F4-ECD0-4DB1-9539-F12CCD89E007}"/>
    <cellStyle name="Normal 5 2 2 2 2 2 2 2 3" xfId="5198" xr:uid="{00000000-0005-0000-0000-0000FE160000}"/>
    <cellStyle name="Normal 5 2 2 2 2 2 2 2 3 2" xfId="14524" xr:uid="{B94CF8D0-FB23-4252-A76F-7CE1DBB99C79}"/>
    <cellStyle name="Normal 5 2 2 2 2 2 2 2 4" xfId="9564" xr:uid="{15884BE4-44C0-46E7-A184-FC102AAADEB4}"/>
    <cellStyle name="Normal 5 2 2 2 2 2 2 2 5" xfId="10307" xr:uid="{AF2AF105-D4FB-4494-9FD8-1051CF7DAD28}"/>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1C1F07BF-B86A-481E-87EF-133237ACA73E}"/>
    <cellStyle name="Normal 5 2 2 2 2 2 2 3 2 3" xfId="12865" xr:uid="{DF3A3569-A5AE-49CD-81A6-A06402FAC160}"/>
    <cellStyle name="Normal 5 2 2 2 2 2 2 3 3" xfId="5611" xr:uid="{00000000-0005-0000-0000-000002170000}"/>
    <cellStyle name="Normal 5 2 2 2 2 2 2 3 3 2" xfId="14937" xr:uid="{90ED4424-1FB3-43A2-85EA-2D53D9C36FB2}"/>
    <cellStyle name="Normal 5 2 2 2 2 2 2 3 4" xfId="10720" xr:uid="{4078757A-F7C0-42D9-AE01-20680DC523C1}"/>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BC20CDB8-CED6-4F75-915C-5B7A0FAF68A0}"/>
    <cellStyle name="Normal 5 2 2 2 2 2 2 4 2 3" xfId="13278" xr:uid="{143488CB-4BF1-4C7B-A8A8-584864805114}"/>
    <cellStyle name="Normal 5 2 2 2 2 2 2 4 3" xfId="6024" xr:uid="{00000000-0005-0000-0000-000006170000}"/>
    <cellStyle name="Normal 5 2 2 2 2 2 2 4 3 2" xfId="15350" xr:uid="{600CA5F5-3108-4D52-99D1-BB5D239655E0}"/>
    <cellStyle name="Normal 5 2 2 2 2 2 2 4 4" xfId="11133" xr:uid="{D35B9961-2C05-441B-B726-B1A1EA37A87C}"/>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06E6DB45-CC0E-47CD-83C5-261B2338061E}"/>
    <cellStyle name="Normal 5 2 2 2 2 2 2 5 2 3" xfId="13691" xr:uid="{E9ED5583-282E-44A9-96FF-B34397BB7DC7}"/>
    <cellStyle name="Normal 5 2 2 2 2 2 2 5 3" xfId="6437" xr:uid="{00000000-0005-0000-0000-00000A170000}"/>
    <cellStyle name="Normal 5 2 2 2 2 2 2 5 3 2" xfId="15763" xr:uid="{CBF22D1E-19A3-4A8B-811F-B05019603A10}"/>
    <cellStyle name="Normal 5 2 2 2 2 2 2 5 4" xfId="11546" xr:uid="{1E4DEF93-B097-46C3-8CC2-AF9741336515}"/>
    <cellStyle name="Normal 5 2 2 2 2 2 2 6" xfId="2567" xr:uid="{00000000-0005-0000-0000-00000B170000}"/>
    <cellStyle name="Normal 5 2 2 2 2 2 2 6 2" xfId="6850" xr:uid="{00000000-0005-0000-0000-00000C170000}"/>
    <cellStyle name="Normal 5 2 2 2 2 2 2 6 2 2" xfId="16176" xr:uid="{C6CA1757-5876-4F0D-9B7C-6AC4FAD34BFA}"/>
    <cellStyle name="Normal 5 2 2 2 2 2 2 6 3" xfId="11959" xr:uid="{5FD60B0F-2F8A-4018-980B-7B4624E7383F}"/>
    <cellStyle name="Normal 5 2 2 2 2 2 2 7" xfId="4785" xr:uid="{00000000-0005-0000-0000-00000D170000}"/>
    <cellStyle name="Normal 5 2 2 2 2 2 2 7 2" xfId="14111" xr:uid="{65A22DC5-8EEB-4B06-BA77-EDEAC0B48B89}"/>
    <cellStyle name="Normal 5 2 2 2 2 2 2 8" xfId="9139" xr:uid="{CFCC7179-F81D-4929-81F2-C6E64655A093}"/>
    <cellStyle name="Normal 5 2 2 2 2 2 2 9" xfId="9894" xr:uid="{DC86F8C4-5DD2-4F07-9FC7-BCFE528F7EE9}"/>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9E91312B-24A5-42BF-9047-A639D7314962}"/>
    <cellStyle name="Normal 5 2 2 2 2 2 3 2 3" xfId="12451" xr:uid="{0AFE1500-E10B-419D-B7E2-52872B1D327E}"/>
    <cellStyle name="Normal 5 2 2 2 2 2 3 3" xfId="5197" xr:uid="{00000000-0005-0000-0000-000011170000}"/>
    <cellStyle name="Normal 5 2 2 2 2 2 3 3 2" xfId="14523" xr:uid="{6C507DB4-EC68-4429-9263-2CF43B7569F7}"/>
    <cellStyle name="Normal 5 2 2 2 2 2 3 4" xfId="9357" xr:uid="{1809EB60-9E69-4954-99A5-643CD830C5FB}"/>
    <cellStyle name="Normal 5 2 2 2 2 2 3 5" xfId="10306" xr:uid="{A40702EC-F01A-448C-9836-AA9F0BEE2112}"/>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EA288B24-3A2B-45B3-8F60-9F21365AD024}"/>
    <cellStyle name="Normal 5 2 2 2 2 2 4 2 3" xfId="12864" xr:uid="{ECC280EB-F99E-41E8-BBDA-87520D300669}"/>
    <cellStyle name="Normal 5 2 2 2 2 2 4 3" xfId="5610" xr:uid="{00000000-0005-0000-0000-000015170000}"/>
    <cellStyle name="Normal 5 2 2 2 2 2 4 3 2" xfId="14936" xr:uid="{126085C5-3E81-4C80-8FB3-480BE97AF004}"/>
    <cellStyle name="Normal 5 2 2 2 2 2 4 4" xfId="10719" xr:uid="{07DF3999-E798-4222-9F42-D6851216AF2B}"/>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8519A75D-721C-4EEB-8EE7-419E3C784573}"/>
    <cellStyle name="Normal 5 2 2 2 2 2 5 2 3" xfId="13277" xr:uid="{481AA2CA-F269-4717-B383-71E3CCBBF513}"/>
    <cellStyle name="Normal 5 2 2 2 2 2 5 3" xfId="6023" xr:uid="{00000000-0005-0000-0000-000019170000}"/>
    <cellStyle name="Normal 5 2 2 2 2 2 5 3 2" xfId="15349" xr:uid="{E6205E06-6B60-49B6-BB60-C3259C732CA3}"/>
    <cellStyle name="Normal 5 2 2 2 2 2 5 4" xfId="11132" xr:uid="{A13D8375-C8E3-4F27-886B-14FB16852A54}"/>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D32A2702-3DD0-4E59-BC15-B00B6771C4A5}"/>
    <cellStyle name="Normal 5 2 2 2 2 2 6 2 3" xfId="13690" xr:uid="{FC2362E5-94B6-48CA-BB94-C072D5BD51A8}"/>
    <cellStyle name="Normal 5 2 2 2 2 2 6 3" xfId="6436" xr:uid="{00000000-0005-0000-0000-00001D170000}"/>
    <cellStyle name="Normal 5 2 2 2 2 2 6 3 2" xfId="15762" xr:uid="{14C4311D-1B2F-4D5D-AE28-013D2D013509}"/>
    <cellStyle name="Normal 5 2 2 2 2 2 6 4" xfId="11545" xr:uid="{A2BD5B4D-B9BC-43FB-82CA-06952312AB09}"/>
    <cellStyle name="Normal 5 2 2 2 2 2 7" xfId="2566" xr:uid="{00000000-0005-0000-0000-00001E170000}"/>
    <cellStyle name="Normal 5 2 2 2 2 2 7 2" xfId="6849" xr:uid="{00000000-0005-0000-0000-00001F170000}"/>
    <cellStyle name="Normal 5 2 2 2 2 2 7 2 2" xfId="16175" xr:uid="{61A359E6-7A9E-43C4-89B2-C391A00DEC72}"/>
    <cellStyle name="Normal 5 2 2 2 2 2 7 3" xfId="11958" xr:uid="{50CC047D-A807-41AF-8FF3-CC34D7F1548B}"/>
    <cellStyle name="Normal 5 2 2 2 2 2 8" xfId="4784" xr:uid="{00000000-0005-0000-0000-000020170000}"/>
    <cellStyle name="Normal 5 2 2 2 2 2 8 2" xfId="14110" xr:uid="{E9AFA16C-BFD4-4045-ADF5-63449ADE318D}"/>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C23D3A48-D332-4B5E-8038-4960C625F4C7}"/>
    <cellStyle name="Normal 5 2 2 2 2 3 2 2 3" xfId="12453" xr:uid="{86B3669D-1253-47C8-B9CE-0D56BB4F82F0}"/>
    <cellStyle name="Normal 5 2 2 2 2 3 2 3" xfId="5199" xr:uid="{00000000-0005-0000-0000-000025170000}"/>
    <cellStyle name="Normal 5 2 2 2 2 3 2 3 2" xfId="14525" xr:uid="{0909DC56-2863-4856-9C26-EE274A51350B}"/>
    <cellStyle name="Normal 5 2 2 2 2 3 2 4" xfId="9461" xr:uid="{815E4D9A-ED64-4B6C-A17A-F6D83CC40A47}"/>
    <cellStyle name="Normal 5 2 2 2 2 3 2 5" xfId="10308" xr:uid="{30AFE340-4820-4168-B61D-D4B6E82740E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F2C3FB35-0492-4ACB-ABB9-817373792A4F}"/>
    <cellStyle name="Normal 5 2 2 2 2 3 3 2 3" xfId="12866" xr:uid="{B2A9392B-C7BD-430B-97E6-0A03CB8C9027}"/>
    <cellStyle name="Normal 5 2 2 2 2 3 3 3" xfId="5612" xr:uid="{00000000-0005-0000-0000-000029170000}"/>
    <cellStyle name="Normal 5 2 2 2 2 3 3 3 2" xfId="14938" xr:uid="{AF8D3128-D8F9-4806-B2A6-3398EEF4743E}"/>
    <cellStyle name="Normal 5 2 2 2 2 3 3 4" xfId="10721" xr:uid="{AA33A3A8-7A61-43AE-AB8A-B71E1AAE5AF5}"/>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89AA8A46-BC0B-4569-A3B0-4C6B2448834E}"/>
    <cellStyle name="Normal 5 2 2 2 2 3 4 2 3" xfId="13279" xr:uid="{669599B9-0CC2-4A65-B4FA-0B6E15846831}"/>
    <cellStyle name="Normal 5 2 2 2 2 3 4 3" xfId="6025" xr:uid="{00000000-0005-0000-0000-00002D170000}"/>
    <cellStyle name="Normal 5 2 2 2 2 3 4 3 2" xfId="15351" xr:uid="{18387DE2-D635-4D7E-9155-3666D0D3BF09}"/>
    <cellStyle name="Normal 5 2 2 2 2 3 4 4" xfId="11134" xr:uid="{6A4E25AC-BADD-40A8-B84C-C4A6D6CB2C0A}"/>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354C34A4-74F9-4E6F-970A-4E4A99A3EE58}"/>
    <cellStyle name="Normal 5 2 2 2 2 3 5 2 3" xfId="13692" xr:uid="{7E073434-B5DC-4FCE-BF07-86A6496C63F4}"/>
    <cellStyle name="Normal 5 2 2 2 2 3 5 3" xfId="6438" xr:uid="{00000000-0005-0000-0000-000031170000}"/>
    <cellStyle name="Normal 5 2 2 2 2 3 5 3 2" xfId="15764" xr:uid="{4D499753-ADA8-4020-AF45-B63834E88732}"/>
    <cellStyle name="Normal 5 2 2 2 2 3 5 4" xfId="11547" xr:uid="{7D695EBE-10D7-4846-B9FD-AE11573A7971}"/>
    <cellStyle name="Normal 5 2 2 2 2 3 6" xfId="2568" xr:uid="{00000000-0005-0000-0000-000032170000}"/>
    <cellStyle name="Normal 5 2 2 2 2 3 6 2" xfId="6851" xr:uid="{00000000-0005-0000-0000-000033170000}"/>
    <cellStyle name="Normal 5 2 2 2 2 3 6 2 2" xfId="16177" xr:uid="{035BB966-0662-418D-8259-F11BB5B01683}"/>
    <cellStyle name="Normal 5 2 2 2 2 3 6 3" xfId="11960" xr:uid="{E0096E3B-A2E3-4E88-992B-F1EAD1F0C2F2}"/>
    <cellStyle name="Normal 5 2 2 2 2 3 7" xfId="4786" xr:uid="{00000000-0005-0000-0000-000034170000}"/>
    <cellStyle name="Normal 5 2 2 2 2 3 7 2" xfId="14112" xr:uid="{B70CC445-7A30-431B-8207-92B33AAFA1A6}"/>
    <cellStyle name="Normal 5 2 2 2 2 3 8" xfId="9036" xr:uid="{2B9BC3AC-900A-42EE-A23F-E5574B6E75BC}"/>
    <cellStyle name="Normal 5 2 2 2 2 3 9" xfId="9895" xr:uid="{5CB58719-016B-4432-B9FC-F2112E168B1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587A332B-DC7D-4A9E-BEA2-BFADDF34E277}"/>
    <cellStyle name="Normal 5 2 2 2 2 4 2 3" xfId="12450" xr:uid="{4B83D10F-B6C4-427B-8440-D9BE7D6B0127}"/>
    <cellStyle name="Normal 5 2 2 2 2 4 3" xfId="5196" xr:uid="{00000000-0005-0000-0000-000038170000}"/>
    <cellStyle name="Normal 5 2 2 2 2 4 3 2" xfId="14522" xr:uid="{DB1BDDC5-6057-4762-9C76-2100F5D8EE6C}"/>
    <cellStyle name="Normal 5 2 2 2 2 4 4" xfId="9254" xr:uid="{B0B4DA0D-4C0F-4712-8BF0-280C2A85D575}"/>
    <cellStyle name="Normal 5 2 2 2 2 4 5" xfId="10305" xr:uid="{DD3FF890-F6FA-43F3-81E0-16AAFD45405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5582192B-F731-4C0B-8E8B-0314A5E9CF32}"/>
    <cellStyle name="Normal 5 2 2 2 2 5 2 3" xfId="12863" xr:uid="{281447A6-CC38-4993-9C62-1144C410EA3A}"/>
    <cellStyle name="Normal 5 2 2 2 2 5 3" xfId="5609" xr:uid="{00000000-0005-0000-0000-00003C170000}"/>
    <cellStyle name="Normal 5 2 2 2 2 5 3 2" xfId="14935" xr:uid="{1BC50D6E-69D4-4FB0-8F33-7FA29D50CCEF}"/>
    <cellStyle name="Normal 5 2 2 2 2 5 4" xfId="10718" xr:uid="{55D362C1-8225-4F79-9E68-05BE46B46E78}"/>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EE325669-15BB-4623-8254-FD1C095C83D4}"/>
    <cellStyle name="Normal 5 2 2 2 2 6 2 3" xfId="13276" xr:uid="{C0738AE6-D0F5-479B-BBDC-DEFB9C4FA462}"/>
    <cellStyle name="Normal 5 2 2 2 2 6 3" xfId="6022" xr:uid="{00000000-0005-0000-0000-000040170000}"/>
    <cellStyle name="Normal 5 2 2 2 2 6 3 2" xfId="15348" xr:uid="{2804A2DC-5B0F-4BC7-9495-91BE89426711}"/>
    <cellStyle name="Normal 5 2 2 2 2 6 4" xfId="11131" xr:uid="{DD547279-CA7C-4EAC-AD22-2942EA12F924}"/>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C75CD29C-90BB-41D6-B4FA-D8824D4CA17E}"/>
    <cellStyle name="Normal 5 2 2 2 2 7 2 3" xfId="13689" xr:uid="{632E3B40-0A52-4B66-BCFF-8357FECFEA39}"/>
    <cellStyle name="Normal 5 2 2 2 2 7 3" xfId="6435" xr:uid="{00000000-0005-0000-0000-000044170000}"/>
    <cellStyle name="Normal 5 2 2 2 2 7 3 2" xfId="15761" xr:uid="{AAD3BD50-61E6-4D64-A374-BD13C94F6C5D}"/>
    <cellStyle name="Normal 5 2 2 2 2 7 4" xfId="11544" xr:uid="{770839ED-8536-493B-94C7-42F4C5066C2C}"/>
    <cellStyle name="Normal 5 2 2 2 2 8" xfId="2565" xr:uid="{00000000-0005-0000-0000-000045170000}"/>
    <cellStyle name="Normal 5 2 2 2 2 8 2" xfId="6848" xr:uid="{00000000-0005-0000-0000-000046170000}"/>
    <cellStyle name="Normal 5 2 2 2 2 8 2 2" xfId="16174" xr:uid="{407E06E4-FDFC-4DA1-9B24-8BB53255A976}"/>
    <cellStyle name="Normal 5 2 2 2 2 8 3" xfId="11957" xr:uid="{E79635E4-37E0-4D1C-9F1A-A786CD1CB42D}"/>
    <cellStyle name="Normal 5 2 2 2 2 9" xfId="4783" xr:uid="{00000000-0005-0000-0000-000047170000}"/>
    <cellStyle name="Normal 5 2 2 2 2 9 2" xfId="14109" xr:uid="{A9969FBB-BF83-4654-BC69-EC0569E5A3F2}"/>
    <cellStyle name="Normal 5 2 2 2 3" xfId="414" xr:uid="{00000000-0005-0000-0000-000048170000}"/>
    <cellStyle name="Normal 5 2 2 2 3 10" xfId="9896" xr:uid="{CD745726-D0B7-4FFF-BE75-915C15EFEA4D}"/>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BA83B7A2-84A3-4961-A030-BF7C13EA5479}"/>
    <cellStyle name="Normal 5 2 2 2 3 2 2 2 3" xfId="12455" xr:uid="{5BE60001-51D9-4C1A-B523-254379DF791F}"/>
    <cellStyle name="Normal 5 2 2 2 3 2 2 3" xfId="5201" xr:uid="{00000000-0005-0000-0000-00004D170000}"/>
    <cellStyle name="Normal 5 2 2 2 3 2 2 3 2" xfId="14527" xr:uid="{D5BCB1C4-A9F3-4979-B89B-6CD6E9F40D6A}"/>
    <cellStyle name="Normal 5 2 2 2 3 2 2 4" xfId="9506" xr:uid="{65E8E1F9-5B62-47C9-8131-412DF42F5268}"/>
    <cellStyle name="Normal 5 2 2 2 3 2 2 5" xfId="10310" xr:uid="{181A42F7-EFA4-47B8-87F0-3D88C833EE55}"/>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7F5EC78C-6643-4C45-8D3E-915A725CED6A}"/>
    <cellStyle name="Normal 5 2 2 2 3 2 3 2 3" xfId="12868" xr:uid="{FA286941-4523-4790-BB96-7E643712CBDD}"/>
    <cellStyle name="Normal 5 2 2 2 3 2 3 3" xfId="5614" xr:uid="{00000000-0005-0000-0000-000051170000}"/>
    <cellStyle name="Normal 5 2 2 2 3 2 3 3 2" xfId="14940" xr:uid="{971BEDFA-C930-4D70-A178-2CDFE2D0BE7E}"/>
    <cellStyle name="Normal 5 2 2 2 3 2 3 4" xfId="10723" xr:uid="{A76A7E99-3024-4060-8E1F-CF6F86FBB8E5}"/>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0D79E29D-CF45-45B8-B324-3D3F9C8EB674}"/>
    <cellStyle name="Normal 5 2 2 2 3 2 4 2 3" xfId="13281" xr:uid="{CA3D327D-1EC9-448E-B481-E489EB6B9FBB}"/>
    <cellStyle name="Normal 5 2 2 2 3 2 4 3" xfId="6027" xr:uid="{00000000-0005-0000-0000-000055170000}"/>
    <cellStyle name="Normal 5 2 2 2 3 2 4 3 2" xfId="15353" xr:uid="{FE1D83A6-DA06-4035-8DFF-FA4486E947AB}"/>
    <cellStyle name="Normal 5 2 2 2 3 2 4 4" xfId="11136" xr:uid="{81CF61A5-C509-425A-9A87-E866E9600077}"/>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3BADCA33-3E28-41A2-A051-DEA4A951B37D}"/>
    <cellStyle name="Normal 5 2 2 2 3 2 5 2 3" xfId="13694" xr:uid="{376FC269-184C-474E-8656-565126CF6DAE}"/>
    <cellStyle name="Normal 5 2 2 2 3 2 5 3" xfId="6440" xr:uid="{00000000-0005-0000-0000-000059170000}"/>
    <cellStyle name="Normal 5 2 2 2 3 2 5 3 2" xfId="15766" xr:uid="{65F80E8B-24E8-4597-8A6D-F0F5D45DDDEA}"/>
    <cellStyle name="Normal 5 2 2 2 3 2 5 4" xfId="11549" xr:uid="{B47DF6B3-BB96-4208-A4CC-39E49D04C545}"/>
    <cellStyle name="Normal 5 2 2 2 3 2 6" xfId="2570" xr:uid="{00000000-0005-0000-0000-00005A170000}"/>
    <cellStyle name="Normal 5 2 2 2 3 2 6 2" xfId="6853" xr:uid="{00000000-0005-0000-0000-00005B170000}"/>
    <cellStyle name="Normal 5 2 2 2 3 2 6 2 2" xfId="16179" xr:uid="{DBB16E17-081B-43EC-8195-F2E2262A66D7}"/>
    <cellStyle name="Normal 5 2 2 2 3 2 6 3" xfId="11962" xr:uid="{FE272EE1-8BD9-4727-AD6B-E908098504AC}"/>
    <cellStyle name="Normal 5 2 2 2 3 2 7" xfId="4788" xr:uid="{00000000-0005-0000-0000-00005C170000}"/>
    <cellStyle name="Normal 5 2 2 2 3 2 7 2" xfId="14114" xr:uid="{18E09DD8-CC97-4227-A3BA-4529761B1AEE}"/>
    <cellStyle name="Normal 5 2 2 2 3 2 8" xfId="9081" xr:uid="{B0400C6D-4400-4F06-9092-2DCAD3324CF1}"/>
    <cellStyle name="Normal 5 2 2 2 3 2 9" xfId="9897" xr:uid="{7511ACAC-22F7-4A40-913A-B38A14940D02}"/>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9E1B83CA-0196-48A6-B7D7-D36A6D7A5084}"/>
    <cellStyle name="Normal 5 2 2 2 3 3 2 3" xfId="12454" xr:uid="{624798B2-96EB-40C8-9D49-D1DCA278FB6A}"/>
    <cellStyle name="Normal 5 2 2 2 3 3 3" xfId="5200" xr:uid="{00000000-0005-0000-0000-000060170000}"/>
    <cellStyle name="Normal 5 2 2 2 3 3 3 2" xfId="14526" xr:uid="{FA83BDE5-3C4A-4F86-BBA5-D27489D0D03C}"/>
    <cellStyle name="Normal 5 2 2 2 3 3 4" xfId="9299" xr:uid="{85780536-A38F-4D86-8846-D9FA6BB2D61D}"/>
    <cellStyle name="Normal 5 2 2 2 3 3 5" xfId="10309" xr:uid="{0B19D4EB-566D-4AF4-847E-F2E055B43557}"/>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973F1480-0CFA-4549-BC0C-CF9E6AA4D285}"/>
    <cellStyle name="Normal 5 2 2 2 3 4 2 3" xfId="12867" xr:uid="{FD42BC2B-4F79-46DF-9286-26394EE6F3FB}"/>
    <cellStyle name="Normal 5 2 2 2 3 4 3" xfId="5613" xr:uid="{00000000-0005-0000-0000-000064170000}"/>
    <cellStyle name="Normal 5 2 2 2 3 4 3 2" xfId="14939" xr:uid="{9FCE7116-A0AB-4336-8276-EBAF75900A77}"/>
    <cellStyle name="Normal 5 2 2 2 3 4 4" xfId="10722" xr:uid="{9F991245-7770-462F-AD4B-9AE73FB48E5B}"/>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B95882E0-3A1A-4E31-9A14-9537CC891073}"/>
    <cellStyle name="Normal 5 2 2 2 3 5 2 3" xfId="13280" xr:uid="{92F85E11-CD37-4082-93E9-A0F51C35A09F}"/>
    <cellStyle name="Normal 5 2 2 2 3 5 3" xfId="6026" xr:uid="{00000000-0005-0000-0000-000068170000}"/>
    <cellStyle name="Normal 5 2 2 2 3 5 3 2" xfId="15352" xr:uid="{C84F0396-6472-44C3-9243-52C47E22646F}"/>
    <cellStyle name="Normal 5 2 2 2 3 5 4" xfId="11135" xr:uid="{2425B920-CF5E-4252-9A41-37640B81B233}"/>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8EADE783-CAEF-453A-BCEF-AC448244D69D}"/>
    <cellStyle name="Normal 5 2 2 2 3 6 2 3" xfId="13693" xr:uid="{69586CFF-58C3-4439-B1AF-14312E2048E1}"/>
    <cellStyle name="Normal 5 2 2 2 3 6 3" xfId="6439" xr:uid="{00000000-0005-0000-0000-00006C170000}"/>
    <cellStyle name="Normal 5 2 2 2 3 6 3 2" xfId="15765" xr:uid="{B000AC0E-714E-4D72-AD96-6305CB02423F}"/>
    <cellStyle name="Normal 5 2 2 2 3 6 4" xfId="11548" xr:uid="{73E04275-DB29-4EFE-89AC-ED043D0A47D9}"/>
    <cellStyle name="Normal 5 2 2 2 3 7" xfId="2569" xr:uid="{00000000-0005-0000-0000-00006D170000}"/>
    <cellStyle name="Normal 5 2 2 2 3 7 2" xfId="6852" xr:uid="{00000000-0005-0000-0000-00006E170000}"/>
    <cellStyle name="Normal 5 2 2 2 3 7 2 2" xfId="16178" xr:uid="{A615A5E6-0D50-4882-AEF4-123579101F37}"/>
    <cellStyle name="Normal 5 2 2 2 3 7 3" xfId="11961" xr:uid="{A265E202-143A-40DB-8CFD-606F6E506C92}"/>
    <cellStyle name="Normal 5 2 2 2 3 8" xfId="4787" xr:uid="{00000000-0005-0000-0000-00006F170000}"/>
    <cellStyle name="Normal 5 2 2 2 3 8 2" xfId="14113" xr:uid="{8A4E8B93-CD29-4C36-910B-D04D754A1A83}"/>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2E6256CD-EEF0-4458-AA08-9E14B60922FB}"/>
    <cellStyle name="Normal 5 2 2 2 4 2 2 3" xfId="12456" xr:uid="{241B0026-5C20-4B0D-A805-E41D58EE9F39}"/>
    <cellStyle name="Normal 5 2 2 2 4 2 3" xfId="5202" xr:uid="{00000000-0005-0000-0000-000074170000}"/>
    <cellStyle name="Normal 5 2 2 2 4 2 3 2" xfId="14528" xr:uid="{3946A16B-8779-4379-8207-6876089F84EF}"/>
    <cellStyle name="Normal 5 2 2 2 4 2 4" xfId="9403" xr:uid="{DDA7C497-662A-4A76-A324-A27E6A0A2B3D}"/>
    <cellStyle name="Normal 5 2 2 2 4 2 5" xfId="10311" xr:uid="{A7A08A45-1E61-498C-A9E0-77A449B463B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6B3EB658-699F-450E-AA2C-75AEAAE38B2D}"/>
    <cellStyle name="Normal 5 2 2 2 4 3 2 3" xfId="12869" xr:uid="{1DA90C5A-302B-42C9-B58D-551AA6851C95}"/>
    <cellStyle name="Normal 5 2 2 2 4 3 3" xfId="5615" xr:uid="{00000000-0005-0000-0000-000078170000}"/>
    <cellStyle name="Normal 5 2 2 2 4 3 3 2" xfId="14941" xr:uid="{8986E516-AADC-4874-8CA4-DA7A513F3FF8}"/>
    <cellStyle name="Normal 5 2 2 2 4 3 4" xfId="10724" xr:uid="{A234FC8A-423D-4D0C-9C86-144014DF070C}"/>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D638DFB8-23B9-4E15-9B7E-1D38E4C8A63C}"/>
    <cellStyle name="Normal 5 2 2 2 4 4 2 3" xfId="13282" xr:uid="{77CD45D7-115F-4681-9916-81149685C4E7}"/>
    <cellStyle name="Normal 5 2 2 2 4 4 3" xfId="6028" xr:uid="{00000000-0005-0000-0000-00007C170000}"/>
    <cellStyle name="Normal 5 2 2 2 4 4 3 2" xfId="15354" xr:uid="{775C454E-411F-4640-8367-202A9C9B453A}"/>
    <cellStyle name="Normal 5 2 2 2 4 4 4" xfId="11137" xr:uid="{92F94000-E6CF-418E-8BC8-8F2721570BE5}"/>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A6078E46-A5C2-4B26-8709-F552F89FD3D8}"/>
    <cellStyle name="Normal 5 2 2 2 4 5 2 3" xfId="13695" xr:uid="{4DC504E7-3C7A-41B9-9219-DAA30D7D2B95}"/>
    <cellStyle name="Normal 5 2 2 2 4 5 3" xfId="6441" xr:uid="{00000000-0005-0000-0000-000080170000}"/>
    <cellStyle name="Normal 5 2 2 2 4 5 3 2" xfId="15767" xr:uid="{27422CAB-239A-4DBE-A849-1BAAA0199315}"/>
    <cellStyle name="Normal 5 2 2 2 4 5 4" xfId="11550" xr:uid="{C975AE9D-A895-40FC-A49B-FCCEB85F6361}"/>
    <cellStyle name="Normal 5 2 2 2 4 6" xfId="2571" xr:uid="{00000000-0005-0000-0000-000081170000}"/>
    <cellStyle name="Normal 5 2 2 2 4 6 2" xfId="6854" xr:uid="{00000000-0005-0000-0000-000082170000}"/>
    <cellStyle name="Normal 5 2 2 2 4 6 2 2" xfId="16180" xr:uid="{6151A514-8EE1-4D70-BE86-537703FF8917}"/>
    <cellStyle name="Normal 5 2 2 2 4 6 3" xfId="11963" xr:uid="{BB7D5F88-4092-4AB9-BD8E-F2C4DEED98E4}"/>
    <cellStyle name="Normal 5 2 2 2 4 7" xfId="4789" xr:uid="{00000000-0005-0000-0000-000083170000}"/>
    <cellStyle name="Normal 5 2 2 2 4 7 2" xfId="14115" xr:uid="{AF74BC21-B32F-4486-89B8-9BEB3C10BDB2}"/>
    <cellStyle name="Normal 5 2 2 2 4 8" xfId="8978" xr:uid="{5B5F86B4-BA0F-43A7-920A-E466FD014739}"/>
    <cellStyle name="Normal 5 2 2 2 4 9" xfId="9898" xr:uid="{7D962AEC-C5AB-4C10-B3B4-C3B7EEE6481B}"/>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153D9643-D13D-4B90-9E53-47C426C66649}"/>
    <cellStyle name="Normal 5 2 2 2 5 2 3" xfId="12449" xr:uid="{87D94771-4F52-4FC3-9869-4CF9C278F8B7}"/>
    <cellStyle name="Normal 5 2 2 2 5 3" xfId="5195" xr:uid="{00000000-0005-0000-0000-000087170000}"/>
    <cellStyle name="Normal 5 2 2 2 5 3 2" xfId="14521" xr:uid="{9093DBE8-82E8-4DE7-8E1C-CD7C991DBE96}"/>
    <cellStyle name="Normal 5 2 2 2 5 4" xfId="9195" xr:uid="{A7E71EA0-2CA4-4918-870E-A32EEF45C61A}"/>
    <cellStyle name="Normal 5 2 2 2 5 5" xfId="10304" xr:uid="{8A71E2AC-F5CB-444A-AD5B-DBE4DE3F817B}"/>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22066091-2785-4B7B-BDCD-D51539E1424D}"/>
    <cellStyle name="Normal 5 2 2 2 6 2 3" xfId="12862" xr:uid="{F687BD4E-EF55-4CFD-BFE1-6637CB1C3889}"/>
    <cellStyle name="Normal 5 2 2 2 6 3" xfId="5608" xr:uid="{00000000-0005-0000-0000-00008B170000}"/>
    <cellStyle name="Normal 5 2 2 2 6 3 2" xfId="14934" xr:uid="{E57F371B-3116-4FF8-B181-EB83550E0E58}"/>
    <cellStyle name="Normal 5 2 2 2 6 4" xfId="10717" xr:uid="{B6422E6A-9C7A-419D-95E7-1D8347B3EBC7}"/>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A4348214-2555-4A26-BC26-E71897C3830E}"/>
    <cellStyle name="Normal 5 2 2 2 7 2 3" xfId="13275" xr:uid="{2747463B-BCAE-4DC6-B900-51C321A3EDD9}"/>
    <cellStyle name="Normal 5 2 2 2 7 3" xfId="6021" xr:uid="{00000000-0005-0000-0000-00008F170000}"/>
    <cellStyle name="Normal 5 2 2 2 7 3 2" xfId="15347" xr:uid="{0AF485DD-F302-41D4-9441-1ECD594918F0}"/>
    <cellStyle name="Normal 5 2 2 2 7 4" xfId="11130" xr:uid="{DA0805F1-3711-48C0-BDA4-8FC050C1B6AF}"/>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7BE833BC-A9D0-421D-A342-9509C5C3E086}"/>
    <cellStyle name="Normal 5 2 2 2 8 2 3" xfId="13688" xr:uid="{66CA5B46-7173-4334-901D-EA8D17248B78}"/>
    <cellStyle name="Normal 5 2 2 2 8 3" xfId="6434" xr:uid="{00000000-0005-0000-0000-000093170000}"/>
    <cellStyle name="Normal 5 2 2 2 8 3 2" xfId="15760" xr:uid="{982A737B-BE16-4857-A9E0-E31ACB02B80A}"/>
    <cellStyle name="Normal 5 2 2 2 8 4" xfId="11543" xr:uid="{BEF0877D-7983-4EB6-99BE-3C1468D969BA}"/>
    <cellStyle name="Normal 5 2 2 2 9" xfId="2564" xr:uid="{00000000-0005-0000-0000-000094170000}"/>
    <cellStyle name="Normal 5 2 2 2 9 2" xfId="6847" xr:uid="{00000000-0005-0000-0000-000095170000}"/>
    <cellStyle name="Normal 5 2 2 2 9 2 2" xfId="16173" xr:uid="{C728D3AC-1B3C-4FBD-9963-9EE999AFF0C2}"/>
    <cellStyle name="Normal 5 2 2 2 9 3" xfId="11956" xr:uid="{67077B23-C9FF-402C-BAB5-38EA9C0DE04D}"/>
    <cellStyle name="Normal 5 2 2 3" xfId="417" xr:uid="{00000000-0005-0000-0000-000096170000}"/>
    <cellStyle name="Normal 5 2 2 3 10" xfId="8828" xr:uid="{5CED8211-F967-469B-812B-9DF6FC250177}"/>
    <cellStyle name="Normal 5 2 2 3 11" xfId="9899" xr:uid="{3630BF79-C23C-476F-8990-6D71622B1CFC}"/>
    <cellStyle name="Normal 5 2 2 3 2" xfId="418" xr:uid="{00000000-0005-0000-0000-000097170000}"/>
    <cellStyle name="Normal 5 2 2 3 2 10" xfId="9900" xr:uid="{9296DC06-FAAF-40DA-A04A-7490320DA307}"/>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8B52C60F-139E-4670-A52F-018FFE0C15C3}"/>
    <cellStyle name="Normal 5 2 2 3 2 2 2 2 3" xfId="12459" xr:uid="{82769B28-C986-40A3-967D-5CDD83374C15}"/>
    <cellStyle name="Normal 5 2 2 3 2 2 2 3" xfId="5205" xr:uid="{00000000-0005-0000-0000-00009C170000}"/>
    <cellStyle name="Normal 5 2 2 3 2 2 2 3 2" xfId="14531" xr:uid="{2F4217BC-D111-4451-B535-8968721B9C53}"/>
    <cellStyle name="Normal 5 2 2 3 2 2 2 4" xfId="9563" xr:uid="{804E641C-B5FA-46A3-B805-C1D4AF390C28}"/>
    <cellStyle name="Normal 5 2 2 3 2 2 2 5" xfId="10314" xr:uid="{E7D11BA4-40BC-44C3-8C20-19844B035436}"/>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00046807-0F74-4276-8C5B-CFCF80665121}"/>
    <cellStyle name="Normal 5 2 2 3 2 2 3 2 3" xfId="12872" xr:uid="{254B902D-6998-46E5-9061-10768DB1B668}"/>
    <cellStyle name="Normal 5 2 2 3 2 2 3 3" xfId="5618" xr:uid="{00000000-0005-0000-0000-0000A0170000}"/>
    <cellStyle name="Normal 5 2 2 3 2 2 3 3 2" xfId="14944" xr:uid="{47787D1B-1F9E-4FBE-BD23-17E03CD26895}"/>
    <cellStyle name="Normal 5 2 2 3 2 2 3 4" xfId="10727" xr:uid="{CE84E40A-275B-4CD5-9885-37461CDFE6EF}"/>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4DA0A6ED-E919-4333-AB4D-B92C65F36D36}"/>
    <cellStyle name="Normal 5 2 2 3 2 2 4 2 3" xfId="13285" xr:uid="{3DDC57C8-7DF7-4D13-8E8F-2969A7D23CA9}"/>
    <cellStyle name="Normal 5 2 2 3 2 2 4 3" xfId="6031" xr:uid="{00000000-0005-0000-0000-0000A4170000}"/>
    <cellStyle name="Normal 5 2 2 3 2 2 4 3 2" xfId="15357" xr:uid="{57F56208-0B86-4654-9FA5-0B9E5A81495F}"/>
    <cellStyle name="Normal 5 2 2 3 2 2 4 4" xfId="11140" xr:uid="{36673995-CB6D-4A0E-A569-DE9EC7CCEF6B}"/>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8A6F5277-66A4-4314-991B-4BDF5D73FEDA}"/>
    <cellStyle name="Normal 5 2 2 3 2 2 5 2 3" xfId="13698" xr:uid="{D8D8434B-E00D-4C86-8789-6DCF8B92D2ED}"/>
    <cellStyle name="Normal 5 2 2 3 2 2 5 3" xfId="6444" xr:uid="{00000000-0005-0000-0000-0000A8170000}"/>
    <cellStyle name="Normal 5 2 2 3 2 2 5 3 2" xfId="15770" xr:uid="{D6D45D96-4B1A-4E16-875D-5B95B869E701}"/>
    <cellStyle name="Normal 5 2 2 3 2 2 5 4" xfId="11553" xr:uid="{AB3CB47B-B218-443A-ACDB-ED32916D72CA}"/>
    <cellStyle name="Normal 5 2 2 3 2 2 6" xfId="2574" xr:uid="{00000000-0005-0000-0000-0000A9170000}"/>
    <cellStyle name="Normal 5 2 2 3 2 2 6 2" xfId="6857" xr:uid="{00000000-0005-0000-0000-0000AA170000}"/>
    <cellStyle name="Normal 5 2 2 3 2 2 6 2 2" xfId="16183" xr:uid="{5D91BF15-7901-4047-977D-6CB9AFE58EF9}"/>
    <cellStyle name="Normal 5 2 2 3 2 2 6 3" xfId="11966" xr:uid="{E36465F7-DABA-4BF7-AC77-F102A2449454}"/>
    <cellStyle name="Normal 5 2 2 3 2 2 7" xfId="4792" xr:uid="{00000000-0005-0000-0000-0000AB170000}"/>
    <cellStyle name="Normal 5 2 2 3 2 2 7 2" xfId="14118" xr:uid="{EFD095B2-A162-40F6-AA30-14A6FE87E938}"/>
    <cellStyle name="Normal 5 2 2 3 2 2 8" xfId="9138" xr:uid="{BE73D583-3CAB-48A9-8A6F-E88EE69D1D1D}"/>
    <cellStyle name="Normal 5 2 2 3 2 2 9" xfId="9901" xr:uid="{C869A052-F281-4029-9276-7569E09FCC61}"/>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573313A3-A6BF-4B2E-B166-1078969CEFB3}"/>
    <cellStyle name="Normal 5 2 2 3 2 3 2 3" xfId="12458" xr:uid="{71FEBF2F-61C2-4B24-A3F7-110459B207C9}"/>
    <cellStyle name="Normal 5 2 2 3 2 3 3" xfId="5204" xr:uid="{00000000-0005-0000-0000-0000AF170000}"/>
    <cellStyle name="Normal 5 2 2 3 2 3 3 2" xfId="14530" xr:uid="{41023592-04BD-406E-B5C2-344D028CE4D7}"/>
    <cellStyle name="Normal 5 2 2 3 2 3 4" xfId="9356" xr:uid="{58BAA3B3-A7A2-4F6F-9929-D8BE9F0A557D}"/>
    <cellStyle name="Normal 5 2 2 3 2 3 5" xfId="10313" xr:uid="{1F5E57BF-B4EE-4F5A-A92C-F38262B2929C}"/>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7BA92490-ADB5-460A-BF61-4FA144D1A73F}"/>
    <cellStyle name="Normal 5 2 2 3 2 4 2 3" xfId="12871" xr:uid="{553DEE7C-B853-4970-A726-50FE9ABE4AE5}"/>
    <cellStyle name="Normal 5 2 2 3 2 4 3" xfId="5617" xr:uid="{00000000-0005-0000-0000-0000B3170000}"/>
    <cellStyle name="Normal 5 2 2 3 2 4 3 2" xfId="14943" xr:uid="{938737D2-2B51-40C8-9B68-0541B85CB117}"/>
    <cellStyle name="Normal 5 2 2 3 2 4 4" xfId="10726" xr:uid="{E3D80F49-74C8-4CD1-8B1B-36D1CC534D0A}"/>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17EDFB00-C0E8-46A2-9F6A-86038636B924}"/>
    <cellStyle name="Normal 5 2 2 3 2 5 2 3" xfId="13284" xr:uid="{69D3D91C-0F09-4D0E-BC0B-8853EE71C506}"/>
    <cellStyle name="Normal 5 2 2 3 2 5 3" xfId="6030" xr:uid="{00000000-0005-0000-0000-0000B7170000}"/>
    <cellStyle name="Normal 5 2 2 3 2 5 3 2" xfId="15356" xr:uid="{B2EA2BFD-5034-4AA3-B23C-CD23F3FDF6E2}"/>
    <cellStyle name="Normal 5 2 2 3 2 5 4" xfId="11139" xr:uid="{4CA752E7-D1F5-4B7D-A92A-09C98A503DD4}"/>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558B089A-83CA-4473-943B-96A21A8A81F2}"/>
    <cellStyle name="Normal 5 2 2 3 2 6 2 3" xfId="13697" xr:uid="{DC55B705-7CCE-4332-8CCE-3E0B595932CC}"/>
    <cellStyle name="Normal 5 2 2 3 2 6 3" xfId="6443" xr:uid="{00000000-0005-0000-0000-0000BB170000}"/>
    <cellStyle name="Normal 5 2 2 3 2 6 3 2" xfId="15769" xr:uid="{EB658B98-FF77-4A4C-8E41-DB57E9D40E46}"/>
    <cellStyle name="Normal 5 2 2 3 2 6 4" xfId="11552" xr:uid="{C2868A44-B181-44AD-94D4-DCF71CBDB9C8}"/>
    <cellStyle name="Normal 5 2 2 3 2 7" xfId="2573" xr:uid="{00000000-0005-0000-0000-0000BC170000}"/>
    <cellStyle name="Normal 5 2 2 3 2 7 2" xfId="6856" xr:uid="{00000000-0005-0000-0000-0000BD170000}"/>
    <cellStyle name="Normal 5 2 2 3 2 7 2 2" xfId="16182" xr:uid="{FE98501A-B226-4768-A11B-CFCD511F6B5D}"/>
    <cellStyle name="Normal 5 2 2 3 2 7 3" xfId="11965" xr:uid="{74E335FF-57B9-483D-949A-98A1948731E3}"/>
    <cellStyle name="Normal 5 2 2 3 2 8" xfId="4791" xr:uid="{00000000-0005-0000-0000-0000BE170000}"/>
    <cellStyle name="Normal 5 2 2 3 2 8 2" xfId="14117" xr:uid="{97E5302D-FC8C-46B0-87F8-FCBBD35371F5}"/>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AE3DC565-C8C4-412A-9966-3AF8E6C38953}"/>
    <cellStyle name="Normal 5 2 2 3 3 2 2 3" xfId="12460" xr:uid="{0E56708A-36B1-4891-8DF5-37B0B2F63CEB}"/>
    <cellStyle name="Normal 5 2 2 3 3 2 3" xfId="5206" xr:uid="{00000000-0005-0000-0000-0000C3170000}"/>
    <cellStyle name="Normal 5 2 2 3 3 2 3 2" xfId="14532" xr:uid="{28F164BA-2490-428C-9F84-B5C7ED2E4230}"/>
    <cellStyle name="Normal 5 2 2 3 3 2 4" xfId="9460" xr:uid="{423E0BE9-24F3-4EF0-8962-2565594BF831}"/>
    <cellStyle name="Normal 5 2 2 3 3 2 5" xfId="10315" xr:uid="{21ED4C0C-0A42-4F70-8C8F-AEFA5EACC713}"/>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D8A07A6F-0260-44AD-B834-06B79ECDC4F9}"/>
    <cellStyle name="Normal 5 2 2 3 3 3 2 3" xfId="12873" xr:uid="{104C9D7C-402C-46D5-8E24-B02BAE954B12}"/>
    <cellStyle name="Normal 5 2 2 3 3 3 3" xfId="5619" xr:uid="{00000000-0005-0000-0000-0000C7170000}"/>
    <cellStyle name="Normal 5 2 2 3 3 3 3 2" xfId="14945" xr:uid="{5FC18C81-830E-4E44-A3F9-F339A88C8910}"/>
    <cellStyle name="Normal 5 2 2 3 3 3 4" xfId="10728" xr:uid="{1F144CDD-EE20-4D14-B1C1-D340D2DA8F99}"/>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713BA146-80CD-4BDD-8114-43D44EC30C76}"/>
    <cellStyle name="Normal 5 2 2 3 3 4 2 3" xfId="13286" xr:uid="{71B445C1-6779-416C-8C55-053E54BEB35E}"/>
    <cellStyle name="Normal 5 2 2 3 3 4 3" xfId="6032" xr:uid="{00000000-0005-0000-0000-0000CB170000}"/>
    <cellStyle name="Normal 5 2 2 3 3 4 3 2" xfId="15358" xr:uid="{B4510CF0-EB9D-4404-9979-9DFD3BC74041}"/>
    <cellStyle name="Normal 5 2 2 3 3 4 4" xfId="11141" xr:uid="{0FEF8A74-8DB4-4AEB-807D-52FEBA771BD9}"/>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5524E8F5-EBE8-4AB1-9483-28188181A311}"/>
    <cellStyle name="Normal 5 2 2 3 3 5 2 3" xfId="13699" xr:uid="{098EA36A-91FA-46B6-B048-BB85D0DD4785}"/>
    <cellStyle name="Normal 5 2 2 3 3 5 3" xfId="6445" xr:uid="{00000000-0005-0000-0000-0000CF170000}"/>
    <cellStyle name="Normal 5 2 2 3 3 5 3 2" xfId="15771" xr:uid="{A8AD5BD4-6757-42A9-80F8-BC898A8BED33}"/>
    <cellStyle name="Normal 5 2 2 3 3 5 4" xfId="11554" xr:uid="{714F8EFA-B76E-487F-9091-0D80EA749484}"/>
    <cellStyle name="Normal 5 2 2 3 3 6" xfId="2575" xr:uid="{00000000-0005-0000-0000-0000D0170000}"/>
    <cellStyle name="Normal 5 2 2 3 3 6 2" xfId="6858" xr:uid="{00000000-0005-0000-0000-0000D1170000}"/>
    <cellStyle name="Normal 5 2 2 3 3 6 2 2" xfId="16184" xr:uid="{09E73290-2389-4047-B37D-032F7B6AA741}"/>
    <cellStyle name="Normal 5 2 2 3 3 6 3" xfId="11967" xr:uid="{B67A588D-8B05-478A-A63F-96A68D8647A8}"/>
    <cellStyle name="Normal 5 2 2 3 3 7" xfId="4793" xr:uid="{00000000-0005-0000-0000-0000D2170000}"/>
    <cellStyle name="Normal 5 2 2 3 3 7 2" xfId="14119" xr:uid="{AD6C8A80-37A3-4CD5-8399-CAC26E573CDE}"/>
    <cellStyle name="Normal 5 2 2 3 3 8" xfId="9035" xr:uid="{6AC57173-16AF-4847-A277-E4254AACDA36}"/>
    <cellStyle name="Normal 5 2 2 3 3 9" xfId="9902" xr:uid="{51E0EBAA-5792-4A44-9BCC-A491175E9D17}"/>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34854B86-5B84-4FB1-9DE6-A3C7A989C421}"/>
    <cellStyle name="Normal 5 2 2 3 4 2 3" xfId="12457" xr:uid="{37CA0493-D76B-4DDF-98C6-CC0391692A4A}"/>
    <cellStyle name="Normal 5 2 2 3 4 3" xfId="5203" xr:uid="{00000000-0005-0000-0000-0000D6170000}"/>
    <cellStyle name="Normal 5 2 2 3 4 3 2" xfId="14529" xr:uid="{32374919-FF33-46A9-84D2-C96CAF2B8AE2}"/>
    <cellStyle name="Normal 5 2 2 3 4 4" xfId="9253" xr:uid="{A5C3AAF9-67DD-41B1-A0BF-05B69F588F71}"/>
    <cellStyle name="Normal 5 2 2 3 4 5" xfId="10312" xr:uid="{D9CFAAC0-2532-4C9B-B254-989F8E20B16F}"/>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35F2AE1E-DFD5-4C13-85F6-CF017D49EFEF}"/>
    <cellStyle name="Normal 5 2 2 3 5 2 3" xfId="12870" xr:uid="{E6C88AFB-4005-4A93-B0D5-BA36ADBADD6F}"/>
    <cellStyle name="Normal 5 2 2 3 5 3" xfId="5616" xr:uid="{00000000-0005-0000-0000-0000DA170000}"/>
    <cellStyle name="Normal 5 2 2 3 5 3 2" xfId="14942" xr:uid="{3742599B-CDC9-49C2-9433-AC12222AADC5}"/>
    <cellStyle name="Normal 5 2 2 3 5 4" xfId="10725" xr:uid="{13013FBD-3B6C-4997-8D5C-252DE1ED191E}"/>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A2EBB554-0CA6-4B59-92EC-4F639EBA447A}"/>
    <cellStyle name="Normal 5 2 2 3 6 2 3" xfId="13283" xr:uid="{23841D5A-1478-4786-87A8-9E67BBCF0E7C}"/>
    <cellStyle name="Normal 5 2 2 3 6 3" xfId="6029" xr:uid="{00000000-0005-0000-0000-0000DE170000}"/>
    <cellStyle name="Normal 5 2 2 3 6 3 2" xfId="15355" xr:uid="{774F0F17-1E11-4006-A512-622092D31913}"/>
    <cellStyle name="Normal 5 2 2 3 6 4" xfId="11138" xr:uid="{EB55535B-BAEC-4C37-870F-2DBB78633AD0}"/>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A1FA27BD-6EB4-45C2-ACCD-E0C84168F001}"/>
    <cellStyle name="Normal 5 2 2 3 7 2 3" xfId="13696" xr:uid="{DCAFD1A4-03E5-490C-AE72-78EA0169D24A}"/>
    <cellStyle name="Normal 5 2 2 3 7 3" xfId="6442" xr:uid="{00000000-0005-0000-0000-0000E2170000}"/>
    <cellStyle name="Normal 5 2 2 3 7 3 2" xfId="15768" xr:uid="{C7FCF238-03F7-4FEC-914C-8BEA0E499215}"/>
    <cellStyle name="Normal 5 2 2 3 7 4" xfId="11551" xr:uid="{B92CA499-6E8E-4840-A8C1-70EB090FED01}"/>
    <cellStyle name="Normal 5 2 2 3 8" xfId="2572" xr:uid="{00000000-0005-0000-0000-0000E3170000}"/>
    <cellStyle name="Normal 5 2 2 3 8 2" xfId="6855" xr:uid="{00000000-0005-0000-0000-0000E4170000}"/>
    <cellStyle name="Normal 5 2 2 3 8 2 2" xfId="16181" xr:uid="{6D0A7670-4C0D-44B0-AF70-F0A5577E425E}"/>
    <cellStyle name="Normal 5 2 2 3 8 3" xfId="11964" xr:uid="{BE266C2A-5C2B-4DF1-964D-DB23274F3C5C}"/>
    <cellStyle name="Normal 5 2 2 3 9" xfId="4790" xr:uid="{00000000-0005-0000-0000-0000E5170000}"/>
    <cellStyle name="Normal 5 2 2 3 9 2" xfId="14116" xr:uid="{E71F6732-D7AE-4C71-AFC4-0B8083D23BBC}"/>
    <cellStyle name="Normal 5 2 2 4" xfId="421" xr:uid="{00000000-0005-0000-0000-0000E6170000}"/>
    <cellStyle name="Normal 5 2 2 4 10" xfId="9903" xr:uid="{6937B38A-66CD-4CDA-BDC3-698362E9DB4B}"/>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60BB9CBC-8678-4144-975F-AA20C69EA861}"/>
    <cellStyle name="Normal 5 2 2 4 2 2 2 3" xfId="12462" xr:uid="{C9EA6BE4-F78B-4968-8EA7-18E7FFCA2D2C}"/>
    <cellStyle name="Normal 5 2 2 4 2 2 3" xfId="5208" xr:uid="{00000000-0005-0000-0000-0000EB170000}"/>
    <cellStyle name="Normal 5 2 2 4 2 2 3 2" xfId="14534" xr:uid="{63456CDC-5E68-443D-9D1E-E1A1347328FD}"/>
    <cellStyle name="Normal 5 2 2 4 2 2 4" xfId="9488" xr:uid="{2997B11D-E810-48A4-BD3C-4498479B295E}"/>
    <cellStyle name="Normal 5 2 2 4 2 2 5" xfId="10317" xr:uid="{FB52FD90-F4FF-499F-8563-24BC39DABCFC}"/>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3D0592CE-7F67-49CC-B349-8E4854764759}"/>
    <cellStyle name="Normal 5 2 2 4 2 3 2 3" xfId="12875" xr:uid="{7D7911AA-4047-4836-8053-82468BC2CCE5}"/>
    <cellStyle name="Normal 5 2 2 4 2 3 3" xfId="5621" xr:uid="{00000000-0005-0000-0000-0000EF170000}"/>
    <cellStyle name="Normal 5 2 2 4 2 3 3 2" xfId="14947" xr:uid="{72F658C3-866E-447E-AFD4-873904E7F72F}"/>
    <cellStyle name="Normal 5 2 2 4 2 3 4" xfId="10730" xr:uid="{86E0A0A8-7A4A-435C-8882-CDBF44802CAB}"/>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804C902A-1D16-4179-8F31-A0B390A32C7A}"/>
    <cellStyle name="Normal 5 2 2 4 2 4 2 3" xfId="13288" xr:uid="{F08D920E-B133-401E-B18A-8938107649F0}"/>
    <cellStyle name="Normal 5 2 2 4 2 4 3" xfId="6034" xr:uid="{00000000-0005-0000-0000-0000F3170000}"/>
    <cellStyle name="Normal 5 2 2 4 2 4 3 2" xfId="15360" xr:uid="{CD418884-9863-4BBE-BC66-4E7217B3D00D}"/>
    <cellStyle name="Normal 5 2 2 4 2 4 4" xfId="11143" xr:uid="{7BAC7211-0874-4AC6-9753-4CF636FC3352}"/>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91D10C7F-9607-42C1-B196-78EACD048AA2}"/>
    <cellStyle name="Normal 5 2 2 4 2 5 2 3" xfId="13701" xr:uid="{FA67ECD3-8983-4FB5-B26D-F890B64557CC}"/>
    <cellStyle name="Normal 5 2 2 4 2 5 3" xfId="6447" xr:uid="{00000000-0005-0000-0000-0000F7170000}"/>
    <cellStyle name="Normal 5 2 2 4 2 5 3 2" xfId="15773" xr:uid="{FFCB6E1F-7FC1-414E-B81C-B55734246FFB}"/>
    <cellStyle name="Normal 5 2 2 4 2 5 4" xfId="11556" xr:uid="{C4E59A38-6A9C-4A94-A64E-B5BB01631237}"/>
    <cellStyle name="Normal 5 2 2 4 2 6" xfId="2577" xr:uid="{00000000-0005-0000-0000-0000F8170000}"/>
    <cellStyle name="Normal 5 2 2 4 2 6 2" xfId="6860" xr:uid="{00000000-0005-0000-0000-0000F9170000}"/>
    <cellStyle name="Normal 5 2 2 4 2 6 2 2" xfId="16186" xr:uid="{239AED97-0665-4659-BA24-62316E2418A3}"/>
    <cellStyle name="Normal 5 2 2 4 2 6 3" xfId="11969" xr:uid="{25FB5930-3303-453B-94C6-9A3CD89FC5AC}"/>
    <cellStyle name="Normal 5 2 2 4 2 7" xfId="4795" xr:uid="{00000000-0005-0000-0000-0000FA170000}"/>
    <cellStyle name="Normal 5 2 2 4 2 7 2" xfId="14121" xr:uid="{0D13BAEB-BC52-4776-BEF9-CE495237E8E2}"/>
    <cellStyle name="Normal 5 2 2 4 2 8" xfId="9063" xr:uid="{3B1AA107-8D7F-4938-A60C-EED41E9B9A2A}"/>
    <cellStyle name="Normal 5 2 2 4 2 9" xfId="9904" xr:uid="{A92ABA83-B751-4569-A2B5-88855530831D}"/>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FEDF27B4-2495-4666-AED7-43167EF9C10D}"/>
    <cellStyle name="Normal 5 2 2 4 3 2 3" xfId="12461" xr:uid="{C3418D7A-7117-4102-959E-2703FFA1D728}"/>
    <cellStyle name="Normal 5 2 2 4 3 3" xfId="5207" xr:uid="{00000000-0005-0000-0000-0000FE170000}"/>
    <cellStyle name="Normal 5 2 2 4 3 3 2" xfId="14533" xr:uid="{9A83F83F-ACA8-43DF-922B-04A69E021812}"/>
    <cellStyle name="Normal 5 2 2 4 3 4" xfId="9281" xr:uid="{9304050F-95A7-4BE3-AD21-FEBB7D0875B2}"/>
    <cellStyle name="Normal 5 2 2 4 3 5" xfId="10316" xr:uid="{7C739570-578D-4ED8-B29D-C924B6B6F517}"/>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AB24EBA0-0ECA-4D95-A860-7ED62BE161A4}"/>
    <cellStyle name="Normal 5 2 2 4 4 2 3" xfId="12874" xr:uid="{292A4706-18EF-45F6-813B-D081D9AB50A3}"/>
    <cellStyle name="Normal 5 2 2 4 4 3" xfId="5620" xr:uid="{00000000-0005-0000-0000-000002180000}"/>
    <cellStyle name="Normal 5 2 2 4 4 3 2" xfId="14946" xr:uid="{B1172244-A3E0-43C4-BA45-451EBC23568E}"/>
    <cellStyle name="Normal 5 2 2 4 4 4" xfId="10729" xr:uid="{D5786C08-5155-495A-9468-0C526B232F31}"/>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25B31188-1C8F-40EA-B272-50500B41547F}"/>
    <cellStyle name="Normal 5 2 2 4 5 2 3" xfId="13287" xr:uid="{5FA90A0F-BE29-474C-B45B-106273D52F79}"/>
    <cellStyle name="Normal 5 2 2 4 5 3" xfId="6033" xr:uid="{00000000-0005-0000-0000-000006180000}"/>
    <cellStyle name="Normal 5 2 2 4 5 3 2" xfId="15359" xr:uid="{3B5E9BDB-0E4D-4B27-8C80-F60493A6D70D}"/>
    <cellStyle name="Normal 5 2 2 4 5 4" xfId="11142" xr:uid="{B66E6119-D70C-44EF-B11E-37EF327E6123}"/>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5F3F70AD-A6FF-435D-AD71-EF4E68DE4046}"/>
    <cellStyle name="Normal 5 2 2 4 6 2 3" xfId="13700" xr:uid="{479ADC31-9D64-400D-98AC-1ACD66B4E0B0}"/>
    <cellStyle name="Normal 5 2 2 4 6 3" xfId="6446" xr:uid="{00000000-0005-0000-0000-00000A180000}"/>
    <cellStyle name="Normal 5 2 2 4 6 3 2" xfId="15772" xr:uid="{67A116D1-A9AC-4062-815C-43BB288EA8E8}"/>
    <cellStyle name="Normal 5 2 2 4 6 4" xfId="11555" xr:uid="{4DDB7E51-DB91-4A00-81AB-15DAAA7CBE01}"/>
    <cellStyle name="Normal 5 2 2 4 7" xfId="2576" xr:uid="{00000000-0005-0000-0000-00000B180000}"/>
    <cellStyle name="Normal 5 2 2 4 7 2" xfId="6859" xr:uid="{00000000-0005-0000-0000-00000C180000}"/>
    <cellStyle name="Normal 5 2 2 4 7 2 2" xfId="16185" xr:uid="{13E9A86C-D60E-46EF-9B86-7FC5F75D017D}"/>
    <cellStyle name="Normal 5 2 2 4 7 3" xfId="11968" xr:uid="{5F4F8527-255D-48B9-835D-1CBCABD89763}"/>
    <cellStyle name="Normal 5 2 2 4 8" xfId="4794" xr:uid="{00000000-0005-0000-0000-00000D180000}"/>
    <cellStyle name="Normal 5 2 2 4 8 2" xfId="14120" xr:uid="{A7DE41D6-FBB5-4E8E-8C75-121835B3553E}"/>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89BCAE2B-35FE-4102-BF63-43BCDF094A5C}"/>
    <cellStyle name="Normal 5 2 2 5 2 2 3" xfId="12463" xr:uid="{D2D0AE95-DBDF-4A42-80EC-E2D0DBC6379E}"/>
    <cellStyle name="Normal 5 2 2 5 2 3" xfId="5209" xr:uid="{00000000-0005-0000-0000-000012180000}"/>
    <cellStyle name="Normal 5 2 2 5 2 3 2" xfId="14535" xr:uid="{AC2D35F3-BCF8-4A27-9FCF-8E8D76770140}"/>
    <cellStyle name="Normal 5 2 2 5 2 4" xfId="9397" xr:uid="{3CB0B9A4-F907-4F52-ACFC-7970F7AF9B13}"/>
    <cellStyle name="Normal 5 2 2 5 2 5" xfId="10318" xr:uid="{73AA70CF-7A2C-4143-86DD-7775093CE24F}"/>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1D70B6F3-3E31-4BCB-8B9B-E0C7DD4631BD}"/>
    <cellStyle name="Normal 5 2 2 5 3 2 3" xfId="12876" xr:uid="{5730BA83-54A7-4005-94EA-7B4C1C4010DC}"/>
    <cellStyle name="Normal 5 2 2 5 3 3" xfId="5622" xr:uid="{00000000-0005-0000-0000-000016180000}"/>
    <cellStyle name="Normal 5 2 2 5 3 3 2" xfId="14948" xr:uid="{EB6D855D-BF58-4CA1-B0CC-AC571FD6BAFF}"/>
    <cellStyle name="Normal 5 2 2 5 3 4" xfId="10731" xr:uid="{AF040C09-235C-4BF0-AB1B-032E3626CB1B}"/>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042C57BA-44AB-4C7D-BE53-3ABFD0C1C9C3}"/>
    <cellStyle name="Normal 5 2 2 5 4 2 3" xfId="13289" xr:uid="{60C1A085-4B34-4356-8B0E-5DE370A0A1CD}"/>
    <cellStyle name="Normal 5 2 2 5 4 3" xfId="6035" xr:uid="{00000000-0005-0000-0000-00001A180000}"/>
    <cellStyle name="Normal 5 2 2 5 4 3 2" xfId="15361" xr:uid="{2A0EED36-5B1A-46DF-9757-F6DFB63C8C54}"/>
    <cellStyle name="Normal 5 2 2 5 4 4" xfId="11144" xr:uid="{71E92886-2BBD-426E-A715-BDFF7D0B79CA}"/>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C057DA3D-8093-4E92-AB5F-90C33A05EAAB}"/>
    <cellStyle name="Normal 5 2 2 5 5 2 3" xfId="13702" xr:uid="{D4CF540C-DA5F-42E0-BD44-6BB6079B68F0}"/>
    <cellStyle name="Normal 5 2 2 5 5 3" xfId="6448" xr:uid="{00000000-0005-0000-0000-00001E180000}"/>
    <cellStyle name="Normal 5 2 2 5 5 3 2" xfId="15774" xr:uid="{C4D2FD45-3088-4D6D-AA42-C719614DA1FF}"/>
    <cellStyle name="Normal 5 2 2 5 5 4" xfId="11557" xr:uid="{03C3A13C-9F71-40AC-9967-3F8D820F9AA4}"/>
    <cellStyle name="Normal 5 2 2 5 6" xfId="2578" xr:uid="{00000000-0005-0000-0000-00001F180000}"/>
    <cellStyle name="Normal 5 2 2 5 6 2" xfId="6861" xr:uid="{00000000-0005-0000-0000-000020180000}"/>
    <cellStyle name="Normal 5 2 2 5 6 2 2" xfId="16187" xr:uid="{A1AAA1C3-4CFE-4A56-B6FB-B3DAFD9D42B6}"/>
    <cellStyle name="Normal 5 2 2 5 6 3" xfId="11970" xr:uid="{04F5472F-3D69-4D22-94AD-7BD35B9D8F4D}"/>
    <cellStyle name="Normal 5 2 2 5 7" xfId="4796" xr:uid="{00000000-0005-0000-0000-000021180000}"/>
    <cellStyle name="Normal 5 2 2 5 7 2" xfId="14122" xr:uid="{9F91B6D9-AD73-4A49-85FE-79AB0963F4F6}"/>
    <cellStyle name="Normal 5 2 2 5 8" xfId="8972" xr:uid="{3CCC8856-6464-4309-A4F9-43F74A48C503}"/>
    <cellStyle name="Normal 5 2 2 5 9" xfId="9905" xr:uid="{F8C49A68-0CF6-4FB1-85DA-CC62237921C1}"/>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DB8141A7-CDC3-4DD2-9842-6440CF4DF480}"/>
    <cellStyle name="Normal 5 2 2 6 2 3" xfId="12448" xr:uid="{050E63AA-820D-4C49-8E04-89A3A56687AB}"/>
    <cellStyle name="Normal 5 2 2 6 3" xfId="5194" xr:uid="{00000000-0005-0000-0000-000025180000}"/>
    <cellStyle name="Normal 5 2 2 6 3 2" xfId="14520" xr:uid="{6610D6F1-853C-4F55-A973-8802DBB7FDEF}"/>
    <cellStyle name="Normal 5 2 2 6 4" xfId="9175" xr:uid="{A0BC076A-DB75-4963-A17E-57836FA6391D}"/>
    <cellStyle name="Normal 5 2 2 6 5" xfId="10303" xr:uid="{5AE6E26E-2CC0-4E43-9006-11988A303A56}"/>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93F2BB32-21C8-4D74-8975-327A2C26838E}"/>
    <cellStyle name="Normal 5 2 2 7 2 3" xfId="12861" xr:uid="{4F48ACA4-0EC6-4259-8C70-957E1B729CAA}"/>
    <cellStyle name="Normal 5 2 2 7 3" xfId="5607" xr:uid="{00000000-0005-0000-0000-000029180000}"/>
    <cellStyle name="Normal 5 2 2 7 3 2" xfId="14933" xr:uid="{FD3A28DD-FFF8-4FB1-8921-B7A5A03DA032}"/>
    <cellStyle name="Normal 5 2 2 7 4" xfId="10716" xr:uid="{CD0AF3B7-606C-4B56-A47B-C84972CBF421}"/>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A05164AC-FCF5-479C-B136-0F1CCB898D0A}"/>
    <cellStyle name="Normal 5 2 2 8 2 3" xfId="13274" xr:uid="{E28B7499-5131-4F62-9EB6-D0C5A9137C74}"/>
    <cellStyle name="Normal 5 2 2 8 3" xfId="6020" xr:uid="{00000000-0005-0000-0000-00002D180000}"/>
    <cellStyle name="Normal 5 2 2 8 3 2" xfId="15346" xr:uid="{E244DE98-AE83-4414-92E2-2BB25C675F12}"/>
    <cellStyle name="Normal 5 2 2 8 4" xfId="11129" xr:uid="{328AD20F-DE42-47A3-8AF4-178863CDF5E2}"/>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1A79B3FD-DA8E-47E8-9077-A6717995A739}"/>
    <cellStyle name="Normal 5 2 2 9 2 3" xfId="13687" xr:uid="{E522699D-AC42-4F84-9994-D25343D4280C}"/>
    <cellStyle name="Normal 5 2 2 9 3" xfId="6433" xr:uid="{00000000-0005-0000-0000-000031180000}"/>
    <cellStyle name="Normal 5 2 2 9 3 2" xfId="15759" xr:uid="{F363959F-AC2E-4A33-A402-E652FA033320}"/>
    <cellStyle name="Normal 5 2 2 9 4" xfId="11542" xr:uid="{06FAD5EC-3497-4488-A605-496F8F935E14}"/>
    <cellStyle name="Normal 5 2 3" xfId="424" xr:uid="{00000000-0005-0000-0000-000032180000}"/>
    <cellStyle name="Normal 5 2 3 10" xfId="4797" xr:uid="{00000000-0005-0000-0000-000033180000}"/>
    <cellStyle name="Normal 5 2 3 10 2" xfId="14123" xr:uid="{3C59F943-BEF2-44CE-99FC-E84DEBA395B5}"/>
    <cellStyle name="Normal 5 2 3 11" xfId="8776" xr:uid="{883173D2-CE3E-48F3-8E13-32EAEF7B08C3}"/>
    <cellStyle name="Normal 5 2 3 12" xfId="9906" xr:uid="{E8F2E30D-894D-487B-92BE-32064E7874A7}"/>
    <cellStyle name="Normal 5 2 3 2" xfId="425" xr:uid="{00000000-0005-0000-0000-000034180000}"/>
    <cellStyle name="Normal 5 2 3 2 10" xfId="8830" xr:uid="{287E15F2-6F23-4B3E-B8AA-9DE92D950FBA}"/>
    <cellStyle name="Normal 5 2 3 2 11" xfId="9907" xr:uid="{67DD996C-BECB-4143-A135-4C2121FC1DE4}"/>
    <cellStyle name="Normal 5 2 3 2 2" xfId="426" xr:uid="{00000000-0005-0000-0000-000035180000}"/>
    <cellStyle name="Normal 5 2 3 2 2 10" xfId="9908" xr:uid="{1D90C178-8BBE-4180-B054-BD65DD2FD18E}"/>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21CAB20B-875D-4E00-8175-E649061ECECA}"/>
    <cellStyle name="Normal 5 2 3 2 2 2 2 2 3" xfId="12467" xr:uid="{D2B6C4F6-269A-4ECB-8020-C4B301A66BEB}"/>
    <cellStyle name="Normal 5 2 3 2 2 2 2 3" xfId="5213" xr:uid="{00000000-0005-0000-0000-00003A180000}"/>
    <cellStyle name="Normal 5 2 3 2 2 2 2 3 2" xfId="14539" xr:uid="{40905FD2-EA7A-42C3-9319-5CBA70D8A9E2}"/>
    <cellStyle name="Normal 5 2 3 2 2 2 2 4" xfId="9565" xr:uid="{B33C5ECB-02D9-4BAF-B467-F38E8EEB7F6E}"/>
    <cellStyle name="Normal 5 2 3 2 2 2 2 5" xfId="10322" xr:uid="{2975DE99-A12B-4D92-BD0D-BC046F952547}"/>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DA0F90F9-34E1-41DF-A568-9E4ADD4ABE65}"/>
    <cellStyle name="Normal 5 2 3 2 2 2 3 2 3" xfId="12880" xr:uid="{9E265382-FC30-43DB-B5FB-A38B42B7CE87}"/>
    <cellStyle name="Normal 5 2 3 2 2 2 3 3" xfId="5626" xr:uid="{00000000-0005-0000-0000-00003E180000}"/>
    <cellStyle name="Normal 5 2 3 2 2 2 3 3 2" xfId="14952" xr:uid="{F7A5F6F7-3FE0-407E-AB05-5CFF585A222B}"/>
    <cellStyle name="Normal 5 2 3 2 2 2 3 4" xfId="10735" xr:uid="{5C5FC412-2301-4645-9B73-1C64111D7665}"/>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F7F006EB-9092-44C7-B923-C01765AC8A0F}"/>
    <cellStyle name="Normal 5 2 3 2 2 2 4 2 3" xfId="13293" xr:uid="{9C3F1197-2B92-46CA-A8D1-5C5C865EF354}"/>
    <cellStyle name="Normal 5 2 3 2 2 2 4 3" xfId="6039" xr:uid="{00000000-0005-0000-0000-000042180000}"/>
    <cellStyle name="Normal 5 2 3 2 2 2 4 3 2" xfId="15365" xr:uid="{5F4B7C64-F959-4986-B588-37092BE59805}"/>
    <cellStyle name="Normal 5 2 3 2 2 2 4 4" xfId="11148" xr:uid="{1D928069-BBD0-4EC3-A9E4-F3C4F3F02C2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3B2A92A0-A19B-498D-BA90-F7D9C1186D75}"/>
    <cellStyle name="Normal 5 2 3 2 2 2 5 2 3" xfId="13706" xr:uid="{47742A0C-5E35-4FF5-8187-88F179C71ACC}"/>
    <cellStyle name="Normal 5 2 3 2 2 2 5 3" xfId="6452" xr:uid="{00000000-0005-0000-0000-000046180000}"/>
    <cellStyle name="Normal 5 2 3 2 2 2 5 3 2" xfId="15778" xr:uid="{1E54D72C-5C59-4454-9051-7CCEEC354C35}"/>
    <cellStyle name="Normal 5 2 3 2 2 2 5 4" xfId="11561" xr:uid="{5C04EF04-81EF-4B49-AF6B-3485943DE2F1}"/>
    <cellStyle name="Normal 5 2 3 2 2 2 6" xfId="2582" xr:uid="{00000000-0005-0000-0000-000047180000}"/>
    <cellStyle name="Normal 5 2 3 2 2 2 6 2" xfId="6865" xr:uid="{00000000-0005-0000-0000-000048180000}"/>
    <cellStyle name="Normal 5 2 3 2 2 2 6 2 2" xfId="16191" xr:uid="{EEA771DA-EED6-453B-BF26-3D74FEFC27E3}"/>
    <cellStyle name="Normal 5 2 3 2 2 2 6 3" xfId="11974" xr:uid="{1FF63952-47DC-488B-B674-98579DE7A987}"/>
    <cellStyle name="Normal 5 2 3 2 2 2 7" xfId="4800" xr:uid="{00000000-0005-0000-0000-000049180000}"/>
    <cellStyle name="Normal 5 2 3 2 2 2 7 2" xfId="14126" xr:uid="{DBC38BA7-49B6-4E91-AB3C-693345BE7DA4}"/>
    <cellStyle name="Normal 5 2 3 2 2 2 8" xfId="9140" xr:uid="{175A16DB-BA54-4083-AB68-1FA46DB27A86}"/>
    <cellStyle name="Normal 5 2 3 2 2 2 9" xfId="9909" xr:uid="{455FA8A3-C5C5-434A-8252-A4D25822ABBB}"/>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6B44D2DF-CB80-4250-9915-1B6775F4F494}"/>
    <cellStyle name="Normal 5 2 3 2 2 3 2 3" xfId="12466" xr:uid="{E150F41B-9F45-4FF0-A281-DE31206AA41A}"/>
    <cellStyle name="Normal 5 2 3 2 2 3 3" xfId="5212" xr:uid="{00000000-0005-0000-0000-00004D180000}"/>
    <cellStyle name="Normal 5 2 3 2 2 3 3 2" xfId="14538" xr:uid="{B4A37F5B-FB0B-46DF-A5C8-74155C7E8749}"/>
    <cellStyle name="Normal 5 2 3 2 2 3 4" xfId="9358" xr:uid="{5B196E7D-8DD9-4C59-A83C-7626B0E60040}"/>
    <cellStyle name="Normal 5 2 3 2 2 3 5" xfId="10321" xr:uid="{3B07859D-3C85-47C4-B5A9-B62B85F67741}"/>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3A688E0F-E23B-4E21-893F-618995553E3F}"/>
    <cellStyle name="Normal 5 2 3 2 2 4 2 3" xfId="12879" xr:uid="{06472F1D-BEF5-4945-8966-EBD8299CB96B}"/>
    <cellStyle name="Normal 5 2 3 2 2 4 3" xfId="5625" xr:uid="{00000000-0005-0000-0000-000051180000}"/>
    <cellStyle name="Normal 5 2 3 2 2 4 3 2" xfId="14951" xr:uid="{41F239E8-0D89-48CC-A4B7-2D322CF41BD7}"/>
    <cellStyle name="Normal 5 2 3 2 2 4 4" xfId="10734" xr:uid="{38DAC883-7A8B-4550-A6BB-A4589C2D8EED}"/>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FA333667-74DF-474C-91C5-D9BA53EC1BC2}"/>
    <cellStyle name="Normal 5 2 3 2 2 5 2 3" xfId="13292" xr:uid="{22BB5969-4676-4D97-BC58-4B7A01CDA99C}"/>
    <cellStyle name="Normal 5 2 3 2 2 5 3" xfId="6038" xr:uid="{00000000-0005-0000-0000-000055180000}"/>
    <cellStyle name="Normal 5 2 3 2 2 5 3 2" xfId="15364" xr:uid="{BFE82B65-8D38-4BC5-8DA7-A0236E0E32F5}"/>
    <cellStyle name="Normal 5 2 3 2 2 5 4" xfId="11147" xr:uid="{C9B6241D-BF40-466C-A125-15C666946C32}"/>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BCD29634-D09C-40E1-97A8-A6635FB68227}"/>
    <cellStyle name="Normal 5 2 3 2 2 6 2 3" xfId="13705" xr:uid="{C7640905-BD6F-4D04-9150-05EBBC1DF82C}"/>
    <cellStyle name="Normal 5 2 3 2 2 6 3" xfId="6451" xr:uid="{00000000-0005-0000-0000-000059180000}"/>
    <cellStyle name="Normal 5 2 3 2 2 6 3 2" xfId="15777" xr:uid="{F4586A56-C88B-4570-A083-BADBF062B3D4}"/>
    <cellStyle name="Normal 5 2 3 2 2 6 4" xfId="11560" xr:uid="{C19082F7-C351-4757-9147-5DDA7CB2D709}"/>
    <cellStyle name="Normal 5 2 3 2 2 7" xfId="2581" xr:uid="{00000000-0005-0000-0000-00005A180000}"/>
    <cellStyle name="Normal 5 2 3 2 2 7 2" xfId="6864" xr:uid="{00000000-0005-0000-0000-00005B180000}"/>
    <cellStyle name="Normal 5 2 3 2 2 7 2 2" xfId="16190" xr:uid="{6BACD276-6094-468A-9EA2-D22EDCA7B1AB}"/>
    <cellStyle name="Normal 5 2 3 2 2 7 3" xfId="11973" xr:uid="{3948084B-0056-43CE-8954-D04130054059}"/>
    <cellStyle name="Normal 5 2 3 2 2 8" xfId="4799" xr:uid="{00000000-0005-0000-0000-00005C180000}"/>
    <cellStyle name="Normal 5 2 3 2 2 8 2" xfId="14125" xr:uid="{EC7E19B1-1A01-48BE-B760-76DE76619B7B}"/>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65E7F9D5-0CA0-4A9E-8539-40FF71BC2F46}"/>
    <cellStyle name="Normal 5 2 3 2 3 2 2 3" xfId="12468" xr:uid="{9D08015E-27FB-463A-878B-78F6AEA242B7}"/>
    <cellStyle name="Normal 5 2 3 2 3 2 3" xfId="5214" xr:uid="{00000000-0005-0000-0000-000061180000}"/>
    <cellStyle name="Normal 5 2 3 2 3 2 3 2" xfId="14540" xr:uid="{82249F1E-B44D-4246-A26F-4D7F922E6B93}"/>
    <cellStyle name="Normal 5 2 3 2 3 2 4" xfId="9462" xr:uid="{B4C14F1A-A88A-428F-A7F8-BAFD7E5CD045}"/>
    <cellStyle name="Normal 5 2 3 2 3 2 5" xfId="10323" xr:uid="{D245A44C-AC77-41F4-ADED-D471F4E8D65B}"/>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F8A45ACB-BEF6-4E02-A6D5-9BE04FDE37F8}"/>
    <cellStyle name="Normal 5 2 3 2 3 3 2 3" xfId="12881" xr:uid="{2BE495BB-B603-4BBA-A9BF-0C219FBE061C}"/>
    <cellStyle name="Normal 5 2 3 2 3 3 3" xfId="5627" xr:uid="{00000000-0005-0000-0000-000065180000}"/>
    <cellStyle name="Normal 5 2 3 2 3 3 3 2" xfId="14953" xr:uid="{6CDBF5F8-FE2C-4FCA-9867-75F98EEE14EE}"/>
    <cellStyle name="Normal 5 2 3 2 3 3 4" xfId="10736" xr:uid="{BBADC71E-562D-49ED-B711-FA7E17883CAC}"/>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A2BE1E5B-6CC8-474D-8C36-B0E16CF0AB09}"/>
    <cellStyle name="Normal 5 2 3 2 3 4 2 3" xfId="13294" xr:uid="{E5FB9052-DBE9-4B46-B507-EEEAC6D3FCB6}"/>
    <cellStyle name="Normal 5 2 3 2 3 4 3" xfId="6040" xr:uid="{00000000-0005-0000-0000-000069180000}"/>
    <cellStyle name="Normal 5 2 3 2 3 4 3 2" xfId="15366" xr:uid="{1402EFED-452F-4BE3-A1E9-FEF2DEB778B5}"/>
    <cellStyle name="Normal 5 2 3 2 3 4 4" xfId="11149" xr:uid="{4FDC681D-5871-4003-9454-4383AEDECA4C}"/>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AF7772E5-FF9D-4222-A639-9DAE38830E46}"/>
    <cellStyle name="Normal 5 2 3 2 3 5 2 3" xfId="13707" xr:uid="{8DEE1DB1-C36E-436A-8569-98F160DFD5FC}"/>
    <cellStyle name="Normal 5 2 3 2 3 5 3" xfId="6453" xr:uid="{00000000-0005-0000-0000-00006D180000}"/>
    <cellStyle name="Normal 5 2 3 2 3 5 3 2" xfId="15779" xr:uid="{056A4DEB-B777-4CB1-B9EC-FAB81FF610E8}"/>
    <cellStyle name="Normal 5 2 3 2 3 5 4" xfId="11562" xr:uid="{714E860E-0FCD-47FE-AEEB-3538DDB72C04}"/>
    <cellStyle name="Normal 5 2 3 2 3 6" xfId="2583" xr:uid="{00000000-0005-0000-0000-00006E180000}"/>
    <cellStyle name="Normal 5 2 3 2 3 6 2" xfId="6866" xr:uid="{00000000-0005-0000-0000-00006F180000}"/>
    <cellStyle name="Normal 5 2 3 2 3 6 2 2" xfId="16192" xr:uid="{F7E5830C-402C-4E3D-99D8-687E337861C1}"/>
    <cellStyle name="Normal 5 2 3 2 3 6 3" xfId="11975" xr:uid="{FC4C4CDD-0D10-40FC-8D29-0BF418A3D57D}"/>
    <cellStyle name="Normal 5 2 3 2 3 7" xfId="4801" xr:uid="{00000000-0005-0000-0000-000070180000}"/>
    <cellStyle name="Normal 5 2 3 2 3 7 2" xfId="14127" xr:uid="{F444721C-92C4-414E-9627-2EDE77352CA6}"/>
    <cellStyle name="Normal 5 2 3 2 3 8" xfId="9037" xr:uid="{EED46D7F-EFCD-4AC1-931D-AB06B694E7BE}"/>
    <cellStyle name="Normal 5 2 3 2 3 9" xfId="9910" xr:uid="{E9834031-B3CE-4E22-A8CD-A5F1D9D68F5D}"/>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DC2E84AF-5745-4917-9838-2CBB84B6C237}"/>
    <cellStyle name="Normal 5 2 3 2 4 2 3" xfId="12465" xr:uid="{ECA9EAB3-3444-420A-9D87-9D18C1FBC817}"/>
    <cellStyle name="Normal 5 2 3 2 4 3" xfId="5211" xr:uid="{00000000-0005-0000-0000-000074180000}"/>
    <cellStyle name="Normal 5 2 3 2 4 3 2" xfId="14537" xr:uid="{445EAA8B-64D8-4AB4-8528-7324A00271C0}"/>
    <cellStyle name="Normal 5 2 3 2 4 4" xfId="9255" xr:uid="{C5A161BB-6C4F-4A9D-BBA7-7500B0B26A70}"/>
    <cellStyle name="Normal 5 2 3 2 4 5" xfId="10320" xr:uid="{0CC82F75-05D7-4502-B0FF-6C75CDE2155E}"/>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74A4075A-5FA7-4690-958F-FB27C5F986B4}"/>
    <cellStyle name="Normal 5 2 3 2 5 2 3" xfId="12878" xr:uid="{2326A8D1-A0F0-4B00-AD81-FC1368634539}"/>
    <cellStyle name="Normal 5 2 3 2 5 3" xfId="5624" xr:uid="{00000000-0005-0000-0000-000078180000}"/>
    <cellStyle name="Normal 5 2 3 2 5 3 2" xfId="14950" xr:uid="{2F9BE1A4-001C-405E-9C42-BAF9C10D75D5}"/>
    <cellStyle name="Normal 5 2 3 2 5 4" xfId="10733" xr:uid="{C6E490AF-1F29-4B76-8AA9-A234D31167E0}"/>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7B8C395B-9582-47F0-9FE3-9B20CEEDC39D}"/>
    <cellStyle name="Normal 5 2 3 2 6 2 3" xfId="13291" xr:uid="{81C1E915-F7EE-4DB6-B782-BEBAF9B7449B}"/>
    <cellStyle name="Normal 5 2 3 2 6 3" xfId="6037" xr:uid="{00000000-0005-0000-0000-00007C180000}"/>
    <cellStyle name="Normal 5 2 3 2 6 3 2" xfId="15363" xr:uid="{3274693D-2BB5-4DAB-B92A-6FD6AEE621DE}"/>
    <cellStyle name="Normal 5 2 3 2 6 4" xfId="11146" xr:uid="{F4061793-E658-43F3-89C1-6B9FE3E0C1E8}"/>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508BB422-9F88-401B-9FF4-B0B70384F071}"/>
    <cellStyle name="Normal 5 2 3 2 7 2 3" xfId="13704" xr:uid="{5C90338B-7A19-4189-A8DF-E946FD061BFA}"/>
    <cellStyle name="Normal 5 2 3 2 7 3" xfId="6450" xr:uid="{00000000-0005-0000-0000-000080180000}"/>
    <cellStyle name="Normal 5 2 3 2 7 3 2" xfId="15776" xr:uid="{F1C6E64F-8F64-42DE-801B-F6D769700D1E}"/>
    <cellStyle name="Normal 5 2 3 2 7 4" xfId="11559" xr:uid="{85D2DC60-B257-4C8C-AC7B-C1E23C27BE9D}"/>
    <cellStyle name="Normal 5 2 3 2 8" xfId="2580" xr:uid="{00000000-0005-0000-0000-000081180000}"/>
    <cellStyle name="Normal 5 2 3 2 8 2" xfId="6863" xr:uid="{00000000-0005-0000-0000-000082180000}"/>
    <cellStyle name="Normal 5 2 3 2 8 2 2" xfId="16189" xr:uid="{B99F24DF-4C21-4614-8F93-815F52D6317C}"/>
    <cellStyle name="Normal 5 2 3 2 8 3" xfId="11972" xr:uid="{536625E5-5E9A-401F-A3A0-21DEF6328922}"/>
    <cellStyle name="Normal 5 2 3 2 9" xfId="4798" xr:uid="{00000000-0005-0000-0000-000083180000}"/>
    <cellStyle name="Normal 5 2 3 2 9 2" xfId="14124" xr:uid="{E7190214-5808-403B-9642-5B6A52CC93E2}"/>
    <cellStyle name="Normal 5 2 3 3" xfId="429" xr:uid="{00000000-0005-0000-0000-000084180000}"/>
    <cellStyle name="Normal 5 2 3 3 10" xfId="9911" xr:uid="{150C26BE-8661-45BA-BB46-AE0D5B6CCC54}"/>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B1DBE286-D729-4139-B29D-2F9DA09FCD6D}"/>
    <cellStyle name="Normal 5 2 3 3 2 2 2 3" xfId="12470" xr:uid="{BC7FA83B-0D60-4745-8EEE-51240ED09F96}"/>
    <cellStyle name="Normal 5 2 3 3 2 2 3" xfId="5216" xr:uid="{00000000-0005-0000-0000-000089180000}"/>
    <cellStyle name="Normal 5 2 3 3 2 2 3 2" xfId="14542" xr:uid="{A3ED74DE-420C-44C7-B00F-9D102F43B4BB}"/>
    <cellStyle name="Normal 5 2 3 3 2 2 4" xfId="9511" xr:uid="{75EF02F8-0397-4B30-A858-343ADCA7C08D}"/>
    <cellStyle name="Normal 5 2 3 3 2 2 5" xfId="10325" xr:uid="{801664D7-CB69-4702-A43B-02B9024AC3A8}"/>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025844B8-7591-4A5A-B671-73113978E524}"/>
    <cellStyle name="Normal 5 2 3 3 2 3 2 3" xfId="12883" xr:uid="{550A7F4B-9F69-4131-A034-C41AEA91A092}"/>
    <cellStyle name="Normal 5 2 3 3 2 3 3" xfId="5629" xr:uid="{00000000-0005-0000-0000-00008D180000}"/>
    <cellStyle name="Normal 5 2 3 3 2 3 3 2" xfId="14955" xr:uid="{597A7F6D-6DE6-4088-B58F-797F0F3E9B26}"/>
    <cellStyle name="Normal 5 2 3 3 2 3 4" xfId="10738" xr:uid="{C1D2A691-D053-4106-8142-6F2538D71439}"/>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4A44750C-92D8-4773-8392-F2975A537B26}"/>
    <cellStyle name="Normal 5 2 3 3 2 4 2 3" xfId="13296" xr:uid="{2CCF75ED-1E15-456A-8153-D48E8E34D2CF}"/>
    <cellStyle name="Normal 5 2 3 3 2 4 3" xfId="6042" xr:uid="{00000000-0005-0000-0000-000091180000}"/>
    <cellStyle name="Normal 5 2 3 3 2 4 3 2" xfId="15368" xr:uid="{8DCC0365-0689-4DCD-91BD-91C57FD3F214}"/>
    <cellStyle name="Normal 5 2 3 3 2 4 4" xfId="11151" xr:uid="{5CDAC0A6-6982-4D2E-93BA-AA178A9C098B}"/>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B85F9100-AF8E-43E5-AC7A-E6B7E762F53C}"/>
    <cellStyle name="Normal 5 2 3 3 2 5 2 3" xfId="13709" xr:uid="{8E672127-B52C-43AD-A878-48957003637D}"/>
    <cellStyle name="Normal 5 2 3 3 2 5 3" xfId="6455" xr:uid="{00000000-0005-0000-0000-000095180000}"/>
    <cellStyle name="Normal 5 2 3 3 2 5 3 2" xfId="15781" xr:uid="{74C6B446-D29C-4993-A571-423EB83AB983}"/>
    <cellStyle name="Normal 5 2 3 3 2 5 4" xfId="11564" xr:uid="{7C7B63F4-7B0B-4701-91EE-4C2F13632D4C}"/>
    <cellStyle name="Normal 5 2 3 3 2 6" xfId="2585" xr:uid="{00000000-0005-0000-0000-000096180000}"/>
    <cellStyle name="Normal 5 2 3 3 2 6 2" xfId="6868" xr:uid="{00000000-0005-0000-0000-000097180000}"/>
    <cellStyle name="Normal 5 2 3 3 2 6 2 2" xfId="16194" xr:uid="{F2502184-6F44-47F2-B492-06A303F9106C}"/>
    <cellStyle name="Normal 5 2 3 3 2 6 3" xfId="11977" xr:uid="{484719E9-BEE0-4577-8E05-446D18545083}"/>
    <cellStyle name="Normal 5 2 3 3 2 7" xfId="4803" xr:uid="{00000000-0005-0000-0000-000098180000}"/>
    <cellStyle name="Normal 5 2 3 3 2 7 2" xfId="14129" xr:uid="{D93B1B96-3A4C-4586-A058-0472A9D0B79D}"/>
    <cellStyle name="Normal 5 2 3 3 2 8" xfId="9086" xr:uid="{442E5F61-F00C-4774-822F-4985AB3E1CB7}"/>
    <cellStyle name="Normal 5 2 3 3 2 9" xfId="9912" xr:uid="{601BF467-A227-4EBE-90FA-BC78BF24349C}"/>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B0635F3F-E361-4A7B-A137-E28F1595C1DC}"/>
    <cellStyle name="Normal 5 2 3 3 3 2 3" xfId="12469" xr:uid="{6C503485-51EE-43E2-920D-59B07E3B0FE0}"/>
    <cellStyle name="Normal 5 2 3 3 3 3" xfId="5215" xr:uid="{00000000-0005-0000-0000-00009C180000}"/>
    <cellStyle name="Normal 5 2 3 3 3 3 2" xfId="14541" xr:uid="{3B253BF6-F9FF-4146-B540-8EDF967B36DB}"/>
    <cellStyle name="Normal 5 2 3 3 3 4" xfId="9304" xr:uid="{2C783A77-F32A-4E64-807E-062B95DB0310}"/>
    <cellStyle name="Normal 5 2 3 3 3 5" xfId="10324" xr:uid="{331E3CAF-BA59-4FE1-9366-325690826C35}"/>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7CD93CF5-F5D8-41E0-9EE1-5FAF90C842B4}"/>
    <cellStyle name="Normal 5 2 3 3 4 2 3" xfId="12882" xr:uid="{9C35EE61-86EB-4A4A-B095-BE4F175DF7A2}"/>
    <cellStyle name="Normal 5 2 3 3 4 3" xfId="5628" xr:uid="{00000000-0005-0000-0000-0000A0180000}"/>
    <cellStyle name="Normal 5 2 3 3 4 3 2" xfId="14954" xr:uid="{053C691F-349E-44B6-922F-FDCF8BC8B0BB}"/>
    <cellStyle name="Normal 5 2 3 3 4 4" xfId="10737" xr:uid="{C2981AD8-956E-4D4D-864E-D5DEDC0B5797}"/>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FF986FB3-3A7C-4B6A-B0B5-622A06CDB938}"/>
    <cellStyle name="Normal 5 2 3 3 5 2 3" xfId="13295" xr:uid="{60D6717C-DD3B-4C9F-98B9-9DD38F88CB67}"/>
    <cellStyle name="Normal 5 2 3 3 5 3" xfId="6041" xr:uid="{00000000-0005-0000-0000-0000A4180000}"/>
    <cellStyle name="Normal 5 2 3 3 5 3 2" xfId="15367" xr:uid="{4F5F4A65-4445-4951-B600-211D93FCBA4D}"/>
    <cellStyle name="Normal 5 2 3 3 5 4" xfId="11150" xr:uid="{26471591-099A-4584-AC5A-1523B680DEF7}"/>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5C31AF31-2919-4B68-965F-535D67C40009}"/>
    <cellStyle name="Normal 5 2 3 3 6 2 3" xfId="13708" xr:uid="{CDE924AD-F3A0-4AA1-955B-5B5A945EC19A}"/>
    <cellStyle name="Normal 5 2 3 3 6 3" xfId="6454" xr:uid="{00000000-0005-0000-0000-0000A8180000}"/>
    <cellStyle name="Normal 5 2 3 3 6 3 2" xfId="15780" xr:uid="{85516B58-D745-41D1-955E-C948AF129C7D}"/>
    <cellStyle name="Normal 5 2 3 3 6 4" xfId="11563" xr:uid="{B4A9E0EC-6028-4AFD-9140-618B61967257}"/>
    <cellStyle name="Normal 5 2 3 3 7" xfId="2584" xr:uid="{00000000-0005-0000-0000-0000A9180000}"/>
    <cellStyle name="Normal 5 2 3 3 7 2" xfId="6867" xr:uid="{00000000-0005-0000-0000-0000AA180000}"/>
    <cellStyle name="Normal 5 2 3 3 7 2 2" xfId="16193" xr:uid="{224BB9E9-077F-4A15-ADDF-CEC7C0B9A1D1}"/>
    <cellStyle name="Normal 5 2 3 3 7 3" xfId="11976" xr:uid="{EE944C9D-84F0-466C-9AB7-1949E27BD5F8}"/>
    <cellStyle name="Normal 5 2 3 3 8" xfId="4802" xr:uid="{00000000-0005-0000-0000-0000AB180000}"/>
    <cellStyle name="Normal 5 2 3 3 8 2" xfId="14128" xr:uid="{FBB53BF1-3E50-47F5-9793-D6B9C23BB779}"/>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A18D5B63-9CF6-4A03-8251-033577F3B19D}"/>
    <cellStyle name="Normal 5 2 3 4 2 2 3" xfId="12471" xr:uid="{40FD662C-E67C-4B75-B0FF-0473521159E0}"/>
    <cellStyle name="Normal 5 2 3 4 2 3" xfId="5217" xr:uid="{00000000-0005-0000-0000-0000B0180000}"/>
    <cellStyle name="Normal 5 2 3 4 2 3 2" xfId="14543" xr:uid="{56186225-0AF4-45DE-8C95-771C17D3F4AC}"/>
    <cellStyle name="Normal 5 2 3 4 2 4" xfId="9408" xr:uid="{3B6F9C6F-3D7C-45F8-99FE-451C0F8CED36}"/>
    <cellStyle name="Normal 5 2 3 4 2 5" xfId="10326" xr:uid="{8456209E-D590-4E84-91A2-46D7BE4A1F10}"/>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381DCD26-173A-4B60-9FDB-D81C71F0458B}"/>
    <cellStyle name="Normal 5 2 3 4 3 2 3" xfId="12884" xr:uid="{CA6469FD-7BDB-48E6-98A7-729C330C775C}"/>
    <cellStyle name="Normal 5 2 3 4 3 3" xfId="5630" xr:uid="{00000000-0005-0000-0000-0000B4180000}"/>
    <cellStyle name="Normal 5 2 3 4 3 3 2" xfId="14956" xr:uid="{E2F14B78-0A23-4F5C-BE27-2DB79BCB9AA4}"/>
    <cellStyle name="Normal 5 2 3 4 3 4" xfId="10739" xr:uid="{3BD624AD-5A68-4BDF-80A0-EF1363140089}"/>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875CEAE3-EF07-434B-AAA3-6FBD088E6FBF}"/>
    <cellStyle name="Normal 5 2 3 4 4 2 3" xfId="13297" xr:uid="{CCD6EBB0-987C-4F02-8EEE-7D8329CFD704}"/>
    <cellStyle name="Normal 5 2 3 4 4 3" xfId="6043" xr:uid="{00000000-0005-0000-0000-0000B8180000}"/>
    <cellStyle name="Normal 5 2 3 4 4 3 2" xfId="15369" xr:uid="{79E64B46-70AC-4D3F-8E05-CDE94CEA2D83}"/>
    <cellStyle name="Normal 5 2 3 4 4 4" xfId="11152" xr:uid="{17BB0A3B-A7A9-4CDC-8654-A724E45848EF}"/>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D2DC9C80-312A-4D1F-A293-D3CEE4E72330}"/>
    <cellStyle name="Normal 5 2 3 4 5 2 3" xfId="13710" xr:uid="{82B36C0F-83CA-4783-B5FC-739834B80288}"/>
    <cellStyle name="Normal 5 2 3 4 5 3" xfId="6456" xr:uid="{00000000-0005-0000-0000-0000BC180000}"/>
    <cellStyle name="Normal 5 2 3 4 5 3 2" xfId="15782" xr:uid="{F1D76B45-BF05-4D8E-B705-C5E1BB1222BA}"/>
    <cellStyle name="Normal 5 2 3 4 5 4" xfId="11565" xr:uid="{987ACA81-4223-4EB7-9FE6-3C0D5CD040D2}"/>
    <cellStyle name="Normal 5 2 3 4 6" xfId="2586" xr:uid="{00000000-0005-0000-0000-0000BD180000}"/>
    <cellStyle name="Normal 5 2 3 4 6 2" xfId="6869" xr:uid="{00000000-0005-0000-0000-0000BE180000}"/>
    <cellStyle name="Normal 5 2 3 4 6 2 2" xfId="16195" xr:uid="{BC403FD4-469E-40AB-A72A-DBB72619F36C}"/>
    <cellStyle name="Normal 5 2 3 4 6 3" xfId="11978" xr:uid="{A4A82034-41EE-4E9A-9B8D-70F308AE8C6C}"/>
    <cellStyle name="Normal 5 2 3 4 7" xfId="4804" xr:uid="{00000000-0005-0000-0000-0000BF180000}"/>
    <cellStyle name="Normal 5 2 3 4 7 2" xfId="14130" xr:uid="{49DF5A38-F746-48E4-87C1-938B134B4491}"/>
    <cellStyle name="Normal 5 2 3 4 8" xfId="8983" xr:uid="{07388FCC-03DE-4CE8-89CB-9C92F8174E24}"/>
    <cellStyle name="Normal 5 2 3 4 9" xfId="9913" xr:uid="{C88E91B2-7D0F-4E9E-9DB7-3FE017C18711}"/>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8E29132F-542D-442C-9177-4E279979CA2E}"/>
    <cellStyle name="Normal 5 2 3 5 2 3" xfId="12464" xr:uid="{D390D466-23B8-4F47-BEC6-07E025B515BD}"/>
    <cellStyle name="Normal 5 2 3 5 3" xfId="5210" xr:uid="{00000000-0005-0000-0000-0000C3180000}"/>
    <cellStyle name="Normal 5 2 3 5 3 2" xfId="14536" xr:uid="{D926F0F0-90C3-4D88-B562-B6CC2299A622}"/>
    <cellStyle name="Normal 5 2 3 5 4" xfId="9200" xr:uid="{13DE827A-4007-427A-9869-ADBBE6B70993}"/>
    <cellStyle name="Normal 5 2 3 5 5" xfId="10319" xr:uid="{2D407561-DC49-40F2-9E4C-37D8F14F9181}"/>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76CA95F7-B6ED-4C2A-834A-5DFD51771ABC}"/>
    <cellStyle name="Normal 5 2 3 6 2 3" xfId="12877" xr:uid="{CA783AAE-0C80-4978-9E0C-703C9EF8CE27}"/>
    <cellStyle name="Normal 5 2 3 6 3" xfId="5623" xr:uid="{00000000-0005-0000-0000-0000C7180000}"/>
    <cellStyle name="Normal 5 2 3 6 3 2" xfId="14949" xr:uid="{C8AA2CE3-8702-4D57-90E2-9F58D4B89214}"/>
    <cellStyle name="Normal 5 2 3 6 4" xfId="10732" xr:uid="{DD2FD9F6-23DE-4C7C-BEFA-F468F17755DA}"/>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6EC3B53F-9A87-44FA-9BDB-B0F3D30C6FAC}"/>
    <cellStyle name="Normal 5 2 3 7 2 3" xfId="13290" xr:uid="{6E017633-0229-4C0E-9EB7-C2E044AE2172}"/>
    <cellStyle name="Normal 5 2 3 7 3" xfId="6036" xr:uid="{00000000-0005-0000-0000-0000CB180000}"/>
    <cellStyle name="Normal 5 2 3 7 3 2" xfId="15362" xr:uid="{BF2DF441-9099-4113-B314-B1FC0F0E5485}"/>
    <cellStyle name="Normal 5 2 3 7 4" xfId="11145" xr:uid="{DDBC145A-2047-4FE9-B18A-37F51B06A347}"/>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F39E2826-A65A-4493-B4AA-13406EADA0C2}"/>
    <cellStyle name="Normal 5 2 3 8 2 3" xfId="13703" xr:uid="{196BFB6B-C545-466C-8A05-B8B6F02EC7C4}"/>
    <cellStyle name="Normal 5 2 3 8 3" xfId="6449" xr:uid="{00000000-0005-0000-0000-0000CF180000}"/>
    <cellStyle name="Normal 5 2 3 8 3 2" xfId="15775" xr:uid="{5294EF06-DA42-47AE-8560-B4D4AE4E8BEF}"/>
    <cellStyle name="Normal 5 2 3 8 4" xfId="11558" xr:uid="{C2DE114A-6C81-4B39-9528-EEC014C1BA10}"/>
    <cellStyle name="Normal 5 2 3 9" xfId="2579" xr:uid="{00000000-0005-0000-0000-0000D0180000}"/>
    <cellStyle name="Normal 5 2 3 9 2" xfId="6862" xr:uid="{00000000-0005-0000-0000-0000D1180000}"/>
    <cellStyle name="Normal 5 2 3 9 2 2" xfId="16188" xr:uid="{1ABB5C68-34BF-42A9-A6E1-2559F8248123}"/>
    <cellStyle name="Normal 5 2 3 9 3" xfId="11971" xr:uid="{9AB884D4-58DA-468A-9A11-B2768BAAD21C}"/>
    <cellStyle name="Normal 5 2 4" xfId="432" xr:uid="{00000000-0005-0000-0000-0000D2180000}"/>
    <cellStyle name="Normal 5 2 4 10" xfId="8827" xr:uid="{1EC4F605-F0BA-487E-A3C0-2CBAE7C22D8A}"/>
    <cellStyle name="Normal 5 2 4 11" xfId="9914" xr:uid="{9D7CC0E1-873B-4775-8092-F32B44BFF98B}"/>
    <cellStyle name="Normal 5 2 4 2" xfId="433" xr:uid="{00000000-0005-0000-0000-0000D3180000}"/>
    <cellStyle name="Normal 5 2 4 2 10" xfId="9915" xr:uid="{DED8954D-BAEB-488C-A553-93CEC1862D1A}"/>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AF76C519-171A-427F-8DE1-80625372511A}"/>
    <cellStyle name="Normal 5 2 4 2 2 2 2 3" xfId="12474" xr:uid="{FC5DC2AF-BA6D-4C05-BFF2-77F2001342AA}"/>
    <cellStyle name="Normal 5 2 4 2 2 2 3" xfId="5220" xr:uid="{00000000-0005-0000-0000-0000D8180000}"/>
    <cellStyle name="Normal 5 2 4 2 2 2 3 2" xfId="14546" xr:uid="{C80B79D0-7D52-4FF7-B0C6-01949A9A5FFD}"/>
    <cellStyle name="Normal 5 2 4 2 2 2 4" xfId="9562" xr:uid="{5E243FB4-F3B1-4B34-B377-1444454AD19E}"/>
    <cellStyle name="Normal 5 2 4 2 2 2 5" xfId="10329" xr:uid="{52597F7F-0631-438D-9346-517507CB5699}"/>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0479282F-0A84-4A8C-B668-C42AFB4515DA}"/>
    <cellStyle name="Normal 5 2 4 2 2 3 2 3" xfId="12887" xr:uid="{F0F9371E-C278-4D86-A64B-0623589EA9F2}"/>
    <cellStyle name="Normal 5 2 4 2 2 3 3" xfId="5633" xr:uid="{00000000-0005-0000-0000-0000DC180000}"/>
    <cellStyle name="Normal 5 2 4 2 2 3 3 2" xfId="14959" xr:uid="{B5386261-880E-4AF4-A3CA-018A786CBD30}"/>
    <cellStyle name="Normal 5 2 4 2 2 3 4" xfId="10742" xr:uid="{E9C68BE4-F578-4CC5-9B70-344E3DF74A56}"/>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C036DC7C-96FC-4A1A-8A5F-AFE5A214A484}"/>
    <cellStyle name="Normal 5 2 4 2 2 4 2 3" xfId="13300" xr:uid="{2819F55A-E01B-41C1-A4C9-72925DF5625D}"/>
    <cellStyle name="Normal 5 2 4 2 2 4 3" xfId="6046" xr:uid="{00000000-0005-0000-0000-0000E0180000}"/>
    <cellStyle name="Normal 5 2 4 2 2 4 3 2" xfId="15372" xr:uid="{52101C2F-11FA-449E-B76D-D32C1551E05B}"/>
    <cellStyle name="Normal 5 2 4 2 2 4 4" xfId="11155" xr:uid="{A09410E7-B900-4CFA-9FB8-FB913D612EAF}"/>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96D80B45-3092-4D0F-8659-D7742C2E977B}"/>
    <cellStyle name="Normal 5 2 4 2 2 5 2 3" xfId="13713" xr:uid="{95D6A636-2D51-405A-A17E-7E4BE3A3578F}"/>
    <cellStyle name="Normal 5 2 4 2 2 5 3" xfId="6459" xr:uid="{00000000-0005-0000-0000-0000E4180000}"/>
    <cellStyle name="Normal 5 2 4 2 2 5 3 2" xfId="15785" xr:uid="{E6552A92-258C-4800-B1C2-1C91F73388E5}"/>
    <cellStyle name="Normal 5 2 4 2 2 5 4" xfId="11568" xr:uid="{B014A13C-6448-41FF-8884-9D86B2B9FCD2}"/>
    <cellStyle name="Normal 5 2 4 2 2 6" xfId="2589" xr:uid="{00000000-0005-0000-0000-0000E5180000}"/>
    <cellStyle name="Normal 5 2 4 2 2 6 2" xfId="6872" xr:uid="{00000000-0005-0000-0000-0000E6180000}"/>
    <cellStyle name="Normal 5 2 4 2 2 6 2 2" xfId="16198" xr:uid="{32F05BC1-0FA7-4FBD-93A3-CAC23B3E1D11}"/>
    <cellStyle name="Normal 5 2 4 2 2 6 3" xfId="11981" xr:uid="{8DDD2716-0C20-43E7-8477-E962F696A740}"/>
    <cellStyle name="Normal 5 2 4 2 2 7" xfId="4807" xr:uid="{00000000-0005-0000-0000-0000E7180000}"/>
    <cellStyle name="Normal 5 2 4 2 2 7 2" xfId="14133" xr:uid="{750FF54E-A7A9-42B9-BE31-2217A9DE7FA8}"/>
    <cellStyle name="Normal 5 2 4 2 2 8" xfId="9137" xr:uid="{C80E4B27-40CA-4953-ABB8-99E2C575F775}"/>
    <cellStyle name="Normal 5 2 4 2 2 9" xfId="9916" xr:uid="{E7CEE885-D245-433B-9497-ED228D0DC3C5}"/>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E3F04A85-BC86-4B53-AE57-2359086E69ED}"/>
    <cellStyle name="Normal 5 2 4 2 3 2 3" xfId="12473" xr:uid="{7FD1DF49-96DF-41D6-83AB-0C8E276C2958}"/>
    <cellStyle name="Normal 5 2 4 2 3 3" xfId="5219" xr:uid="{00000000-0005-0000-0000-0000EB180000}"/>
    <cellStyle name="Normal 5 2 4 2 3 3 2" xfId="14545" xr:uid="{549641C3-A210-4387-B966-1BA1B3ED1183}"/>
    <cellStyle name="Normal 5 2 4 2 3 4" xfId="9355" xr:uid="{9D38A6AA-2F63-4275-9FB8-F86A15F6A4D3}"/>
    <cellStyle name="Normal 5 2 4 2 3 5" xfId="10328" xr:uid="{4C9F91FE-D7D4-4065-BDD7-55AF7B705A97}"/>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58D35993-3F0F-4CE9-B2A9-A75F3DD26475}"/>
    <cellStyle name="Normal 5 2 4 2 4 2 3" xfId="12886" xr:uid="{98AF1746-9E0D-49E3-A91F-82957C27880D}"/>
    <cellStyle name="Normal 5 2 4 2 4 3" xfId="5632" xr:uid="{00000000-0005-0000-0000-0000EF180000}"/>
    <cellStyle name="Normal 5 2 4 2 4 3 2" xfId="14958" xr:uid="{D9184041-02D0-4B6B-95A1-536C21D56F05}"/>
    <cellStyle name="Normal 5 2 4 2 4 4" xfId="10741" xr:uid="{FB6CAB1B-6534-44DA-8A45-19FA2549E9D8}"/>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FD0C2B3A-DA2F-411B-9D59-614BD5250AA3}"/>
    <cellStyle name="Normal 5 2 4 2 5 2 3" xfId="13299" xr:uid="{D74C0D1D-F536-44AB-BA55-8825354D3AD0}"/>
    <cellStyle name="Normal 5 2 4 2 5 3" xfId="6045" xr:uid="{00000000-0005-0000-0000-0000F3180000}"/>
    <cellStyle name="Normal 5 2 4 2 5 3 2" xfId="15371" xr:uid="{7697720E-776B-4806-B429-5160BDDFAB09}"/>
    <cellStyle name="Normal 5 2 4 2 5 4" xfId="11154" xr:uid="{F64B8B3B-C5E0-4A34-B1DA-EF897395D2F8}"/>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A6364649-ABFC-444B-8B41-07C236D60C6C}"/>
    <cellStyle name="Normal 5 2 4 2 6 2 3" xfId="13712" xr:uid="{87E8A6BF-5D8D-4200-BB96-225D637ED563}"/>
    <cellStyle name="Normal 5 2 4 2 6 3" xfId="6458" xr:uid="{00000000-0005-0000-0000-0000F7180000}"/>
    <cellStyle name="Normal 5 2 4 2 6 3 2" xfId="15784" xr:uid="{491B52E8-9477-40A6-86A2-74848F4D0729}"/>
    <cellStyle name="Normal 5 2 4 2 6 4" xfId="11567" xr:uid="{FF6F850D-04B0-4E24-A4A8-884BB74F5A2D}"/>
    <cellStyle name="Normal 5 2 4 2 7" xfId="2588" xr:uid="{00000000-0005-0000-0000-0000F8180000}"/>
    <cellStyle name="Normal 5 2 4 2 7 2" xfId="6871" xr:uid="{00000000-0005-0000-0000-0000F9180000}"/>
    <cellStyle name="Normal 5 2 4 2 7 2 2" xfId="16197" xr:uid="{2076056F-7B8F-4BF1-9355-9BF153ACF519}"/>
    <cellStyle name="Normal 5 2 4 2 7 3" xfId="11980" xr:uid="{AA842AD7-1EBD-4130-8D70-87F16C57AB84}"/>
    <cellStyle name="Normal 5 2 4 2 8" xfId="4806" xr:uid="{00000000-0005-0000-0000-0000FA180000}"/>
    <cellStyle name="Normal 5 2 4 2 8 2" xfId="14132" xr:uid="{3256D399-7BD7-445F-84AA-52E992B421C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72BE10EF-0FFC-48E0-ACE2-F1E6CD49BACB}"/>
    <cellStyle name="Normal 5 2 4 3 2 2 3" xfId="12475" xr:uid="{783390FE-A85E-4A28-BD33-A9C357B4361B}"/>
    <cellStyle name="Normal 5 2 4 3 2 3" xfId="5221" xr:uid="{00000000-0005-0000-0000-0000FF180000}"/>
    <cellStyle name="Normal 5 2 4 3 2 3 2" xfId="14547" xr:uid="{A3894904-2CEF-4722-B09F-7632078B7321}"/>
    <cellStyle name="Normal 5 2 4 3 2 4" xfId="9459" xr:uid="{ED2A936E-5624-4B26-A175-3FCE68E1BF5A}"/>
    <cellStyle name="Normal 5 2 4 3 2 5" xfId="10330" xr:uid="{B7C7BF3A-5A07-4AB3-A845-4100AE9821CC}"/>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3EBBD4DD-6C10-4FF9-BD1C-AADEC14CB13E}"/>
    <cellStyle name="Normal 5 2 4 3 3 2 3" xfId="12888" xr:uid="{D2453FC3-010C-4C4A-8877-29373F21CDCF}"/>
    <cellStyle name="Normal 5 2 4 3 3 3" xfId="5634" xr:uid="{00000000-0005-0000-0000-000003190000}"/>
    <cellStyle name="Normal 5 2 4 3 3 3 2" xfId="14960" xr:uid="{BB2D5526-B67D-46C5-95FD-2BB974078B08}"/>
    <cellStyle name="Normal 5 2 4 3 3 4" xfId="10743" xr:uid="{690ACFF5-894A-4A1C-86F4-A2F609C15D7A}"/>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BB46E0B9-8BD5-4785-9C9F-49CA79826FED}"/>
    <cellStyle name="Normal 5 2 4 3 4 2 3" xfId="13301" xr:uid="{BB90C8D8-D1E0-4D02-9FD8-74E73223B199}"/>
    <cellStyle name="Normal 5 2 4 3 4 3" xfId="6047" xr:uid="{00000000-0005-0000-0000-000007190000}"/>
    <cellStyle name="Normal 5 2 4 3 4 3 2" xfId="15373" xr:uid="{168D89E5-F064-4888-8872-AF0A01AC140D}"/>
    <cellStyle name="Normal 5 2 4 3 4 4" xfId="11156" xr:uid="{7B1BC5DC-D474-4E25-80F1-4DC73468E64F}"/>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E67F4241-193C-432B-8ECC-4CFAFED0BBBE}"/>
    <cellStyle name="Normal 5 2 4 3 5 2 3" xfId="13714" xr:uid="{AE8A2F77-8CA2-4CC3-A232-E00B5454A480}"/>
    <cellStyle name="Normal 5 2 4 3 5 3" xfId="6460" xr:uid="{00000000-0005-0000-0000-00000B190000}"/>
    <cellStyle name="Normal 5 2 4 3 5 3 2" xfId="15786" xr:uid="{D2015B22-2897-40D8-A43C-72C165B7AAEC}"/>
    <cellStyle name="Normal 5 2 4 3 5 4" xfId="11569" xr:uid="{63829A46-286B-44D2-BC2E-01EDE3E84843}"/>
    <cellStyle name="Normal 5 2 4 3 6" xfId="2590" xr:uid="{00000000-0005-0000-0000-00000C190000}"/>
    <cellStyle name="Normal 5 2 4 3 6 2" xfId="6873" xr:uid="{00000000-0005-0000-0000-00000D190000}"/>
    <cellStyle name="Normal 5 2 4 3 6 2 2" xfId="16199" xr:uid="{89FC84AB-C117-4774-9E10-B0A176685059}"/>
    <cellStyle name="Normal 5 2 4 3 6 3" xfId="11982" xr:uid="{F40A7E7B-7DD8-4311-9432-3CD2C47A84F3}"/>
    <cellStyle name="Normal 5 2 4 3 7" xfId="4808" xr:uid="{00000000-0005-0000-0000-00000E190000}"/>
    <cellStyle name="Normal 5 2 4 3 7 2" xfId="14134" xr:uid="{ABCC14DF-9DB5-4F09-A2A2-5194460148EC}"/>
    <cellStyle name="Normal 5 2 4 3 8" xfId="9034" xr:uid="{82D3DE5B-E868-4CF9-BA07-6E197DA4FAA5}"/>
    <cellStyle name="Normal 5 2 4 3 9" xfId="9917" xr:uid="{5DF80DA5-E45E-49CE-B78C-1A64BA269061}"/>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238761DE-0D88-4D88-AB98-4619F0A3D3A9}"/>
    <cellStyle name="Normal 5 2 4 4 2 3" xfId="12472" xr:uid="{771D54A8-DA12-4D32-AB5B-169FCDBDBC2E}"/>
    <cellStyle name="Normal 5 2 4 4 3" xfId="5218" xr:uid="{00000000-0005-0000-0000-000012190000}"/>
    <cellStyle name="Normal 5 2 4 4 3 2" xfId="14544" xr:uid="{CCAA38B8-ECC7-42FA-B16C-E80A58959ED9}"/>
    <cellStyle name="Normal 5 2 4 4 4" xfId="9252" xr:uid="{1D1A8EC4-7286-46A1-B40C-E987F273E760}"/>
    <cellStyle name="Normal 5 2 4 4 5" xfId="10327" xr:uid="{E351C911-FA9A-416F-A2C5-1A6C84907B07}"/>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4E850922-C550-4FC2-83CB-DC35159A4429}"/>
    <cellStyle name="Normal 5 2 4 5 2 3" xfId="12885" xr:uid="{293736D4-B465-49A6-B316-00B1ED9C1F1C}"/>
    <cellStyle name="Normal 5 2 4 5 3" xfId="5631" xr:uid="{00000000-0005-0000-0000-000016190000}"/>
    <cellStyle name="Normal 5 2 4 5 3 2" xfId="14957" xr:uid="{6A94C50B-A620-4169-83F6-9B872E867BAE}"/>
    <cellStyle name="Normal 5 2 4 5 4" xfId="10740" xr:uid="{F78DC57C-2239-4C3D-B1CA-43BBE348A2A7}"/>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EEF5420C-EE50-40D4-82AB-4468C6683BFC}"/>
    <cellStyle name="Normal 5 2 4 6 2 3" xfId="13298" xr:uid="{D7917A13-D6FC-4C34-8C09-40FF6F9C800A}"/>
    <cellStyle name="Normal 5 2 4 6 3" xfId="6044" xr:uid="{00000000-0005-0000-0000-00001A190000}"/>
    <cellStyle name="Normal 5 2 4 6 3 2" xfId="15370" xr:uid="{F6FB8B83-086E-49DC-A4D9-E870361EF702}"/>
    <cellStyle name="Normal 5 2 4 6 4" xfId="11153" xr:uid="{7D5B94E4-9C65-4FF3-8E02-3F8F80354C0D}"/>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6798DF04-B149-4E4A-8838-FDFAFDBB8284}"/>
    <cellStyle name="Normal 5 2 4 7 2 3" xfId="13711" xr:uid="{D6B90FCF-5195-48D3-AB2F-C3BE8AFCAC2F}"/>
    <cellStyle name="Normal 5 2 4 7 3" xfId="6457" xr:uid="{00000000-0005-0000-0000-00001E190000}"/>
    <cellStyle name="Normal 5 2 4 7 3 2" xfId="15783" xr:uid="{38322FA5-8684-489E-AB65-440723C87FA8}"/>
    <cellStyle name="Normal 5 2 4 7 4" xfId="11566" xr:uid="{CA768000-8539-4763-A51C-CCB9B8D65518}"/>
    <cellStyle name="Normal 5 2 4 8" xfId="2587" xr:uid="{00000000-0005-0000-0000-00001F190000}"/>
    <cellStyle name="Normal 5 2 4 8 2" xfId="6870" xr:uid="{00000000-0005-0000-0000-000020190000}"/>
    <cellStyle name="Normal 5 2 4 8 2 2" xfId="16196" xr:uid="{C8F788E7-4E31-4495-AEB7-0E868324A9CA}"/>
    <cellStyle name="Normal 5 2 4 8 3" xfId="11979" xr:uid="{10DAA7FE-CB48-4D9E-BEFA-976933C51E57}"/>
    <cellStyle name="Normal 5 2 4 9" xfId="4805" xr:uid="{00000000-0005-0000-0000-000021190000}"/>
    <cellStyle name="Normal 5 2 4 9 2" xfId="14131" xr:uid="{70E3EAAE-6C6F-412D-AB36-D2EBE298C93C}"/>
    <cellStyle name="Normal 5 2 5" xfId="436" xr:uid="{00000000-0005-0000-0000-000022190000}"/>
    <cellStyle name="Normal 5 2 5 10" xfId="9918" xr:uid="{BC60162C-AE35-429E-B70F-6093EC5D4AC8}"/>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48734C2C-EA70-4F6B-A0C9-AAE27E22909B}"/>
    <cellStyle name="Normal 5 2 5 2 2 2 3" xfId="12477" xr:uid="{76924E71-EF69-4D6E-A0E3-A275F2AC7517}"/>
    <cellStyle name="Normal 5 2 5 2 2 3" xfId="5223" xr:uid="{00000000-0005-0000-0000-000027190000}"/>
    <cellStyle name="Normal 5 2 5 2 2 3 2" xfId="14549" xr:uid="{D94ECCA5-A71F-4A81-8AFA-5C57ADEEC95A}"/>
    <cellStyle name="Normal 5 2 5 2 2 4" xfId="9479" xr:uid="{0DDFFFD4-5D62-4038-B6D4-9E9BD7CBA380}"/>
    <cellStyle name="Normal 5 2 5 2 2 5" xfId="10332" xr:uid="{C6A978B6-BA1E-4098-910F-CE9AFFE5A40E}"/>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43BFF59E-3269-48A6-850B-7D9E7B835140}"/>
    <cellStyle name="Normal 5 2 5 2 3 2 3" xfId="12890" xr:uid="{CD14796F-F4A1-4637-973C-59D2F9955196}"/>
    <cellStyle name="Normal 5 2 5 2 3 3" xfId="5636" xr:uid="{00000000-0005-0000-0000-00002B190000}"/>
    <cellStyle name="Normal 5 2 5 2 3 3 2" xfId="14962" xr:uid="{5FC99E63-8A3F-47CC-994F-7755C37C0628}"/>
    <cellStyle name="Normal 5 2 5 2 3 4" xfId="10745" xr:uid="{83B67547-C416-403C-A4A8-234C46E81991}"/>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2B27D387-2FC6-4237-A971-A9831E1E7326}"/>
    <cellStyle name="Normal 5 2 5 2 4 2 3" xfId="13303" xr:uid="{FBA54DD1-A8C7-47B9-AE32-C4F5F205ACBF}"/>
    <cellStyle name="Normal 5 2 5 2 4 3" xfId="6049" xr:uid="{00000000-0005-0000-0000-00002F190000}"/>
    <cellStyle name="Normal 5 2 5 2 4 3 2" xfId="15375" xr:uid="{E619E785-B06B-4CB3-A3A6-EA23FCE55419}"/>
    <cellStyle name="Normal 5 2 5 2 4 4" xfId="11158" xr:uid="{4C3EC15E-0062-40C9-9556-F4DB4FB7C76A}"/>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45D3A7BD-8A0C-4684-8E9D-55ABF17DE6A4}"/>
    <cellStyle name="Normal 5 2 5 2 5 2 3" xfId="13716" xr:uid="{49F63639-07CC-439F-BDEC-9A81D31E1A87}"/>
    <cellStyle name="Normal 5 2 5 2 5 3" xfId="6462" xr:uid="{00000000-0005-0000-0000-000033190000}"/>
    <cellStyle name="Normal 5 2 5 2 5 3 2" xfId="15788" xr:uid="{136BAC24-0C1C-4E86-BAB2-6AC2B182DC0B}"/>
    <cellStyle name="Normal 5 2 5 2 5 4" xfId="11571" xr:uid="{F68B351D-6B94-49E8-8E6C-4EFF61D7B78F}"/>
    <cellStyle name="Normal 5 2 5 2 6" xfId="2592" xr:uid="{00000000-0005-0000-0000-000034190000}"/>
    <cellStyle name="Normal 5 2 5 2 6 2" xfId="6875" xr:uid="{00000000-0005-0000-0000-000035190000}"/>
    <cellStyle name="Normal 5 2 5 2 6 2 2" xfId="16201" xr:uid="{F2E48E5D-F685-4317-B83D-DD07CFA3A233}"/>
    <cellStyle name="Normal 5 2 5 2 6 3" xfId="11984" xr:uid="{E1F853AD-6F3F-450E-997A-A3D1B1D63A07}"/>
    <cellStyle name="Normal 5 2 5 2 7" xfId="4810" xr:uid="{00000000-0005-0000-0000-000036190000}"/>
    <cellStyle name="Normal 5 2 5 2 7 2" xfId="14136" xr:uid="{33ACD26C-EDD0-4D2C-985B-F30A737B4F4A}"/>
    <cellStyle name="Normal 5 2 5 2 8" xfId="9054" xr:uid="{844F6476-DDB9-4C38-A2B2-83AB0DCF1773}"/>
    <cellStyle name="Normal 5 2 5 2 9" xfId="9919" xr:uid="{9F402321-96A9-463E-8E7F-23350581A144}"/>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643C268D-DCEF-4824-83BF-2855F9D9D082}"/>
    <cellStyle name="Normal 5 2 5 3 2 3" xfId="12476" xr:uid="{13A005CF-DE46-4655-A158-65F6FB400B87}"/>
    <cellStyle name="Normal 5 2 5 3 3" xfId="5222" xr:uid="{00000000-0005-0000-0000-00003A190000}"/>
    <cellStyle name="Normal 5 2 5 3 3 2" xfId="14548" xr:uid="{0441DC3A-854A-45C3-A94B-878EF0D4EF13}"/>
    <cellStyle name="Normal 5 2 5 3 4" xfId="9272" xr:uid="{8865498C-CC61-4C5F-A1F4-57A1D301E1CE}"/>
    <cellStyle name="Normal 5 2 5 3 5" xfId="10331" xr:uid="{F2A53B67-6BCF-4844-B00D-C450D880CF79}"/>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86477F74-1798-442C-A68D-069B90486AF0}"/>
    <cellStyle name="Normal 5 2 5 4 2 3" xfId="12889" xr:uid="{332FBC26-FA36-4F0B-99B8-ABB2C3153CBD}"/>
    <cellStyle name="Normal 5 2 5 4 3" xfId="5635" xr:uid="{00000000-0005-0000-0000-00003E190000}"/>
    <cellStyle name="Normal 5 2 5 4 3 2" xfId="14961" xr:uid="{94ECC27A-E075-432B-9F4A-11FA7FF614B0}"/>
    <cellStyle name="Normal 5 2 5 4 4" xfId="10744" xr:uid="{27214D56-DCA1-44F9-8E1F-21BED46F1E1C}"/>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B617FB97-E1C8-4871-A3B9-3298EEC798CB}"/>
    <cellStyle name="Normal 5 2 5 5 2 3" xfId="13302" xr:uid="{3890D180-FD13-4E70-9CDB-EEC308788818}"/>
    <cellStyle name="Normal 5 2 5 5 3" xfId="6048" xr:uid="{00000000-0005-0000-0000-000042190000}"/>
    <cellStyle name="Normal 5 2 5 5 3 2" xfId="15374" xr:uid="{4876C6D9-F39D-42B0-9CDE-0627D2F6177A}"/>
    <cellStyle name="Normal 5 2 5 5 4" xfId="11157" xr:uid="{3890FB76-BEB6-4F08-999D-35D0C949BC91}"/>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854F4D2A-F3BC-4D99-B765-EF3E8FBF4E94}"/>
    <cellStyle name="Normal 5 2 5 6 2 3" xfId="13715" xr:uid="{2CD0FB92-CDEF-493C-8A2A-60D5D970F2FD}"/>
    <cellStyle name="Normal 5 2 5 6 3" xfId="6461" xr:uid="{00000000-0005-0000-0000-000046190000}"/>
    <cellStyle name="Normal 5 2 5 6 3 2" xfId="15787" xr:uid="{8F951451-B33C-4B30-8EA8-BF9B99872244}"/>
    <cellStyle name="Normal 5 2 5 6 4" xfId="11570" xr:uid="{9F14A18B-1A90-4B13-8050-F69BA9D8DCE7}"/>
    <cellStyle name="Normal 5 2 5 7" xfId="2591" xr:uid="{00000000-0005-0000-0000-000047190000}"/>
    <cellStyle name="Normal 5 2 5 7 2" xfId="6874" xr:uid="{00000000-0005-0000-0000-000048190000}"/>
    <cellStyle name="Normal 5 2 5 7 2 2" xfId="16200" xr:uid="{F44DEF16-25E2-463A-97D7-DE5CEE73AB4E}"/>
    <cellStyle name="Normal 5 2 5 7 3" xfId="11983" xr:uid="{27A3F926-1621-45D5-97CF-7D9523FF2BEF}"/>
    <cellStyle name="Normal 5 2 5 8" xfId="4809" xr:uid="{00000000-0005-0000-0000-000049190000}"/>
    <cellStyle name="Normal 5 2 5 8 2" xfId="14135" xr:uid="{2154604E-45A1-4DA2-A097-4B6651073059}"/>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4259311B-DCC6-4DD4-83F5-C0233C3040AE}"/>
    <cellStyle name="Normal 5 2 6 2 2 3" xfId="12478" xr:uid="{9D51BFE3-E812-4023-A57A-6AF96C42D0A5}"/>
    <cellStyle name="Normal 5 2 6 2 3" xfId="5224" xr:uid="{00000000-0005-0000-0000-00004E190000}"/>
    <cellStyle name="Normal 5 2 6 2 3 2" xfId="14550" xr:uid="{CED04678-8D0E-46E9-937F-042E1C72232D}"/>
    <cellStyle name="Normal 5 2 6 2 4" xfId="9388" xr:uid="{38BE55A5-085B-499D-8766-DF826B77D03C}"/>
    <cellStyle name="Normal 5 2 6 2 5" xfId="10333" xr:uid="{4E36A7C7-B365-4713-9F13-B6CE2C75D075}"/>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BAEBBC61-5ED5-4625-BEF1-FF251E9D89A5}"/>
    <cellStyle name="Normal 5 2 6 3 2 3" xfId="12891" xr:uid="{AD7AC820-840D-4CDD-925E-B4BF26D147C3}"/>
    <cellStyle name="Normal 5 2 6 3 3" xfId="5637" xr:uid="{00000000-0005-0000-0000-000052190000}"/>
    <cellStyle name="Normal 5 2 6 3 3 2" xfId="14963" xr:uid="{1892BF14-32EF-453B-9B76-66B2E2A60CA2}"/>
    <cellStyle name="Normal 5 2 6 3 4" xfId="10746" xr:uid="{D9C3BCDF-D663-4BA4-AD6F-93CD878E8897}"/>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98B1C099-82EC-41DD-A7C0-D45948D95B26}"/>
    <cellStyle name="Normal 5 2 6 4 2 3" xfId="13304" xr:uid="{DC4B53D3-7985-44C6-92A6-7E402DC1C2C7}"/>
    <cellStyle name="Normal 5 2 6 4 3" xfId="6050" xr:uid="{00000000-0005-0000-0000-000056190000}"/>
    <cellStyle name="Normal 5 2 6 4 3 2" xfId="15376" xr:uid="{72C5B4DF-6CBA-4843-8FEA-8457E8983763}"/>
    <cellStyle name="Normal 5 2 6 4 4" xfId="11159" xr:uid="{CF96506F-C310-45FC-81B5-53B27678C57B}"/>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83D7B574-FB3B-482D-B9BC-71CD19153631}"/>
    <cellStyle name="Normal 5 2 6 5 2 3" xfId="13717" xr:uid="{ED3B746D-4DB5-4530-9AA7-80300CDE693E}"/>
    <cellStyle name="Normal 5 2 6 5 3" xfId="6463" xr:uid="{00000000-0005-0000-0000-00005A190000}"/>
    <cellStyle name="Normal 5 2 6 5 3 2" xfId="15789" xr:uid="{6F6D8BCE-1E5B-4A73-AD65-6895095BD10F}"/>
    <cellStyle name="Normal 5 2 6 5 4" xfId="11572" xr:uid="{34F84186-317D-43B4-AFF0-BDC2C6FFACF2}"/>
    <cellStyle name="Normal 5 2 6 6" xfId="2593" xr:uid="{00000000-0005-0000-0000-00005B190000}"/>
    <cellStyle name="Normal 5 2 6 6 2" xfId="6876" xr:uid="{00000000-0005-0000-0000-00005C190000}"/>
    <cellStyle name="Normal 5 2 6 6 2 2" xfId="16202" xr:uid="{083FEF33-B304-41F1-9039-F5C0D537188C}"/>
    <cellStyle name="Normal 5 2 6 6 3" xfId="11985" xr:uid="{C5BE5A71-CBCE-4A48-BADB-B3342D9CCB44}"/>
    <cellStyle name="Normal 5 2 6 7" xfId="4811" xr:uid="{00000000-0005-0000-0000-00005D190000}"/>
    <cellStyle name="Normal 5 2 6 7 2" xfId="14137" xr:uid="{D7A09850-FB83-4814-A725-C27CEABF0E22}"/>
    <cellStyle name="Normal 5 2 6 8" xfId="8963" xr:uid="{01BDB756-0B70-4C0D-AC32-9959EE0C8F11}"/>
    <cellStyle name="Normal 5 2 6 9" xfId="9920" xr:uid="{9921F018-FE81-43C8-A1B1-7812D84F4A6B}"/>
    <cellStyle name="Normal 5 2 7" xfId="881" xr:uid="{00000000-0005-0000-0000-00005E190000}"/>
    <cellStyle name="Normal 5 2 7 2" xfId="3116" xr:uid="{00000000-0005-0000-0000-00005F190000}"/>
    <cellStyle name="Normal 5 2 7 2 2" xfId="7338" xr:uid="{00000000-0005-0000-0000-000060190000}"/>
    <cellStyle name="Normal 5 2 7 2 2 2" xfId="16664" xr:uid="{D2F8EC64-CA76-4C7D-ACC3-718297B1482C}"/>
    <cellStyle name="Normal 5 2 7 2 3" xfId="12447" xr:uid="{C14A44A5-EB06-40B1-BA1B-7CAF6492CA92}"/>
    <cellStyle name="Normal 5 2 7 3" xfId="5193" xr:uid="{00000000-0005-0000-0000-000061190000}"/>
    <cellStyle name="Normal 5 2 7 3 2" xfId="14519" xr:uid="{50006D8B-8D9F-4F45-B986-E5547619D143}"/>
    <cellStyle name="Normal 5 2 7 4" xfId="9166" xr:uid="{903BB692-5043-4803-B109-F7C532EB2A09}"/>
    <cellStyle name="Normal 5 2 7 5" xfId="10302" xr:uid="{066EFC7C-6A7A-4E31-9391-E0EBE2A5FC0A}"/>
    <cellStyle name="Normal 5 2 8" xfId="1299" xr:uid="{00000000-0005-0000-0000-000062190000}"/>
    <cellStyle name="Normal 5 2 8 2" xfId="3529" xr:uid="{00000000-0005-0000-0000-000063190000}"/>
    <cellStyle name="Normal 5 2 8 2 2" xfId="7751" xr:uid="{00000000-0005-0000-0000-000064190000}"/>
    <cellStyle name="Normal 5 2 8 2 2 2" xfId="17077" xr:uid="{D23A6200-8213-4B37-A128-CBC7DF4B2AD6}"/>
    <cellStyle name="Normal 5 2 8 2 3" xfId="12860" xr:uid="{D19C09A9-E785-40B8-BE4D-1A23CDB36FB1}"/>
    <cellStyle name="Normal 5 2 8 3" xfId="5606" xr:uid="{00000000-0005-0000-0000-000065190000}"/>
    <cellStyle name="Normal 5 2 8 3 2" xfId="14932" xr:uid="{A51AEC82-0651-478A-8040-C595DF948EC9}"/>
    <cellStyle name="Normal 5 2 8 4" xfId="10715" xr:uid="{8637063F-D701-4921-AD36-CC11E823C09B}"/>
    <cellStyle name="Normal 5 2 9" xfId="1712" xr:uid="{00000000-0005-0000-0000-000066190000}"/>
    <cellStyle name="Normal 5 2 9 2" xfId="3942" xr:uid="{00000000-0005-0000-0000-000067190000}"/>
    <cellStyle name="Normal 5 2 9 2 2" xfId="8164" xr:uid="{00000000-0005-0000-0000-000068190000}"/>
    <cellStyle name="Normal 5 2 9 2 2 2" xfId="17490" xr:uid="{600C04DD-842C-4F5D-8946-D825C067DB16}"/>
    <cellStyle name="Normal 5 2 9 2 3" xfId="13273" xr:uid="{E145047D-A5EA-4432-BE27-85C08E035E48}"/>
    <cellStyle name="Normal 5 2 9 3" xfId="6019" xr:uid="{00000000-0005-0000-0000-000069190000}"/>
    <cellStyle name="Normal 5 2 9 3 2" xfId="15345" xr:uid="{8B289F48-930E-4184-B799-C08F01F5AF79}"/>
    <cellStyle name="Normal 5 2 9 4" xfId="11128" xr:uid="{F37A6AD9-B411-47D0-B660-3824E4DB90ED}"/>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E75B7DB2-8943-441A-9B67-27E97D2ECBEC}"/>
    <cellStyle name="Normal 5 3 10 2 3" xfId="13718" xr:uid="{3DF99C5D-4F86-4EC4-AE57-5FE9C7EBCFCD}"/>
    <cellStyle name="Normal 5 3 10 3" xfId="6464" xr:uid="{00000000-0005-0000-0000-00006E190000}"/>
    <cellStyle name="Normal 5 3 10 3 2" xfId="15790" xr:uid="{1B51D4C5-88B2-4339-9C5D-215AC4D82236}"/>
    <cellStyle name="Normal 5 3 10 4" xfId="11573" xr:uid="{7795E661-126B-49EF-8650-DE43F631A2F5}"/>
    <cellStyle name="Normal 5 3 11" xfId="2594" xr:uid="{00000000-0005-0000-0000-00006F190000}"/>
    <cellStyle name="Normal 5 3 11 2" xfId="6877" xr:uid="{00000000-0005-0000-0000-000070190000}"/>
    <cellStyle name="Normal 5 3 11 2 2" xfId="16203" xr:uid="{3047CF57-C371-4D16-9CD9-BFBEF47F5336}"/>
    <cellStyle name="Normal 5 3 11 3" xfId="11986" xr:uid="{40C24CB7-5D4D-41A4-A278-2B32313695E8}"/>
    <cellStyle name="Normal 5 3 12" xfId="4812" xr:uid="{00000000-0005-0000-0000-000071190000}"/>
    <cellStyle name="Normal 5 3 12 2" xfId="14138" xr:uid="{2443A438-3564-4D25-96CA-D85CE7742706}"/>
    <cellStyle name="Normal 5 3 13" xfId="8750" xr:uid="{36957AEF-D081-4A23-AEE3-073A5901863C}"/>
    <cellStyle name="Normal 5 3 14" xfId="9921" xr:uid="{8A6C055B-604C-4462-B188-E94EE5E8E57B}"/>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7DD1C71A-C0EA-4B1F-A261-CBDCA1FDB8A5}"/>
    <cellStyle name="Normal 5 3 3 11" xfId="8782" xr:uid="{4219AD28-469A-4693-BD0B-B0536AC433E5}"/>
    <cellStyle name="Normal 5 3 3 12" xfId="9922" xr:uid="{3FFC08EA-AE37-46AA-971C-EB63601BBCA8}"/>
    <cellStyle name="Normal 5 3 3 2" xfId="442" xr:uid="{00000000-0005-0000-0000-000076190000}"/>
    <cellStyle name="Normal 5 3 3 2 10" xfId="8832" xr:uid="{03323DDB-E4E1-4078-8BBE-EA3DD4471E1B}"/>
    <cellStyle name="Normal 5 3 3 2 11" xfId="9923" xr:uid="{CB9B626A-FBC5-44CE-A345-ED35ED6C2340}"/>
    <cellStyle name="Normal 5 3 3 2 2" xfId="443" xr:uid="{00000000-0005-0000-0000-000077190000}"/>
    <cellStyle name="Normal 5 3 3 2 2 10" xfId="9924" xr:uid="{BB0078F8-4EF2-4F15-8577-93B969E323B4}"/>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03408E81-F2B3-43E3-A5BD-361EEDBCA0E0}"/>
    <cellStyle name="Normal 5 3 3 2 2 2 2 2 3" xfId="12483" xr:uid="{DB77879C-19C4-449D-B40F-E936F922118C}"/>
    <cellStyle name="Normal 5 3 3 2 2 2 2 3" xfId="5229" xr:uid="{00000000-0005-0000-0000-00007C190000}"/>
    <cellStyle name="Normal 5 3 3 2 2 2 2 3 2" xfId="14555" xr:uid="{7A7ECAB8-89F8-402E-9A2D-F105E88D3CB6}"/>
    <cellStyle name="Normal 5 3 3 2 2 2 2 4" xfId="9567" xr:uid="{C2519486-6BC5-47D1-879F-EC6040BC9E9D}"/>
    <cellStyle name="Normal 5 3 3 2 2 2 2 5" xfId="10338" xr:uid="{E289D391-E57E-4099-BBEA-D6F4B09D419A}"/>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6C9BB21C-0C82-4F2A-8CED-54765FD3D936}"/>
    <cellStyle name="Normal 5 3 3 2 2 2 3 2 3" xfId="12896" xr:uid="{FD994A9B-6A91-4C8B-8A14-32B523B0C915}"/>
    <cellStyle name="Normal 5 3 3 2 2 2 3 3" xfId="5642" xr:uid="{00000000-0005-0000-0000-000080190000}"/>
    <cellStyle name="Normal 5 3 3 2 2 2 3 3 2" xfId="14968" xr:uid="{7E83A22F-8053-420E-AF4B-61E946DEC323}"/>
    <cellStyle name="Normal 5 3 3 2 2 2 3 4" xfId="10751" xr:uid="{7A278707-162C-41D4-9E72-32631A030F9A}"/>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ED65C8EA-4073-4A30-913C-D155D05F288B}"/>
    <cellStyle name="Normal 5 3 3 2 2 2 4 2 3" xfId="13309" xr:uid="{AD91797D-6F73-4BB2-A752-8D3DAD7BF7C7}"/>
    <cellStyle name="Normal 5 3 3 2 2 2 4 3" xfId="6055" xr:uid="{00000000-0005-0000-0000-000084190000}"/>
    <cellStyle name="Normal 5 3 3 2 2 2 4 3 2" xfId="15381" xr:uid="{65700DF1-4A35-4617-9FB9-CB15A5FF30E5}"/>
    <cellStyle name="Normal 5 3 3 2 2 2 4 4" xfId="11164" xr:uid="{6D45CB8C-A2AF-4988-9438-C523233A3CA1}"/>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7854C297-5F0B-4A40-96BE-B40D1CA3D5A6}"/>
    <cellStyle name="Normal 5 3 3 2 2 2 5 2 3" xfId="13722" xr:uid="{87B4B851-8D1F-4A84-BBDE-BA1D31F84D2D}"/>
    <cellStyle name="Normal 5 3 3 2 2 2 5 3" xfId="6468" xr:uid="{00000000-0005-0000-0000-000088190000}"/>
    <cellStyle name="Normal 5 3 3 2 2 2 5 3 2" xfId="15794" xr:uid="{A9ABD866-AF9C-4AF1-8A2C-86BB36D1E572}"/>
    <cellStyle name="Normal 5 3 3 2 2 2 5 4" xfId="11577" xr:uid="{191F083B-EB25-485D-9ED6-12A3E4A9CF2F}"/>
    <cellStyle name="Normal 5 3 3 2 2 2 6" xfId="2598" xr:uid="{00000000-0005-0000-0000-000089190000}"/>
    <cellStyle name="Normal 5 3 3 2 2 2 6 2" xfId="6881" xr:uid="{00000000-0005-0000-0000-00008A190000}"/>
    <cellStyle name="Normal 5 3 3 2 2 2 6 2 2" xfId="16207" xr:uid="{9B1B782D-FE5D-413B-ABCC-E591FD0104DB}"/>
    <cellStyle name="Normal 5 3 3 2 2 2 6 3" xfId="11990" xr:uid="{0DF91F77-D0BD-4256-9653-EFEBF9C16842}"/>
    <cellStyle name="Normal 5 3 3 2 2 2 7" xfId="4816" xr:uid="{00000000-0005-0000-0000-00008B190000}"/>
    <cellStyle name="Normal 5 3 3 2 2 2 7 2" xfId="14142" xr:uid="{C70B42EE-F6E0-4C6F-8B61-EC29F0D4022E}"/>
    <cellStyle name="Normal 5 3 3 2 2 2 8" xfId="9142" xr:uid="{81CF9711-3A0B-4712-8E8F-033C974AA9E3}"/>
    <cellStyle name="Normal 5 3 3 2 2 2 9" xfId="9925" xr:uid="{3659D4EB-D96A-4B9D-BF0C-4AF163CDBB5C}"/>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7EE9CC0B-92A9-401D-A531-7C024553DE20}"/>
    <cellStyle name="Normal 5 3 3 2 2 3 2 3" xfId="12482" xr:uid="{EA6D5DFC-F882-4639-928D-DF1470F4910E}"/>
    <cellStyle name="Normal 5 3 3 2 2 3 3" xfId="5228" xr:uid="{00000000-0005-0000-0000-00008F190000}"/>
    <cellStyle name="Normal 5 3 3 2 2 3 3 2" xfId="14554" xr:uid="{D14C05D8-E7B5-40F8-A9C8-20EEFBE94DB8}"/>
    <cellStyle name="Normal 5 3 3 2 2 3 4" xfId="9360" xr:uid="{07447062-3C9B-4A41-BE9D-50DE495FF588}"/>
    <cellStyle name="Normal 5 3 3 2 2 3 5" xfId="10337" xr:uid="{D6B79FB7-4C1C-44DF-923A-74E426D92B7A}"/>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8B9B232B-46E1-41DA-84FC-C5DDD49755CA}"/>
    <cellStyle name="Normal 5 3 3 2 2 4 2 3" xfId="12895" xr:uid="{131B1795-2DFA-4563-A9C6-D4665B1AB890}"/>
    <cellStyle name="Normal 5 3 3 2 2 4 3" xfId="5641" xr:uid="{00000000-0005-0000-0000-000093190000}"/>
    <cellStyle name="Normal 5 3 3 2 2 4 3 2" xfId="14967" xr:uid="{807587A8-4507-4A67-932E-D5637FD5FCF2}"/>
    <cellStyle name="Normal 5 3 3 2 2 4 4" xfId="10750" xr:uid="{1E4266A9-9506-4427-B659-F5FF7041E7C9}"/>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50D9E894-F01F-41F9-A04F-BA2D86BC9D36}"/>
    <cellStyle name="Normal 5 3 3 2 2 5 2 3" xfId="13308" xr:uid="{2428E3F9-FC3C-4990-A1CC-C1DC547E7433}"/>
    <cellStyle name="Normal 5 3 3 2 2 5 3" xfId="6054" xr:uid="{00000000-0005-0000-0000-000097190000}"/>
    <cellStyle name="Normal 5 3 3 2 2 5 3 2" xfId="15380" xr:uid="{63531E9D-C5B9-4237-95D4-90940C111836}"/>
    <cellStyle name="Normal 5 3 3 2 2 5 4" xfId="11163" xr:uid="{F410E1AC-5B93-4026-AB48-4705844C4943}"/>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FB0C5C58-827C-421A-B3C4-6A4ED649BB35}"/>
    <cellStyle name="Normal 5 3 3 2 2 6 2 3" xfId="13721" xr:uid="{D9EA686E-E83A-44D7-9C7A-5A4307E45E48}"/>
    <cellStyle name="Normal 5 3 3 2 2 6 3" xfId="6467" xr:uid="{00000000-0005-0000-0000-00009B190000}"/>
    <cellStyle name="Normal 5 3 3 2 2 6 3 2" xfId="15793" xr:uid="{545DA18F-A08C-43CE-87AB-1F609BCB7E5C}"/>
    <cellStyle name="Normal 5 3 3 2 2 6 4" xfId="11576" xr:uid="{E6FFF1E1-9D37-4DEC-AFF1-7672035AE73D}"/>
    <cellStyle name="Normal 5 3 3 2 2 7" xfId="2597" xr:uid="{00000000-0005-0000-0000-00009C190000}"/>
    <cellStyle name="Normal 5 3 3 2 2 7 2" xfId="6880" xr:uid="{00000000-0005-0000-0000-00009D190000}"/>
    <cellStyle name="Normal 5 3 3 2 2 7 2 2" xfId="16206" xr:uid="{F6277FE4-ED40-4B4B-931F-654418F9CF00}"/>
    <cellStyle name="Normal 5 3 3 2 2 7 3" xfId="11989" xr:uid="{312270F2-6B6D-4289-A154-88131FADD991}"/>
    <cellStyle name="Normal 5 3 3 2 2 8" xfId="4815" xr:uid="{00000000-0005-0000-0000-00009E190000}"/>
    <cellStyle name="Normal 5 3 3 2 2 8 2" xfId="14141" xr:uid="{9E1562D9-8BD2-4422-9E50-4B73A6F33F46}"/>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A0EFEEB7-4D8E-4C65-8C8F-227736AC50F0}"/>
    <cellStyle name="Normal 5 3 3 2 3 2 2 3" xfId="12484" xr:uid="{34979AD6-DEA9-4211-A2C3-62E9F200C173}"/>
    <cellStyle name="Normal 5 3 3 2 3 2 3" xfId="5230" xr:uid="{00000000-0005-0000-0000-0000A3190000}"/>
    <cellStyle name="Normal 5 3 3 2 3 2 3 2" xfId="14556" xr:uid="{0CA662A6-C0CB-4ECA-87EB-9A176D480646}"/>
    <cellStyle name="Normal 5 3 3 2 3 2 4" xfId="9464" xr:uid="{6A182EEF-0879-47AD-839A-17D560B4AF3D}"/>
    <cellStyle name="Normal 5 3 3 2 3 2 5" xfId="10339" xr:uid="{C706EF3E-3FB0-4CF8-B8DC-DED1FB90F94E}"/>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1DCB0AA0-5BEC-4CB2-980A-699DA07B5D33}"/>
    <cellStyle name="Normal 5 3 3 2 3 3 2 3" xfId="12897" xr:uid="{8494D216-668B-4774-9FEC-C5B99BE4EAF5}"/>
    <cellStyle name="Normal 5 3 3 2 3 3 3" xfId="5643" xr:uid="{00000000-0005-0000-0000-0000A7190000}"/>
    <cellStyle name="Normal 5 3 3 2 3 3 3 2" xfId="14969" xr:uid="{7866FB71-7BA2-466D-AE98-D0FCAAB07267}"/>
    <cellStyle name="Normal 5 3 3 2 3 3 4" xfId="10752" xr:uid="{9B08081E-EC77-4DEA-A68B-485806E83EE5}"/>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E99537E5-2520-4A92-95BF-107EBFA75C04}"/>
    <cellStyle name="Normal 5 3 3 2 3 4 2 3" xfId="13310" xr:uid="{A43AF894-5F34-4871-BDA5-A329A90154BE}"/>
    <cellStyle name="Normal 5 3 3 2 3 4 3" xfId="6056" xr:uid="{00000000-0005-0000-0000-0000AB190000}"/>
    <cellStyle name="Normal 5 3 3 2 3 4 3 2" xfId="15382" xr:uid="{19E41A09-F9D6-4FB3-A517-347B05F11A4F}"/>
    <cellStyle name="Normal 5 3 3 2 3 4 4" xfId="11165" xr:uid="{08DFFC9A-14F4-436C-8B49-5B8BEAB502F4}"/>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CC15C5F4-70B5-4AB9-8502-B842F25D01B1}"/>
    <cellStyle name="Normal 5 3 3 2 3 5 2 3" xfId="13723" xr:uid="{31848A8F-AE4B-49FA-A6DB-45964A9E1309}"/>
    <cellStyle name="Normal 5 3 3 2 3 5 3" xfId="6469" xr:uid="{00000000-0005-0000-0000-0000AF190000}"/>
    <cellStyle name="Normal 5 3 3 2 3 5 3 2" xfId="15795" xr:uid="{C46C9954-91E3-4DC2-BBC1-AAAFDA1F8D68}"/>
    <cellStyle name="Normal 5 3 3 2 3 5 4" xfId="11578" xr:uid="{A79A3989-BC45-4739-9EA9-0EA7682B8EFA}"/>
    <cellStyle name="Normal 5 3 3 2 3 6" xfId="2599" xr:uid="{00000000-0005-0000-0000-0000B0190000}"/>
    <cellStyle name="Normal 5 3 3 2 3 6 2" xfId="6882" xr:uid="{00000000-0005-0000-0000-0000B1190000}"/>
    <cellStyle name="Normal 5 3 3 2 3 6 2 2" xfId="16208" xr:uid="{1870A8A9-C162-4E95-9BBB-96FE522B90AE}"/>
    <cellStyle name="Normal 5 3 3 2 3 6 3" xfId="11991" xr:uid="{8FC84F21-B72A-4002-8B2C-69D632B53F37}"/>
    <cellStyle name="Normal 5 3 3 2 3 7" xfId="4817" xr:uid="{00000000-0005-0000-0000-0000B2190000}"/>
    <cellStyle name="Normal 5 3 3 2 3 7 2" xfId="14143" xr:uid="{2FC37AE8-3928-4607-BDD0-212638434772}"/>
    <cellStyle name="Normal 5 3 3 2 3 8" xfId="9039" xr:uid="{84D80CE6-A0CA-4841-8673-26EA7EC6806D}"/>
    <cellStyle name="Normal 5 3 3 2 3 9" xfId="9926" xr:uid="{D33569AC-DE2F-42C2-8D95-DFC1F89EE95A}"/>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61E0DFD3-F59F-4AF6-BB1A-68A6D139860A}"/>
    <cellStyle name="Normal 5 3 3 2 4 2 3" xfId="12481" xr:uid="{F66FF585-1501-4968-BCC5-8516DCC64C2D}"/>
    <cellStyle name="Normal 5 3 3 2 4 3" xfId="5227" xr:uid="{00000000-0005-0000-0000-0000B6190000}"/>
    <cellStyle name="Normal 5 3 3 2 4 3 2" xfId="14553" xr:uid="{A99C541A-DBFC-4A9D-92FB-5DDCA2509D1E}"/>
    <cellStyle name="Normal 5 3 3 2 4 4" xfId="9257" xr:uid="{E6656214-6E5B-491F-B1E3-227CB6568726}"/>
    <cellStyle name="Normal 5 3 3 2 4 5" xfId="10336" xr:uid="{60D5A5DC-D775-4EBD-A4EA-90F94FC70AE0}"/>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56806478-82B7-4633-8565-11B9926218F8}"/>
    <cellStyle name="Normal 5 3 3 2 5 2 3" xfId="12894" xr:uid="{9F5D52C9-0B4A-47EF-B5A2-E5B0DC055027}"/>
    <cellStyle name="Normal 5 3 3 2 5 3" xfId="5640" xr:uid="{00000000-0005-0000-0000-0000BA190000}"/>
    <cellStyle name="Normal 5 3 3 2 5 3 2" xfId="14966" xr:uid="{05A9E70A-3C2A-40DA-914B-5B48DA9AF481}"/>
    <cellStyle name="Normal 5 3 3 2 5 4" xfId="10749" xr:uid="{E2ADD4DD-0B5E-4B50-A7BB-560DDDE903E0}"/>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FBDBB9DA-C909-4583-BD8F-A286D86E5B95}"/>
    <cellStyle name="Normal 5 3 3 2 6 2 3" xfId="13307" xr:uid="{818EF0B9-11CB-4886-876C-5D15FB18F944}"/>
    <cellStyle name="Normal 5 3 3 2 6 3" xfId="6053" xr:uid="{00000000-0005-0000-0000-0000BE190000}"/>
    <cellStyle name="Normal 5 3 3 2 6 3 2" xfId="15379" xr:uid="{1B65E56F-A79D-4CD6-93F5-18F48E57CE63}"/>
    <cellStyle name="Normal 5 3 3 2 6 4" xfId="11162" xr:uid="{3EA0B98A-1E85-4E5E-A13C-F8736A7406F4}"/>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73CE271A-C474-44EA-B99E-7FB5A508D07F}"/>
    <cellStyle name="Normal 5 3 3 2 7 2 3" xfId="13720" xr:uid="{7D156703-B7A2-459E-BA66-2CA349AE304B}"/>
    <cellStyle name="Normal 5 3 3 2 7 3" xfId="6466" xr:uid="{00000000-0005-0000-0000-0000C2190000}"/>
    <cellStyle name="Normal 5 3 3 2 7 3 2" xfId="15792" xr:uid="{07010498-F9E4-4DA7-A87B-583C9A4B37FD}"/>
    <cellStyle name="Normal 5 3 3 2 7 4" xfId="11575" xr:uid="{B581C1EA-A71D-4AD6-8684-B39DE29F5EF9}"/>
    <cellStyle name="Normal 5 3 3 2 8" xfId="2596" xr:uid="{00000000-0005-0000-0000-0000C3190000}"/>
    <cellStyle name="Normal 5 3 3 2 8 2" xfId="6879" xr:uid="{00000000-0005-0000-0000-0000C4190000}"/>
    <cellStyle name="Normal 5 3 3 2 8 2 2" xfId="16205" xr:uid="{4B7021B3-AF52-426D-86BE-2EA29ED8A290}"/>
    <cellStyle name="Normal 5 3 3 2 8 3" xfId="11988" xr:uid="{6D282D2F-4AC7-4BB7-A90D-6BB5E65D338E}"/>
    <cellStyle name="Normal 5 3 3 2 9" xfId="4814" xr:uid="{00000000-0005-0000-0000-0000C5190000}"/>
    <cellStyle name="Normal 5 3 3 2 9 2" xfId="14140" xr:uid="{9314ED4A-A926-439E-B92B-E4B1F51F654C}"/>
    <cellStyle name="Normal 5 3 3 3" xfId="446" xr:uid="{00000000-0005-0000-0000-0000C6190000}"/>
    <cellStyle name="Normal 5 3 3 3 10" xfId="9927" xr:uid="{3A32FCD7-134A-4EC2-9ED1-20504D131983}"/>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18F55664-43D5-40D4-A2A1-B47B3F8FCBE6}"/>
    <cellStyle name="Normal 5 3 3 3 2 2 2 3" xfId="12486" xr:uid="{2F2D02B5-A94F-4BE4-89F1-9C7E95FC7088}"/>
    <cellStyle name="Normal 5 3 3 3 2 2 3" xfId="5232" xr:uid="{00000000-0005-0000-0000-0000CB190000}"/>
    <cellStyle name="Normal 5 3 3 3 2 2 3 2" xfId="14558" xr:uid="{75750988-C62B-43A8-9983-F64421B06CAF}"/>
    <cellStyle name="Normal 5 3 3 3 2 2 4" xfId="9517" xr:uid="{EA62A3B1-8ED5-4A6F-ACE0-B924BC16AA9E}"/>
    <cellStyle name="Normal 5 3 3 3 2 2 5" xfId="10341" xr:uid="{A401B389-E8B4-4850-9C6F-38AD773FE8A5}"/>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583E92E4-DDDC-4A9D-945A-1C285A8DBF0B}"/>
    <cellStyle name="Normal 5 3 3 3 2 3 2 3" xfId="12899" xr:uid="{41EF9086-8E18-4FD1-AFB4-B605EEB25A20}"/>
    <cellStyle name="Normal 5 3 3 3 2 3 3" xfId="5645" xr:uid="{00000000-0005-0000-0000-0000CF190000}"/>
    <cellStyle name="Normal 5 3 3 3 2 3 3 2" xfId="14971" xr:uid="{DC6097F6-CCA3-45F1-93F9-16E4150BC35A}"/>
    <cellStyle name="Normal 5 3 3 3 2 3 4" xfId="10754" xr:uid="{43562BE8-8F52-4F0D-852D-0BFB736EE313}"/>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1792DAEC-F67F-4A23-8753-530D0291688A}"/>
    <cellStyle name="Normal 5 3 3 3 2 4 2 3" xfId="13312" xr:uid="{8C7A62CC-9162-4410-983C-CEC5E807DE41}"/>
    <cellStyle name="Normal 5 3 3 3 2 4 3" xfId="6058" xr:uid="{00000000-0005-0000-0000-0000D3190000}"/>
    <cellStyle name="Normal 5 3 3 3 2 4 3 2" xfId="15384" xr:uid="{E16398C4-10F8-4853-96BF-1C6343A86E1D}"/>
    <cellStyle name="Normal 5 3 3 3 2 4 4" xfId="11167" xr:uid="{A488A311-B778-4A4F-BF24-C5733C464F16}"/>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995F50BD-98B6-4752-A490-002CE2C43693}"/>
    <cellStyle name="Normal 5 3 3 3 2 5 2 3" xfId="13725" xr:uid="{5EEDE85F-A2A0-4993-A551-4D005FCA73FA}"/>
    <cellStyle name="Normal 5 3 3 3 2 5 3" xfId="6471" xr:uid="{00000000-0005-0000-0000-0000D7190000}"/>
    <cellStyle name="Normal 5 3 3 3 2 5 3 2" xfId="15797" xr:uid="{7B9918B0-B02D-4903-B262-11EAFC6FF024}"/>
    <cellStyle name="Normal 5 3 3 3 2 5 4" xfId="11580" xr:uid="{FA4ED337-6A7D-48EC-9E59-8CA2EF9B0B21}"/>
    <cellStyle name="Normal 5 3 3 3 2 6" xfId="2601" xr:uid="{00000000-0005-0000-0000-0000D8190000}"/>
    <cellStyle name="Normal 5 3 3 3 2 6 2" xfId="6884" xr:uid="{00000000-0005-0000-0000-0000D9190000}"/>
    <cellStyle name="Normal 5 3 3 3 2 6 2 2" xfId="16210" xr:uid="{8E6A3842-FDD7-44FF-A72A-AD87476A1FDD}"/>
    <cellStyle name="Normal 5 3 3 3 2 6 3" xfId="11993" xr:uid="{0B3D0777-A829-4F35-9962-6E3AED7CCF1B}"/>
    <cellStyle name="Normal 5 3 3 3 2 7" xfId="4819" xr:uid="{00000000-0005-0000-0000-0000DA190000}"/>
    <cellStyle name="Normal 5 3 3 3 2 7 2" xfId="14145" xr:uid="{EC1718E9-FD43-4ADB-87F8-497D7C56C3AE}"/>
    <cellStyle name="Normal 5 3 3 3 2 8" xfId="9092" xr:uid="{A018BC5E-3880-4BA4-8CFB-322C89A13B5F}"/>
    <cellStyle name="Normal 5 3 3 3 2 9" xfId="9928" xr:uid="{71B7331C-C4B0-4E4B-8C2E-534021030113}"/>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A1352F6C-4108-4562-B3A8-C5D400752F63}"/>
    <cellStyle name="Normal 5 3 3 3 3 2 3" xfId="12485" xr:uid="{CE44339D-2302-4439-ABA6-D09502189B46}"/>
    <cellStyle name="Normal 5 3 3 3 3 3" xfId="5231" xr:uid="{00000000-0005-0000-0000-0000DE190000}"/>
    <cellStyle name="Normal 5 3 3 3 3 3 2" xfId="14557" xr:uid="{1B80BF91-6EEB-414D-9972-1E91EC334D8B}"/>
    <cellStyle name="Normal 5 3 3 3 3 4" xfId="9310" xr:uid="{D169C31A-17C5-4934-97DF-D90479FD2654}"/>
    <cellStyle name="Normal 5 3 3 3 3 5" xfId="10340" xr:uid="{4DDA4084-2875-409D-83DA-EDBC1EB2CE95}"/>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7C433D3B-F2F7-4A89-8922-797DEB0A6BE0}"/>
    <cellStyle name="Normal 5 3 3 3 4 2 3" xfId="12898" xr:uid="{368C6351-F4C0-49F4-A9F0-0C8CBADB2B6E}"/>
    <cellStyle name="Normal 5 3 3 3 4 3" xfId="5644" xr:uid="{00000000-0005-0000-0000-0000E2190000}"/>
    <cellStyle name="Normal 5 3 3 3 4 3 2" xfId="14970" xr:uid="{8FF77611-C117-4929-ADEC-09EAAA15337B}"/>
    <cellStyle name="Normal 5 3 3 3 4 4" xfId="10753" xr:uid="{EBAE5DD9-405C-4069-A6DC-F9C775A3CD07}"/>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B317C725-D24D-400C-85B1-8E487E69E07E}"/>
    <cellStyle name="Normal 5 3 3 3 5 2 3" xfId="13311" xr:uid="{879CC8C0-3091-4192-8637-FD1A4AE41198}"/>
    <cellStyle name="Normal 5 3 3 3 5 3" xfId="6057" xr:uid="{00000000-0005-0000-0000-0000E6190000}"/>
    <cellStyle name="Normal 5 3 3 3 5 3 2" xfId="15383" xr:uid="{23AC0712-7A31-4F27-BCEB-C62756B05295}"/>
    <cellStyle name="Normal 5 3 3 3 5 4" xfId="11166" xr:uid="{9318F273-6C87-4CC4-A134-9D87D4008735}"/>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0CE60965-FAE6-4EED-8329-4F516B9C3C33}"/>
    <cellStyle name="Normal 5 3 3 3 6 2 3" xfId="13724" xr:uid="{010CE6A8-0598-4EFB-9DF7-B9FE43263B6E}"/>
    <cellStyle name="Normal 5 3 3 3 6 3" xfId="6470" xr:uid="{00000000-0005-0000-0000-0000EA190000}"/>
    <cellStyle name="Normal 5 3 3 3 6 3 2" xfId="15796" xr:uid="{631877EC-534B-4041-9A52-2F4FEFA010F4}"/>
    <cellStyle name="Normal 5 3 3 3 6 4" xfId="11579" xr:uid="{8693DF4B-CC3C-4F85-AE01-AA954825B25B}"/>
    <cellStyle name="Normal 5 3 3 3 7" xfId="2600" xr:uid="{00000000-0005-0000-0000-0000EB190000}"/>
    <cellStyle name="Normal 5 3 3 3 7 2" xfId="6883" xr:uid="{00000000-0005-0000-0000-0000EC190000}"/>
    <cellStyle name="Normal 5 3 3 3 7 2 2" xfId="16209" xr:uid="{7F3DCA26-734D-4281-B267-84CB6671C025}"/>
    <cellStyle name="Normal 5 3 3 3 7 3" xfId="11992" xr:uid="{F4B21D40-1025-44F8-9F8C-2D7476C4BFFF}"/>
    <cellStyle name="Normal 5 3 3 3 8" xfId="4818" xr:uid="{00000000-0005-0000-0000-0000ED190000}"/>
    <cellStyle name="Normal 5 3 3 3 8 2" xfId="14144" xr:uid="{9604046B-EF8D-407B-8BEE-01C0972F43EC}"/>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571144EC-4FF9-489E-B0FD-9D560A20D059}"/>
    <cellStyle name="Normal 5 3 3 4 2 2 3" xfId="12487" xr:uid="{32109013-0C9B-4F4A-8965-95D758679307}"/>
    <cellStyle name="Normal 5 3 3 4 2 3" xfId="5233" xr:uid="{00000000-0005-0000-0000-0000F2190000}"/>
    <cellStyle name="Normal 5 3 3 4 2 3 2" xfId="14559" xr:uid="{94640A8B-1E09-47C0-B260-D206CC763794}"/>
    <cellStyle name="Normal 5 3 3 4 2 4" xfId="9414" xr:uid="{BD781A4C-FDA7-4D11-87F3-3D38EC19B37A}"/>
    <cellStyle name="Normal 5 3 3 4 2 5" xfId="10342" xr:uid="{51974D88-AA55-4435-A5DB-1777CAAEFACC}"/>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061E804A-D518-4753-AF12-60FAA7FCD522}"/>
    <cellStyle name="Normal 5 3 3 4 3 2 3" xfId="12900" xr:uid="{330B50E3-0D0A-4FC0-A640-FB8BA4C114AC}"/>
    <cellStyle name="Normal 5 3 3 4 3 3" xfId="5646" xr:uid="{00000000-0005-0000-0000-0000F6190000}"/>
    <cellStyle name="Normal 5 3 3 4 3 3 2" xfId="14972" xr:uid="{363D2C9C-7146-49F9-993C-C4EB50FE2868}"/>
    <cellStyle name="Normal 5 3 3 4 3 4" xfId="10755" xr:uid="{09308936-95F4-4F55-B348-8627AB71FFA3}"/>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9E7A9751-E433-4088-B87A-E8249D874125}"/>
    <cellStyle name="Normal 5 3 3 4 4 2 3" xfId="13313" xr:uid="{BAAD9A03-337E-4B87-A44F-249A1674218C}"/>
    <cellStyle name="Normal 5 3 3 4 4 3" xfId="6059" xr:uid="{00000000-0005-0000-0000-0000FA190000}"/>
    <cellStyle name="Normal 5 3 3 4 4 3 2" xfId="15385" xr:uid="{CC2E7688-D253-4399-9080-8740F6CBC52C}"/>
    <cellStyle name="Normal 5 3 3 4 4 4" xfId="11168" xr:uid="{61425818-B0BF-450A-84FA-5CA114BE18FB}"/>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722ACAF2-FFBA-43B8-87F7-3179496FC401}"/>
    <cellStyle name="Normal 5 3 3 4 5 2 3" xfId="13726" xr:uid="{37A29A60-B3FA-41C6-A2D3-F11828F908C5}"/>
    <cellStyle name="Normal 5 3 3 4 5 3" xfId="6472" xr:uid="{00000000-0005-0000-0000-0000FE190000}"/>
    <cellStyle name="Normal 5 3 3 4 5 3 2" xfId="15798" xr:uid="{C4F46E3D-1AD5-43D3-A579-DD3DFCE8BBCB}"/>
    <cellStyle name="Normal 5 3 3 4 5 4" xfId="11581" xr:uid="{52B5547A-D8E9-471D-AB84-DC89028C42F4}"/>
    <cellStyle name="Normal 5 3 3 4 6" xfId="2602" xr:uid="{00000000-0005-0000-0000-0000FF190000}"/>
    <cellStyle name="Normal 5 3 3 4 6 2" xfId="6885" xr:uid="{00000000-0005-0000-0000-0000001A0000}"/>
    <cellStyle name="Normal 5 3 3 4 6 2 2" xfId="16211" xr:uid="{C11AD16A-C0DD-4C29-9C7D-F9ED209C6349}"/>
    <cellStyle name="Normal 5 3 3 4 6 3" xfId="11994" xr:uid="{68F36E46-CD6F-4EC4-B593-0351F9B64AAC}"/>
    <cellStyle name="Normal 5 3 3 4 7" xfId="4820" xr:uid="{00000000-0005-0000-0000-0000011A0000}"/>
    <cellStyle name="Normal 5 3 3 4 7 2" xfId="14146" xr:uid="{EA26E40C-CDB1-41C7-9D2B-1DA5E10E0085}"/>
    <cellStyle name="Normal 5 3 3 4 8" xfId="8989" xr:uid="{20FA1483-98E6-46C4-B00B-4EAF7957981D}"/>
    <cellStyle name="Normal 5 3 3 4 9" xfId="9929" xr:uid="{BB86C784-32EE-41F8-AA30-9BAC95747CEC}"/>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38129C43-F411-46D6-8640-9A0964457951}"/>
    <cellStyle name="Normal 5 3 3 5 2 3" xfId="12480" xr:uid="{6C5E2B6B-95AA-4D62-83DD-F0EA79EACE6E}"/>
    <cellStyle name="Normal 5 3 3 5 3" xfId="5226" xr:uid="{00000000-0005-0000-0000-0000051A0000}"/>
    <cellStyle name="Normal 5 3 3 5 3 2" xfId="14552" xr:uid="{2C22618B-BC22-413F-A99F-2F42967B100C}"/>
    <cellStyle name="Normal 5 3 3 5 4" xfId="9206" xr:uid="{CA749CBB-EAB5-483B-862D-D7B95A23D45C}"/>
    <cellStyle name="Normal 5 3 3 5 5" xfId="10335" xr:uid="{2359FFA5-69FF-4C37-9C84-87FE0E6E7C5A}"/>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AFB930E2-72E9-4DEB-ABCE-9EA0E4370F7B}"/>
    <cellStyle name="Normal 5 3 3 6 2 3" xfId="12893" xr:uid="{01C4B018-E3FE-416B-8759-4B18D6A8EFEF}"/>
    <cellStyle name="Normal 5 3 3 6 3" xfId="5639" xr:uid="{00000000-0005-0000-0000-0000091A0000}"/>
    <cellStyle name="Normal 5 3 3 6 3 2" xfId="14965" xr:uid="{F8E52FFD-7A84-45FE-A6A2-2992FE46CB59}"/>
    <cellStyle name="Normal 5 3 3 6 4" xfId="10748" xr:uid="{A4C340B6-DC45-4AB9-8ABF-AEE4DA4BEFFB}"/>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11B30155-72C2-43FD-A011-09450B6E0D50}"/>
    <cellStyle name="Normal 5 3 3 7 2 3" xfId="13306" xr:uid="{3B6368BD-0A24-468F-9C07-01498908DE54}"/>
    <cellStyle name="Normal 5 3 3 7 3" xfId="6052" xr:uid="{00000000-0005-0000-0000-00000D1A0000}"/>
    <cellStyle name="Normal 5 3 3 7 3 2" xfId="15378" xr:uid="{9C8363BA-2AE1-422E-99E6-F46804337DCF}"/>
    <cellStyle name="Normal 5 3 3 7 4" xfId="11161" xr:uid="{77AC3D87-4D0C-4775-BC04-8C93D3DA28DF}"/>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2BD867A8-AFF3-4AE0-A12C-1F54E88CB13A}"/>
    <cellStyle name="Normal 5 3 3 8 2 3" xfId="13719" xr:uid="{6BE9D319-05CF-4161-BC86-CE4A8BA0F1C9}"/>
    <cellStyle name="Normal 5 3 3 8 3" xfId="6465" xr:uid="{00000000-0005-0000-0000-0000111A0000}"/>
    <cellStyle name="Normal 5 3 3 8 3 2" xfId="15791" xr:uid="{5281A24A-D27C-456F-86CC-C759A4824E63}"/>
    <cellStyle name="Normal 5 3 3 8 4" xfId="11574" xr:uid="{9D2309AE-B492-4762-A2D3-490FFB605D77}"/>
    <cellStyle name="Normal 5 3 3 9" xfId="2595" xr:uid="{00000000-0005-0000-0000-0000121A0000}"/>
    <cellStyle name="Normal 5 3 3 9 2" xfId="6878" xr:uid="{00000000-0005-0000-0000-0000131A0000}"/>
    <cellStyle name="Normal 5 3 3 9 2 2" xfId="16204" xr:uid="{337E13C0-CABB-4117-AA40-D4FE6EB667A3}"/>
    <cellStyle name="Normal 5 3 3 9 3" xfId="11987" xr:uid="{A95CFDE6-3195-4F0B-9DB0-63B0BBA47A30}"/>
    <cellStyle name="Normal 5 3 4" xfId="449" xr:uid="{00000000-0005-0000-0000-0000141A0000}"/>
    <cellStyle name="Normal 5 3 4 10" xfId="8831" xr:uid="{39AD872D-FBC2-4C4A-B537-79F8014E4247}"/>
    <cellStyle name="Normal 5 3 4 11" xfId="9930" xr:uid="{688C5223-0FAB-4295-AFAD-096F85F850FB}"/>
    <cellStyle name="Normal 5 3 4 2" xfId="450" xr:uid="{00000000-0005-0000-0000-0000151A0000}"/>
    <cellStyle name="Normal 5 3 4 2 10" xfId="9931" xr:uid="{0E5F4E82-0BDF-4BB3-83B2-3158B51FE40A}"/>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8C4BE6B8-007E-4141-9D64-76E6650A646B}"/>
    <cellStyle name="Normal 5 3 4 2 2 2 2 3" xfId="12490" xr:uid="{2055D5B3-2C6A-41F2-AA1C-E3512A5CB7BE}"/>
    <cellStyle name="Normal 5 3 4 2 2 2 3" xfId="5236" xr:uid="{00000000-0005-0000-0000-00001A1A0000}"/>
    <cellStyle name="Normal 5 3 4 2 2 2 3 2" xfId="14562" xr:uid="{8968AEA0-75FF-4A20-A59B-26058EC1A8AB}"/>
    <cellStyle name="Normal 5 3 4 2 2 2 4" xfId="9566" xr:uid="{D483C248-9680-462F-989C-42C712CD6EB7}"/>
    <cellStyle name="Normal 5 3 4 2 2 2 5" xfId="10345" xr:uid="{259AD9BF-2A98-4095-9259-1EBCFE1E9F1B}"/>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75E6C369-4BD3-4A3F-A378-3847A791333C}"/>
    <cellStyle name="Normal 5 3 4 2 2 3 2 3" xfId="12903" xr:uid="{069D9632-4820-4C3F-9C1B-AC1949488AFD}"/>
    <cellStyle name="Normal 5 3 4 2 2 3 3" xfId="5649" xr:uid="{00000000-0005-0000-0000-00001E1A0000}"/>
    <cellStyle name="Normal 5 3 4 2 2 3 3 2" xfId="14975" xr:uid="{C6FB4AED-BABC-4216-B837-A05D77921764}"/>
    <cellStyle name="Normal 5 3 4 2 2 3 4" xfId="10758" xr:uid="{0B9B24A3-C858-43AF-BBE0-BDB4946968D6}"/>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EBEEF62B-39C9-4E56-ACEA-82883A6D3443}"/>
    <cellStyle name="Normal 5 3 4 2 2 4 2 3" xfId="13316" xr:uid="{81AE5906-4D1F-4ADC-B5E5-E00245D92C38}"/>
    <cellStyle name="Normal 5 3 4 2 2 4 3" xfId="6062" xr:uid="{00000000-0005-0000-0000-0000221A0000}"/>
    <cellStyle name="Normal 5 3 4 2 2 4 3 2" xfId="15388" xr:uid="{079908E0-D92E-40CD-9EA1-18BBB12B7003}"/>
    <cellStyle name="Normal 5 3 4 2 2 4 4" xfId="11171" xr:uid="{8535BF33-F562-4E86-94EC-77A5CBC3FA44}"/>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D937DA40-D85B-49C8-9169-E063D93F7718}"/>
    <cellStyle name="Normal 5 3 4 2 2 5 2 3" xfId="13729" xr:uid="{9D67C907-D4BC-4594-8722-6E60C8FD131F}"/>
    <cellStyle name="Normal 5 3 4 2 2 5 3" xfId="6475" xr:uid="{00000000-0005-0000-0000-0000261A0000}"/>
    <cellStyle name="Normal 5 3 4 2 2 5 3 2" xfId="15801" xr:uid="{94DC9B5F-24FD-4EBA-8329-969072E33768}"/>
    <cellStyle name="Normal 5 3 4 2 2 5 4" xfId="11584" xr:uid="{8C4BEBE2-273C-4196-B4F6-B781266E7DA1}"/>
    <cellStyle name="Normal 5 3 4 2 2 6" xfId="2605" xr:uid="{00000000-0005-0000-0000-0000271A0000}"/>
    <cellStyle name="Normal 5 3 4 2 2 6 2" xfId="6888" xr:uid="{00000000-0005-0000-0000-0000281A0000}"/>
    <cellStyle name="Normal 5 3 4 2 2 6 2 2" xfId="16214" xr:uid="{3578ED5C-33E0-4279-B54E-F021B66FCFFC}"/>
    <cellStyle name="Normal 5 3 4 2 2 6 3" xfId="11997" xr:uid="{B3D98BCD-BF43-4CEB-A14B-949812CC8097}"/>
    <cellStyle name="Normal 5 3 4 2 2 7" xfId="4823" xr:uid="{00000000-0005-0000-0000-0000291A0000}"/>
    <cellStyle name="Normal 5 3 4 2 2 7 2" xfId="14149" xr:uid="{1C294611-DBD2-4499-B20E-AD04CE696BE1}"/>
    <cellStyle name="Normal 5 3 4 2 2 8" xfId="9141" xr:uid="{6B63A6D0-0E60-498B-8E53-451D5144533A}"/>
    <cellStyle name="Normal 5 3 4 2 2 9" xfId="9932" xr:uid="{90D1DE27-CF7B-498E-A694-6607907A1445}"/>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5521FF3D-ACD0-411A-9D58-4898C6564E40}"/>
    <cellStyle name="Normal 5 3 4 2 3 2 3" xfId="12489" xr:uid="{F1F50201-4E9E-4094-A2E5-EEF38BE0CEE4}"/>
    <cellStyle name="Normal 5 3 4 2 3 3" xfId="5235" xr:uid="{00000000-0005-0000-0000-00002D1A0000}"/>
    <cellStyle name="Normal 5 3 4 2 3 3 2" xfId="14561" xr:uid="{DFB6C431-F885-4D09-89E0-E1C2E34BC5DA}"/>
    <cellStyle name="Normal 5 3 4 2 3 4" xfId="9359" xr:uid="{FAC41203-2BC4-411F-9296-10781BA4F1AB}"/>
    <cellStyle name="Normal 5 3 4 2 3 5" xfId="10344" xr:uid="{589E77A3-7FB8-4D40-ACD4-C3A01D128782}"/>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249C0091-E5BD-4276-903D-59715271188C}"/>
    <cellStyle name="Normal 5 3 4 2 4 2 3" xfId="12902" xr:uid="{9CA3233B-107C-4862-AA15-784CCCB3948E}"/>
    <cellStyle name="Normal 5 3 4 2 4 3" xfId="5648" xr:uid="{00000000-0005-0000-0000-0000311A0000}"/>
    <cellStyle name="Normal 5 3 4 2 4 3 2" xfId="14974" xr:uid="{F3CFBBFF-80E5-495B-952F-D3B7B5A102F5}"/>
    <cellStyle name="Normal 5 3 4 2 4 4" xfId="10757" xr:uid="{B77F47F5-A8CA-41C5-B9ED-76A012F4386A}"/>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96F318B5-B3F4-4354-8036-4EF941425653}"/>
    <cellStyle name="Normal 5 3 4 2 5 2 3" xfId="13315" xr:uid="{5CAF04EB-422F-4597-9FC3-BC5953989994}"/>
    <cellStyle name="Normal 5 3 4 2 5 3" xfId="6061" xr:uid="{00000000-0005-0000-0000-0000351A0000}"/>
    <cellStyle name="Normal 5 3 4 2 5 3 2" xfId="15387" xr:uid="{AC353C7E-3576-4F7D-B00E-DA06B35B4D7C}"/>
    <cellStyle name="Normal 5 3 4 2 5 4" xfId="11170" xr:uid="{A2560B78-B520-47C1-8F7C-DD776E2708BA}"/>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4794470B-B75A-483F-9A83-7A77BD89D664}"/>
    <cellStyle name="Normal 5 3 4 2 6 2 3" xfId="13728" xr:uid="{BD49218C-2D2D-467F-81C2-888AC46A4DEC}"/>
    <cellStyle name="Normal 5 3 4 2 6 3" xfId="6474" xr:uid="{00000000-0005-0000-0000-0000391A0000}"/>
    <cellStyle name="Normal 5 3 4 2 6 3 2" xfId="15800" xr:uid="{4E881458-45AC-4C32-8281-747B2E7E206E}"/>
    <cellStyle name="Normal 5 3 4 2 6 4" xfId="11583" xr:uid="{C6D486CA-7181-45F6-9370-C4159ABC97E1}"/>
    <cellStyle name="Normal 5 3 4 2 7" xfId="2604" xr:uid="{00000000-0005-0000-0000-00003A1A0000}"/>
    <cellStyle name="Normal 5 3 4 2 7 2" xfId="6887" xr:uid="{00000000-0005-0000-0000-00003B1A0000}"/>
    <cellStyle name="Normal 5 3 4 2 7 2 2" xfId="16213" xr:uid="{501C5D7F-7373-4EDB-9C11-90887018CACC}"/>
    <cellStyle name="Normal 5 3 4 2 7 3" xfId="11996" xr:uid="{E1C77984-68BC-4704-BA33-8FFC9F776D2B}"/>
    <cellStyle name="Normal 5 3 4 2 8" xfId="4822" xr:uid="{00000000-0005-0000-0000-00003C1A0000}"/>
    <cellStyle name="Normal 5 3 4 2 8 2" xfId="14148" xr:uid="{1C9377D2-86A2-4CA7-AE33-249BCE8B3EA5}"/>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3DE2C551-A3CC-43F5-B3A5-56B0DC6FD4A7}"/>
    <cellStyle name="Normal 5 3 4 3 2 2 3" xfId="12491" xr:uid="{979194D4-ADDB-445B-89EF-E3F7EE08623A}"/>
    <cellStyle name="Normal 5 3 4 3 2 3" xfId="5237" xr:uid="{00000000-0005-0000-0000-0000411A0000}"/>
    <cellStyle name="Normal 5 3 4 3 2 3 2" xfId="14563" xr:uid="{B03F8DA5-E807-493F-9837-CA2B3FAD75A8}"/>
    <cellStyle name="Normal 5 3 4 3 2 4" xfId="9463" xr:uid="{1CC38E89-013B-404F-9F3E-11BABC37F656}"/>
    <cellStyle name="Normal 5 3 4 3 2 5" xfId="10346" xr:uid="{485CD707-F31B-474B-99C1-CEFA20A9DE3C}"/>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C32F5AEC-9D96-4562-8C60-3839E2AABFE0}"/>
    <cellStyle name="Normal 5 3 4 3 3 2 3" xfId="12904" xr:uid="{76E263A8-B4AC-4DAF-B501-289312935E49}"/>
    <cellStyle name="Normal 5 3 4 3 3 3" xfId="5650" xr:uid="{00000000-0005-0000-0000-0000451A0000}"/>
    <cellStyle name="Normal 5 3 4 3 3 3 2" xfId="14976" xr:uid="{653B37DC-E4D0-47F7-9039-69266B8BFBE3}"/>
    <cellStyle name="Normal 5 3 4 3 3 4" xfId="10759" xr:uid="{E672D7E8-2874-458F-BEED-E02C549BB380}"/>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EF71BDC5-CC0A-49A8-98A7-D0F00161C437}"/>
    <cellStyle name="Normal 5 3 4 3 4 2 3" xfId="13317" xr:uid="{B35AE42E-4ABB-4539-AEB7-38F987D27D40}"/>
    <cellStyle name="Normal 5 3 4 3 4 3" xfId="6063" xr:uid="{00000000-0005-0000-0000-0000491A0000}"/>
    <cellStyle name="Normal 5 3 4 3 4 3 2" xfId="15389" xr:uid="{C2989E4A-463A-4338-8184-902CA4BCB1ED}"/>
    <cellStyle name="Normal 5 3 4 3 4 4" xfId="11172" xr:uid="{695A73C1-BFE1-492C-BFF5-5283CC24D232}"/>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45F2AAA0-457C-4487-ACBA-534699C3B865}"/>
    <cellStyle name="Normal 5 3 4 3 5 2 3" xfId="13730" xr:uid="{DEFD83A5-FCAD-4E9C-A81A-B40B736350E0}"/>
    <cellStyle name="Normal 5 3 4 3 5 3" xfId="6476" xr:uid="{00000000-0005-0000-0000-00004D1A0000}"/>
    <cellStyle name="Normal 5 3 4 3 5 3 2" xfId="15802" xr:uid="{6EF39B01-0133-49ED-A471-2F3FA0A1B219}"/>
    <cellStyle name="Normal 5 3 4 3 5 4" xfId="11585" xr:uid="{04E894A8-2434-4BBF-AB75-66BBECB209E8}"/>
    <cellStyle name="Normal 5 3 4 3 6" xfId="2606" xr:uid="{00000000-0005-0000-0000-00004E1A0000}"/>
    <cellStyle name="Normal 5 3 4 3 6 2" xfId="6889" xr:uid="{00000000-0005-0000-0000-00004F1A0000}"/>
    <cellStyle name="Normal 5 3 4 3 6 2 2" xfId="16215" xr:uid="{7B345BD4-4E32-4C06-9B7B-C2C14F11650A}"/>
    <cellStyle name="Normal 5 3 4 3 6 3" xfId="11998" xr:uid="{84657D5F-EF31-4948-A3B2-4056B47D5648}"/>
    <cellStyle name="Normal 5 3 4 3 7" xfId="4824" xr:uid="{00000000-0005-0000-0000-0000501A0000}"/>
    <cellStyle name="Normal 5 3 4 3 7 2" xfId="14150" xr:uid="{4DC6C8E8-9F79-451F-800C-303805EB3C35}"/>
    <cellStyle name="Normal 5 3 4 3 8" xfId="9038" xr:uid="{15024032-E3C2-4FDD-B674-481D39A836C5}"/>
    <cellStyle name="Normal 5 3 4 3 9" xfId="9933" xr:uid="{ED38DB7A-6828-4938-B560-272854C56AF1}"/>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DF778978-3141-4DB8-8E75-CD29645E1267}"/>
    <cellStyle name="Normal 5 3 4 4 2 3" xfId="12488" xr:uid="{6CCA05A3-3B7D-42D4-8F4D-772904168693}"/>
    <cellStyle name="Normal 5 3 4 4 3" xfId="5234" xr:uid="{00000000-0005-0000-0000-0000541A0000}"/>
    <cellStyle name="Normal 5 3 4 4 3 2" xfId="14560" xr:uid="{D3538577-4585-4497-AA5A-13CBE0233429}"/>
    <cellStyle name="Normal 5 3 4 4 4" xfId="9256" xr:uid="{69A14F57-2B46-4294-8CA5-E21858516C25}"/>
    <cellStyle name="Normal 5 3 4 4 5" xfId="10343" xr:uid="{62A1C1A9-E626-4258-BB7A-0D24EFE2A5EE}"/>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CFAF4534-EC30-46A4-B141-4499350DD07E}"/>
    <cellStyle name="Normal 5 3 4 5 2 3" xfId="12901" xr:uid="{CB2CF63D-C46A-4FC5-A859-08EC6879A16C}"/>
    <cellStyle name="Normal 5 3 4 5 3" xfId="5647" xr:uid="{00000000-0005-0000-0000-0000581A0000}"/>
    <cellStyle name="Normal 5 3 4 5 3 2" xfId="14973" xr:uid="{ACA909EE-242E-4B6E-A4EB-75361A7E42F8}"/>
    <cellStyle name="Normal 5 3 4 5 4" xfId="10756" xr:uid="{DB3ABB2A-628B-419C-8662-7D1A7D80DE8D}"/>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C413ACF9-E9F9-421C-ABE4-5FC3B60A4191}"/>
    <cellStyle name="Normal 5 3 4 6 2 3" xfId="13314" xr:uid="{70BCAE0C-A3C3-48CB-B255-0F21F2712B7C}"/>
    <cellStyle name="Normal 5 3 4 6 3" xfId="6060" xr:uid="{00000000-0005-0000-0000-00005C1A0000}"/>
    <cellStyle name="Normal 5 3 4 6 3 2" xfId="15386" xr:uid="{3875724F-2DAF-408F-96D7-C5D798C66544}"/>
    <cellStyle name="Normal 5 3 4 6 4" xfId="11169" xr:uid="{1C589F87-05DF-42A8-9255-8AEC833E666A}"/>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7A07F108-61B3-4463-AB1F-F5336F74F1A2}"/>
    <cellStyle name="Normal 5 3 4 7 2 3" xfId="13727" xr:uid="{E2E3BAFE-8910-4DF7-A344-F14EBCE19FA1}"/>
    <cellStyle name="Normal 5 3 4 7 3" xfId="6473" xr:uid="{00000000-0005-0000-0000-0000601A0000}"/>
    <cellStyle name="Normal 5 3 4 7 3 2" xfId="15799" xr:uid="{3F79A0E9-BCBE-4A27-86F1-61105FAE0615}"/>
    <cellStyle name="Normal 5 3 4 7 4" xfId="11582" xr:uid="{6F0BC07D-A957-4E21-B1BE-9AA2F91A1EB8}"/>
    <cellStyle name="Normal 5 3 4 8" xfId="2603" xr:uid="{00000000-0005-0000-0000-0000611A0000}"/>
    <cellStyle name="Normal 5 3 4 8 2" xfId="6886" xr:uid="{00000000-0005-0000-0000-0000621A0000}"/>
    <cellStyle name="Normal 5 3 4 8 2 2" xfId="16212" xr:uid="{47E72FAE-E641-4375-AEA3-81CDE95BCEC4}"/>
    <cellStyle name="Normal 5 3 4 8 3" xfId="11995" xr:uid="{A336C353-5990-4E5D-BACF-B84EB3A23563}"/>
    <cellStyle name="Normal 5 3 4 9" xfId="4821" xr:uid="{00000000-0005-0000-0000-0000631A0000}"/>
    <cellStyle name="Normal 5 3 4 9 2" xfId="14147" xr:uid="{6978E95E-E6EE-40FF-BC24-455EFD677C93}"/>
    <cellStyle name="Normal 5 3 5" xfId="453" xr:uid="{00000000-0005-0000-0000-0000641A0000}"/>
    <cellStyle name="Normal 5 3 5 10" xfId="9934" xr:uid="{E694CECB-4FEE-4D36-9060-9E62BE5181EF}"/>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5E5A9257-3086-4FDB-9211-AB28886B6B35}"/>
    <cellStyle name="Normal 5 3 5 2 2 2 3" xfId="12493" xr:uid="{63AB7BA7-EFA1-4F87-9D56-011B06D3883E}"/>
    <cellStyle name="Normal 5 3 5 2 2 3" xfId="5239" xr:uid="{00000000-0005-0000-0000-0000691A0000}"/>
    <cellStyle name="Normal 5 3 5 2 2 3 2" xfId="14565" xr:uid="{ECA4AB8A-7F69-4E32-90A8-195FC477CBC6}"/>
    <cellStyle name="Normal 5 3 5 2 2 4" xfId="9485" xr:uid="{E88A0512-4544-44F7-B02F-696DEB177F8E}"/>
    <cellStyle name="Normal 5 3 5 2 2 5" xfId="10348" xr:uid="{CAE825BB-4EB7-4AE3-9826-D04D6B8A50AC}"/>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A2E5963C-E6A2-4808-AB66-A0922546B368}"/>
    <cellStyle name="Normal 5 3 5 2 3 2 3" xfId="12906" xr:uid="{097FCD06-5657-46D1-9D92-8B496ACC69F4}"/>
    <cellStyle name="Normal 5 3 5 2 3 3" xfId="5652" xr:uid="{00000000-0005-0000-0000-00006D1A0000}"/>
    <cellStyle name="Normal 5 3 5 2 3 3 2" xfId="14978" xr:uid="{AA55F9E5-297D-47C4-8843-753DF4CB8151}"/>
    <cellStyle name="Normal 5 3 5 2 3 4" xfId="10761" xr:uid="{B3EEE617-9FB0-4E2B-9A11-A91084C458C3}"/>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8AC9C653-9DD6-433A-BB25-A0090C0FBC48}"/>
    <cellStyle name="Normal 5 3 5 2 4 2 3" xfId="13319" xr:uid="{A3BF1340-D53D-4CF9-8541-DE59E5CE562B}"/>
    <cellStyle name="Normal 5 3 5 2 4 3" xfId="6065" xr:uid="{00000000-0005-0000-0000-0000711A0000}"/>
    <cellStyle name="Normal 5 3 5 2 4 3 2" xfId="15391" xr:uid="{ED291A6B-914D-4D0D-9FA5-884485D99A5F}"/>
    <cellStyle name="Normal 5 3 5 2 4 4" xfId="11174" xr:uid="{3906083D-8206-4E86-9E3C-96F6E6DEACEA}"/>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94AF35D3-C025-4D87-8A49-098E4E134E1E}"/>
    <cellStyle name="Normal 5 3 5 2 5 2 3" xfId="13732" xr:uid="{D295D1F0-86FE-41EA-AF8B-9BA11A6AA8C1}"/>
    <cellStyle name="Normal 5 3 5 2 5 3" xfId="6478" xr:uid="{00000000-0005-0000-0000-0000751A0000}"/>
    <cellStyle name="Normal 5 3 5 2 5 3 2" xfId="15804" xr:uid="{B67A4CD0-E033-4F0F-A7E6-55F2C16C957E}"/>
    <cellStyle name="Normal 5 3 5 2 5 4" xfId="11587" xr:uid="{0833D75B-CC3B-4C91-AF38-91ECF2AD383A}"/>
    <cellStyle name="Normal 5 3 5 2 6" xfId="2608" xr:uid="{00000000-0005-0000-0000-0000761A0000}"/>
    <cellStyle name="Normal 5 3 5 2 6 2" xfId="6891" xr:uid="{00000000-0005-0000-0000-0000771A0000}"/>
    <cellStyle name="Normal 5 3 5 2 6 2 2" xfId="16217" xr:uid="{483BA58E-2734-4EFD-81F5-693216AD5332}"/>
    <cellStyle name="Normal 5 3 5 2 6 3" xfId="12000" xr:uid="{F3AE8E08-2993-4953-810C-DEC183758D2D}"/>
    <cellStyle name="Normal 5 3 5 2 7" xfId="4826" xr:uid="{00000000-0005-0000-0000-0000781A0000}"/>
    <cellStyle name="Normal 5 3 5 2 7 2" xfId="14152" xr:uid="{A2BC0C42-D3D8-4C4D-91F7-055620D4FD35}"/>
    <cellStyle name="Normal 5 3 5 2 8" xfId="9060" xr:uid="{D76124DC-5753-46E4-97E7-1D76E6E20EEE}"/>
    <cellStyle name="Normal 5 3 5 2 9" xfId="9935" xr:uid="{9B7238A9-6B2E-44E5-968F-D171486FF659}"/>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22AD8E9E-D8E9-469D-BEF0-A93023AC4060}"/>
    <cellStyle name="Normal 5 3 5 3 2 3" xfId="12492" xr:uid="{2116B90A-3CEA-403F-AD69-37D15947EA76}"/>
    <cellStyle name="Normal 5 3 5 3 3" xfId="5238" xr:uid="{00000000-0005-0000-0000-00007C1A0000}"/>
    <cellStyle name="Normal 5 3 5 3 3 2" xfId="14564" xr:uid="{0C245484-E6E7-43A0-B543-15D375D380B5}"/>
    <cellStyle name="Normal 5 3 5 3 4" xfId="9278" xr:uid="{6197750A-97CA-41EF-A67C-63E25EE58E9E}"/>
    <cellStyle name="Normal 5 3 5 3 5" xfId="10347" xr:uid="{99368086-19BA-408C-A7F3-9B8D254D7464}"/>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6DB3908D-65D1-4E02-A4F4-D10294A47FFC}"/>
    <cellStyle name="Normal 5 3 5 4 2 3" xfId="12905" xr:uid="{2EDDF5C8-0820-4BDA-ADB9-370CDB31FF3D}"/>
    <cellStyle name="Normal 5 3 5 4 3" xfId="5651" xr:uid="{00000000-0005-0000-0000-0000801A0000}"/>
    <cellStyle name="Normal 5 3 5 4 3 2" xfId="14977" xr:uid="{375C0C3E-CED7-4067-8871-B17ACA65A801}"/>
    <cellStyle name="Normal 5 3 5 4 4" xfId="10760" xr:uid="{A993F971-E3B1-4388-AC8F-12E71502317B}"/>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E3C71228-83C1-4365-B8AB-53F042632003}"/>
    <cellStyle name="Normal 5 3 5 5 2 3" xfId="13318" xr:uid="{DE9740DD-4E37-4D94-A68E-543FAB41129D}"/>
    <cellStyle name="Normal 5 3 5 5 3" xfId="6064" xr:uid="{00000000-0005-0000-0000-0000841A0000}"/>
    <cellStyle name="Normal 5 3 5 5 3 2" xfId="15390" xr:uid="{4EC92FD0-E505-4016-AAFE-63C0234118B5}"/>
    <cellStyle name="Normal 5 3 5 5 4" xfId="11173" xr:uid="{57C810D6-AE5C-4F4D-B140-567135B2E583}"/>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46E0BFAE-FEED-423A-81A6-8F39BFDA2F46}"/>
    <cellStyle name="Normal 5 3 5 6 2 3" xfId="13731" xr:uid="{46C2021C-3CC6-4A4A-852A-F42EAC77E47E}"/>
    <cellStyle name="Normal 5 3 5 6 3" xfId="6477" xr:uid="{00000000-0005-0000-0000-0000881A0000}"/>
    <cellStyle name="Normal 5 3 5 6 3 2" xfId="15803" xr:uid="{133C9192-5B0B-4409-A60E-BCFA7E94540D}"/>
    <cellStyle name="Normal 5 3 5 6 4" xfId="11586" xr:uid="{6B77C43A-4B66-4E05-BF7C-995B6156D756}"/>
    <cellStyle name="Normal 5 3 5 7" xfId="2607" xr:uid="{00000000-0005-0000-0000-0000891A0000}"/>
    <cellStyle name="Normal 5 3 5 7 2" xfId="6890" xr:uid="{00000000-0005-0000-0000-00008A1A0000}"/>
    <cellStyle name="Normal 5 3 5 7 2 2" xfId="16216" xr:uid="{DB914B5F-59A2-4A0A-9466-47A3BC683F75}"/>
    <cellStyle name="Normal 5 3 5 7 3" xfId="11999" xr:uid="{E711135E-C9D7-4EDD-AB89-E8681074211F}"/>
    <cellStyle name="Normal 5 3 5 8" xfId="4825" xr:uid="{00000000-0005-0000-0000-00008B1A0000}"/>
    <cellStyle name="Normal 5 3 5 8 2" xfId="14151" xr:uid="{BCA5C473-C41A-4A29-9E92-A2424BD18863}"/>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06493580-95CA-4E65-93C2-7F73865F1A47}"/>
    <cellStyle name="Normal 5 3 6 2 2 3" xfId="12494" xr:uid="{C3DE94A1-210C-4299-91EE-69B81EF9EA47}"/>
    <cellStyle name="Normal 5 3 6 2 3" xfId="5240" xr:uid="{00000000-0005-0000-0000-0000901A0000}"/>
    <cellStyle name="Normal 5 3 6 2 3 2" xfId="14566" xr:uid="{A7B7632B-C469-4021-A05E-58947A642D7D}"/>
    <cellStyle name="Normal 5 3 6 2 4" xfId="9394" xr:uid="{040FDD8C-10C9-4583-9A6E-8F76047ECA0C}"/>
    <cellStyle name="Normal 5 3 6 2 5" xfId="10349" xr:uid="{31CC888E-968E-4806-BCE1-7E08535FF455}"/>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266873EF-F384-4E90-BF12-8A587D6A497F}"/>
    <cellStyle name="Normal 5 3 6 3 2 3" xfId="12907" xr:uid="{BB30B39D-DC4C-4224-BE11-5508CA2B6028}"/>
    <cellStyle name="Normal 5 3 6 3 3" xfId="5653" xr:uid="{00000000-0005-0000-0000-0000941A0000}"/>
    <cellStyle name="Normal 5 3 6 3 3 2" xfId="14979" xr:uid="{2C7FF6A5-AFB8-4431-A899-D912D13B5FF7}"/>
    <cellStyle name="Normal 5 3 6 3 4" xfId="10762" xr:uid="{BF723447-F989-41D8-98D1-EB3AA929621C}"/>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33ECCA78-3DCA-43BB-AF8F-CBC4113547BE}"/>
    <cellStyle name="Normal 5 3 6 4 2 3" xfId="13320" xr:uid="{D28533C3-F93D-4368-B4E6-1DA509EB8829}"/>
    <cellStyle name="Normal 5 3 6 4 3" xfId="6066" xr:uid="{00000000-0005-0000-0000-0000981A0000}"/>
    <cellStyle name="Normal 5 3 6 4 3 2" xfId="15392" xr:uid="{1B57ECB3-CB81-4360-B5C2-EC8589557D9A}"/>
    <cellStyle name="Normal 5 3 6 4 4" xfId="11175" xr:uid="{B033A631-F2DF-4682-84D2-6E7FEE4102FA}"/>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91528B3B-090D-4B6C-A4A4-9A2B243F53A9}"/>
    <cellStyle name="Normal 5 3 6 5 2 3" xfId="13733" xr:uid="{5AAF7565-B3FD-4C17-8E94-CA1CCEAB0750}"/>
    <cellStyle name="Normal 5 3 6 5 3" xfId="6479" xr:uid="{00000000-0005-0000-0000-00009C1A0000}"/>
    <cellStyle name="Normal 5 3 6 5 3 2" xfId="15805" xr:uid="{4563C68C-C138-495E-AE63-E294D13FE391}"/>
    <cellStyle name="Normal 5 3 6 5 4" xfId="11588" xr:uid="{7BEC3887-27ED-4AB7-8354-8D89817343F3}"/>
    <cellStyle name="Normal 5 3 6 6" xfId="2609" xr:uid="{00000000-0005-0000-0000-00009D1A0000}"/>
    <cellStyle name="Normal 5 3 6 6 2" xfId="6892" xr:uid="{00000000-0005-0000-0000-00009E1A0000}"/>
    <cellStyle name="Normal 5 3 6 6 2 2" xfId="16218" xr:uid="{DD2B2175-2A29-4997-ADA2-9C8F249884FE}"/>
    <cellStyle name="Normal 5 3 6 6 3" xfId="12001" xr:uid="{A0A027E8-20DE-423D-9A92-BFF0E4A1CB60}"/>
    <cellStyle name="Normal 5 3 6 7" xfId="4827" xr:uid="{00000000-0005-0000-0000-00009F1A0000}"/>
    <cellStyle name="Normal 5 3 6 7 2" xfId="14153" xr:uid="{71D19295-D765-4415-91EA-ABC61BB4447F}"/>
    <cellStyle name="Normal 5 3 6 8" xfId="8969" xr:uid="{FA7ABEAF-BFEA-4D3E-A53B-E23F3117BFD8}"/>
    <cellStyle name="Normal 5 3 6 9" xfId="9936" xr:uid="{37F6CEFF-D241-4D28-8434-CE023E64CE5C}"/>
    <cellStyle name="Normal 5 3 7" xfId="913" xr:uid="{00000000-0005-0000-0000-0000A01A0000}"/>
    <cellStyle name="Normal 5 3 7 2" xfId="3148" xr:uid="{00000000-0005-0000-0000-0000A11A0000}"/>
    <cellStyle name="Normal 5 3 7 2 2" xfId="7370" xr:uid="{00000000-0005-0000-0000-0000A21A0000}"/>
    <cellStyle name="Normal 5 3 7 2 2 2" xfId="16696" xr:uid="{E09DA34C-5EFB-4D80-AF50-E6B0B22905A0}"/>
    <cellStyle name="Normal 5 3 7 2 3" xfId="12479" xr:uid="{A6D6CF7A-82E7-485A-9C86-ECD0ADA88E66}"/>
    <cellStyle name="Normal 5 3 7 3" xfId="5225" xr:uid="{00000000-0005-0000-0000-0000A31A0000}"/>
    <cellStyle name="Normal 5 3 7 3 2" xfId="14551" xr:uid="{8F9B519A-05C7-4FFC-8B97-153BAE38B5FB}"/>
    <cellStyle name="Normal 5 3 7 4" xfId="9172" xr:uid="{5609ABAF-B913-41DD-9CCE-B28C6A880815}"/>
    <cellStyle name="Normal 5 3 7 5" xfId="10334" xr:uid="{5E07C664-041F-46C1-855B-D8C608229003}"/>
    <cellStyle name="Normal 5 3 8" xfId="1331" xr:uid="{00000000-0005-0000-0000-0000A41A0000}"/>
    <cellStyle name="Normal 5 3 8 2" xfId="3561" xr:uid="{00000000-0005-0000-0000-0000A51A0000}"/>
    <cellStyle name="Normal 5 3 8 2 2" xfId="7783" xr:uid="{00000000-0005-0000-0000-0000A61A0000}"/>
    <cellStyle name="Normal 5 3 8 2 2 2" xfId="17109" xr:uid="{B2F7294D-0DB3-44CC-8137-BDDFE0B14F03}"/>
    <cellStyle name="Normal 5 3 8 2 3" xfId="12892" xr:uid="{7AF4E030-31B7-4008-9139-80DAC3CE405F}"/>
    <cellStyle name="Normal 5 3 8 3" xfId="5638" xr:uid="{00000000-0005-0000-0000-0000A71A0000}"/>
    <cellStyle name="Normal 5 3 8 3 2" xfId="14964" xr:uid="{5E253784-BB0B-437A-B51C-1BA3CF49FC23}"/>
    <cellStyle name="Normal 5 3 8 4" xfId="10747" xr:uid="{029F1400-51B5-4837-8803-B413FC2A3AC9}"/>
    <cellStyle name="Normal 5 3 9" xfId="1744" xr:uid="{00000000-0005-0000-0000-0000A81A0000}"/>
    <cellStyle name="Normal 5 3 9 2" xfId="3974" xr:uid="{00000000-0005-0000-0000-0000A91A0000}"/>
    <cellStyle name="Normal 5 3 9 2 2" xfId="8196" xr:uid="{00000000-0005-0000-0000-0000AA1A0000}"/>
    <cellStyle name="Normal 5 3 9 2 2 2" xfId="17522" xr:uid="{50F01CA9-DE4F-45AD-A907-42AEECD17000}"/>
    <cellStyle name="Normal 5 3 9 2 3" xfId="13305" xr:uid="{76C9D5F6-22CF-4DDB-82FB-3729DB7D28DF}"/>
    <cellStyle name="Normal 5 3 9 3" xfId="6051" xr:uid="{00000000-0005-0000-0000-0000AB1A0000}"/>
    <cellStyle name="Normal 5 3 9 3 2" xfId="15377" xr:uid="{5E99154B-446C-48F4-8978-464B46BA8682}"/>
    <cellStyle name="Normal 5 3 9 4" xfId="11160" xr:uid="{F9BD5B65-1419-4882-AC61-AF45BEE85BB5}"/>
    <cellStyle name="Normal 5 4" xfId="456" xr:uid="{00000000-0005-0000-0000-0000AC1A0000}"/>
    <cellStyle name="Normal 5 4 10" xfId="4828" xr:uid="{00000000-0005-0000-0000-0000AD1A0000}"/>
    <cellStyle name="Normal 5 4 10 2" xfId="14154" xr:uid="{8104D3D2-8416-4816-B877-DE08EF54A555}"/>
    <cellStyle name="Normal 5 4 11" xfId="8773" xr:uid="{50472F80-32FD-428C-B078-8DE338D6CA16}"/>
    <cellStyle name="Normal 5 4 12" xfId="9937" xr:uid="{0CBD92AA-1358-4E79-93EA-445D4F1FCE08}"/>
    <cellStyle name="Normal 5 4 2" xfId="457" xr:uid="{00000000-0005-0000-0000-0000AE1A0000}"/>
    <cellStyle name="Normal 5 4 2 10" xfId="8833" xr:uid="{6EA55230-8E5B-4EF6-B83C-8DF4202F8C31}"/>
    <cellStyle name="Normal 5 4 2 11" xfId="9938" xr:uid="{6EA6DDF1-30D5-4C86-96DB-A51042E4D4A2}"/>
    <cellStyle name="Normal 5 4 2 2" xfId="458" xr:uid="{00000000-0005-0000-0000-0000AF1A0000}"/>
    <cellStyle name="Normal 5 4 2 2 10" xfId="9939" xr:uid="{51534008-B852-490C-B459-025C5987E142}"/>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DD46EC2A-29C4-41EA-9B60-9D26C86BBD3B}"/>
    <cellStyle name="Normal 5 4 2 2 2 2 2 3" xfId="12498" xr:uid="{1B57686E-E9E7-40BE-8D56-CD24FF9BDBCB}"/>
    <cellStyle name="Normal 5 4 2 2 2 2 3" xfId="5244" xr:uid="{00000000-0005-0000-0000-0000B41A0000}"/>
    <cellStyle name="Normal 5 4 2 2 2 2 3 2" xfId="14570" xr:uid="{7ABDA4FC-5AFE-44CA-B3E6-FC32F117622F}"/>
    <cellStyle name="Normal 5 4 2 2 2 2 4" xfId="9568" xr:uid="{C9922021-D284-4633-BD4E-F2DB1197482A}"/>
    <cellStyle name="Normal 5 4 2 2 2 2 5" xfId="10353" xr:uid="{10D6D3B7-C96F-41B0-8371-84D5997CC4F8}"/>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4CC0939B-D018-48BF-A00D-411E31DBAA7F}"/>
    <cellStyle name="Normal 5 4 2 2 2 3 2 3" xfId="12911" xr:uid="{DE758B95-F002-41C3-85EC-B379BC4458B6}"/>
    <cellStyle name="Normal 5 4 2 2 2 3 3" xfId="5657" xr:uid="{00000000-0005-0000-0000-0000B81A0000}"/>
    <cellStyle name="Normal 5 4 2 2 2 3 3 2" xfId="14983" xr:uid="{789D0434-4D45-42AA-8159-BCB13EEF00BE}"/>
    <cellStyle name="Normal 5 4 2 2 2 3 4" xfId="10766" xr:uid="{15D2B3BC-CBB5-4BEB-B1FD-39FAD522903A}"/>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2CC8FB9F-0C4D-40C5-80B6-E1A46C842610}"/>
    <cellStyle name="Normal 5 4 2 2 2 4 2 3" xfId="13324" xr:uid="{7B88E690-20D9-46E9-97E4-DAB8168D0D25}"/>
    <cellStyle name="Normal 5 4 2 2 2 4 3" xfId="6070" xr:uid="{00000000-0005-0000-0000-0000BC1A0000}"/>
    <cellStyle name="Normal 5 4 2 2 2 4 3 2" xfId="15396" xr:uid="{E245D9A1-CBF4-4600-BF07-6636B1E63B9F}"/>
    <cellStyle name="Normal 5 4 2 2 2 4 4" xfId="11179" xr:uid="{F8B08501-328E-435E-A1BE-E23600A906DB}"/>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05567DEE-12D9-4371-B65B-3DC6471FBC5E}"/>
    <cellStyle name="Normal 5 4 2 2 2 5 2 3" xfId="13737" xr:uid="{76F8449F-2749-4655-A383-401C543E7B09}"/>
    <cellStyle name="Normal 5 4 2 2 2 5 3" xfId="6483" xr:uid="{00000000-0005-0000-0000-0000C01A0000}"/>
    <cellStyle name="Normal 5 4 2 2 2 5 3 2" xfId="15809" xr:uid="{37A85D96-B83A-41E9-A141-5504563B0F4E}"/>
    <cellStyle name="Normal 5 4 2 2 2 5 4" xfId="11592" xr:uid="{265C916A-E9B6-449F-940D-6A505713E413}"/>
    <cellStyle name="Normal 5 4 2 2 2 6" xfId="2613" xr:uid="{00000000-0005-0000-0000-0000C11A0000}"/>
    <cellStyle name="Normal 5 4 2 2 2 6 2" xfId="6896" xr:uid="{00000000-0005-0000-0000-0000C21A0000}"/>
    <cellStyle name="Normal 5 4 2 2 2 6 2 2" xfId="16222" xr:uid="{125D4168-BBC3-454E-BFED-C05FF7AD4268}"/>
    <cellStyle name="Normal 5 4 2 2 2 6 3" xfId="12005" xr:uid="{B08ACA7F-9492-473E-BF3A-2BE1BC806390}"/>
    <cellStyle name="Normal 5 4 2 2 2 7" xfId="4831" xr:uid="{00000000-0005-0000-0000-0000C31A0000}"/>
    <cellStyle name="Normal 5 4 2 2 2 7 2" xfId="14157" xr:uid="{DA97125A-2189-4D93-ADFC-0F2DE22465BC}"/>
    <cellStyle name="Normal 5 4 2 2 2 8" xfId="9143" xr:uid="{C8F15FA9-FDFE-4358-95A8-17B14299B14C}"/>
    <cellStyle name="Normal 5 4 2 2 2 9" xfId="9940" xr:uid="{2E1BA22C-48EC-430B-9FE0-AABE933DDE39}"/>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F7A8B682-0EAF-488B-9B16-181243D7D321}"/>
    <cellStyle name="Normal 5 4 2 2 3 2 3" xfId="12497" xr:uid="{1419C749-CE0E-47F7-8489-223B21D73A8B}"/>
    <cellStyle name="Normal 5 4 2 2 3 3" xfId="5243" xr:uid="{00000000-0005-0000-0000-0000C71A0000}"/>
    <cellStyle name="Normal 5 4 2 2 3 3 2" xfId="14569" xr:uid="{3B5C1885-EE8A-4CDE-AAC7-0FCA76B343A4}"/>
    <cellStyle name="Normal 5 4 2 2 3 4" xfId="9361" xr:uid="{421F0FC8-8E8F-498F-BD31-B00CB58D5B43}"/>
    <cellStyle name="Normal 5 4 2 2 3 5" xfId="10352" xr:uid="{397B3F32-F979-4B44-8BAC-A0DAF1D66271}"/>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7CEB2F00-95C0-4A14-A9D6-D3B8478CCF3A}"/>
    <cellStyle name="Normal 5 4 2 2 4 2 3" xfId="12910" xr:uid="{597D8E5A-1EA7-4BDF-A875-CC3D3130DC3C}"/>
    <cellStyle name="Normal 5 4 2 2 4 3" xfId="5656" xr:uid="{00000000-0005-0000-0000-0000CB1A0000}"/>
    <cellStyle name="Normal 5 4 2 2 4 3 2" xfId="14982" xr:uid="{7909254C-4D2B-4445-9971-49F880E87FEF}"/>
    <cellStyle name="Normal 5 4 2 2 4 4" xfId="10765" xr:uid="{4FBA2C7B-6535-4F02-8A4C-7E59C257772C}"/>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BFF2A1A6-A7E9-4782-9761-3E72B60E55B6}"/>
    <cellStyle name="Normal 5 4 2 2 5 2 3" xfId="13323" xr:uid="{E467641E-47ED-4B2D-9A2A-9964AF3159EF}"/>
    <cellStyle name="Normal 5 4 2 2 5 3" xfId="6069" xr:uid="{00000000-0005-0000-0000-0000CF1A0000}"/>
    <cellStyle name="Normal 5 4 2 2 5 3 2" xfId="15395" xr:uid="{75CD6985-DAD2-46C0-BA6B-0D8E8A8C5477}"/>
    <cellStyle name="Normal 5 4 2 2 5 4" xfId="11178" xr:uid="{CC59A2E0-31DB-4426-862A-0BC6FD8C7E74}"/>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4A1B63B3-669F-47C1-A66A-7B9A356CF7FE}"/>
    <cellStyle name="Normal 5 4 2 2 6 2 3" xfId="13736" xr:uid="{846179C0-4624-49C4-9468-3A8D7AA6CDAF}"/>
    <cellStyle name="Normal 5 4 2 2 6 3" xfId="6482" xr:uid="{00000000-0005-0000-0000-0000D31A0000}"/>
    <cellStyle name="Normal 5 4 2 2 6 3 2" xfId="15808" xr:uid="{24A22647-E5C6-4E72-A0F9-53EA0E832B6E}"/>
    <cellStyle name="Normal 5 4 2 2 6 4" xfId="11591" xr:uid="{978DB8A2-4447-41C6-9930-03C503745FCF}"/>
    <cellStyle name="Normal 5 4 2 2 7" xfId="2612" xr:uid="{00000000-0005-0000-0000-0000D41A0000}"/>
    <cellStyle name="Normal 5 4 2 2 7 2" xfId="6895" xr:uid="{00000000-0005-0000-0000-0000D51A0000}"/>
    <cellStyle name="Normal 5 4 2 2 7 2 2" xfId="16221" xr:uid="{FB49E602-4A39-4382-A4FC-F37157799AB6}"/>
    <cellStyle name="Normal 5 4 2 2 7 3" xfId="12004" xr:uid="{2D66E55A-292B-4948-A52D-5656B9D5BBF7}"/>
    <cellStyle name="Normal 5 4 2 2 8" xfId="4830" xr:uid="{00000000-0005-0000-0000-0000D61A0000}"/>
    <cellStyle name="Normal 5 4 2 2 8 2" xfId="14156" xr:uid="{F8FAF45D-F473-4E7C-B8A1-4D0C3A9CF30A}"/>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BFBC67BA-104D-4CEC-9E76-1FAE2EAD2B2D}"/>
    <cellStyle name="Normal 5 4 2 3 2 2 3" xfId="12499" xr:uid="{F48C9B19-5561-437F-AD29-E5E310888F6D}"/>
    <cellStyle name="Normal 5 4 2 3 2 3" xfId="5245" xr:uid="{00000000-0005-0000-0000-0000DB1A0000}"/>
    <cellStyle name="Normal 5 4 2 3 2 3 2" xfId="14571" xr:uid="{4DBC197C-DFAA-42AF-AB6F-9A4F64CE3BC1}"/>
    <cellStyle name="Normal 5 4 2 3 2 4" xfId="9465" xr:uid="{B8459C73-266B-467B-A163-FFDFF015A460}"/>
    <cellStyle name="Normal 5 4 2 3 2 5" xfId="10354" xr:uid="{9ECC5140-676F-487C-8D29-DEEF8697C009}"/>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AB06E8EB-93A7-45FA-9823-F037FC8BD68E}"/>
    <cellStyle name="Normal 5 4 2 3 3 2 3" xfId="12912" xr:uid="{A37B39BA-5DAB-42A2-AA4C-C859FBAB37BB}"/>
    <cellStyle name="Normal 5 4 2 3 3 3" xfId="5658" xr:uid="{00000000-0005-0000-0000-0000DF1A0000}"/>
    <cellStyle name="Normal 5 4 2 3 3 3 2" xfId="14984" xr:uid="{FAC83B95-E832-47C8-8775-B8DA35FFF02C}"/>
    <cellStyle name="Normal 5 4 2 3 3 4" xfId="10767" xr:uid="{5A7E61EB-7E89-44B5-9F31-985EC49B768F}"/>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22F8848E-8F6D-43DB-B3B2-C84154A047B4}"/>
    <cellStyle name="Normal 5 4 2 3 4 2 3" xfId="13325" xr:uid="{C4EB1C40-A125-43BA-81C7-AFE71F534178}"/>
    <cellStyle name="Normal 5 4 2 3 4 3" xfId="6071" xr:uid="{00000000-0005-0000-0000-0000E31A0000}"/>
    <cellStyle name="Normal 5 4 2 3 4 3 2" xfId="15397" xr:uid="{15D89A4C-AECA-4CED-A55A-545393C98245}"/>
    <cellStyle name="Normal 5 4 2 3 4 4" xfId="11180" xr:uid="{9A15AEA7-729B-41DB-B2DD-BC302DA418EB}"/>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6C08C57F-6AD7-4343-ABF7-4CC1A173D718}"/>
    <cellStyle name="Normal 5 4 2 3 5 2 3" xfId="13738" xr:uid="{15F176BD-379E-48D0-8D14-06C052B7B492}"/>
    <cellStyle name="Normal 5 4 2 3 5 3" xfId="6484" xr:uid="{00000000-0005-0000-0000-0000E71A0000}"/>
    <cellStyle name="Normal 5 4 2 3 5 3 2" xfId="15810" xr:uid="{2A36080A-0F14-44AD-B547-9F5B900360A3}"/>
    <cellStyle name="Normal 5 4 2 3 5 4" xfId="11593" xr:uid="{E2622523-FE31-4D73-96E9-A566DAEC20E8}"/>
    <cellStyle name="Normal 5 4 2 3 6" xfId="2614" xr:uid="{00000000-0005-0000-0000-0000E81A0000}"/>
    <cellStyle name="Normal 5 4 2 3 6 2" xfId="6897" xr:uid="{00000000-0005-0000-0000-0000E91A0000}"/>
    <cellStyle name="Normal 5 4 2 3 6 2 2" xfId="16223" xr:uid="{C0F756F3-87AF-4191-910E-4D0A9947BC49}"/>
    <cellStyle name="Normal 5 4 2 3 6 3" xfId="12006" xr:uid="{008CEDB0-05D3-498B-883A-FEF15D280594}"/>
    <cellStyle name="Normal 5 4 2 3 7" xfId="4832" xr:uid="{00000000-0005-0000-0000-0000EA1A0000}"/>
    <cellStyle name="Normal 5 4 2 3 7 2" xfId="14158" xr:uid="{0B349CD5-8822-46CD-A4B1-886FC1CEA951}"/>
    <cellStyle name="Normal 5 4 2 3 8" xfId="9040" xr:uid="{D68CAB17-BB41-4D9B-AA76-76FE511392DC}"/>
    <cellStyle name="Normal 5 4 2 3 9" xfId="9941" xr:uid="{0194B730-E2AD-433F-9200-9D635CDC4B13}"/>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5332DF66-BB3E-4743-B9E8-955487B885D2}"/>
    <cellStyle name="Normal 5 4 2 4 2 3" xfId="12496" xr:uid="{34FA471F-1A0F-40BE-BC6E-540727048194}"/>
    <cellStyle name="Normal 5 4 2 4 3" xfId="5242" xr:uid="{00000000-0005-0000-0000-0000EE1A0000}"/>
    <cellStyle name="Normal 5 4 2 4 3 2" xfId="14568" xr:uid="{D5F6576C-F96C-4D81-9888-0F4300C5DE0E}"/>
    <cellStyle name="Normal 5 4 2 4 4" xfId="9258" xr:uid="{971C48A9-8200-405B-A9BE-B3AFD2CDDA76}"/>
    <cellStyle name="Normal 5 4 2 4 5" xfId="10351" xr:uid="{5FAC9BA3-F6BC-49F7-A1C7-F0BA917658EE}"/>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5D115A8C-18AF-4F5E-9FC1-C642BE0AB379}"/>
    <cellStyle name="Normal 5 4 2 5 2 3" xfId="12909" xr:uid="{898A2100-CE14-4093-843A-57764456715C}"/>
    <cellStyle name="Normal 5 4 2 5 3" xfId="5655" xr:uid="{00000000-0005-0000-0000-0000F21A0000}"/>
    <cellStyle name="Normal 5 4 2 5 3 2" xfId="14981" xr:uid="{BC5340C0-4C55-4531-BBB8-F988122A866F}"/>
    <cellStyle name="Normal 5 4 2 5 4" xfId="10764" xr:uid="{27A2A934-044A-43FC-9B18-6293F84439BE}"/>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D48D1125-327D-4B88-9737-9F6C11960283}"/>
    <cellStyle name="Normal 5 4 2 6 2 3" xfId="13322" xr:uid="{9FFF6590-D49F-4BEF-98D4-6DC326EB2557}"/>
    <cellStyle name="Normal 5 4 2 6 3" xfId="6068" xr:uid="{00000000-0005-0000-0000-0000F61A0000}"/>
    <cellStyle name="Normal 5 4 2 6 3 2" xfId="15394" xr:uid="{9775C382-5DB7-4040-83D4-0AFB620B5D0B}"/>
    <cellStyle name="Normal 5 4 2 6 4" xfId="11177" xr:uid="{81DEDCBC-6DE5-449D-A314-0E47001A1E4E}"/>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B56B49A2-EE3C-4A8C-A7E8-37238C862629}"/>
    <cellStyle name="Normal 5 4 2 7 2 3" xfId="13735" xr:uid="{7DAD0CAA-C4B0-4942-84F5-9DE12BB5BE3E}"/>
    <cellStyle name="Normal 5 4 2 7 3" xfId="6481" xr:uid="{00000000-0005-0000-0000-0000FA1A0000}"/>
    <cellStyle name="Normal 5 4 2 7 3 2" xfId="15807" xr:uid="{EB6410C5-4C33-4056-8EBB-0019681836C1}"/>
    <cellStyle name="Normal 5 4 2 7 4" xfId="11590" xr:uid="{C80A3238-36EE-43C3-A1FC-4C50FDEDC62C}"/>
    <cellStyle name="Normal 5 4 2 8" xfId="2611" xr:uid="{00000000-0005-0000-0000-0000FB1A0000}"/>
    <cellStyle name="Normal 5 4 2 8 2" xfId="6894" xr:uid="{00000000-0005-0000-0000-0000FC1A0000}"/>
    <cellStyle name="Normal 5 4 2 8 2 2" xfId="16220" xr:uid="{45928069-9339-4E32-AB0F-F13693947B45}"/>
    <cellStyle name="Normal 5 4 2 8 3" xfId="12003" xr:uid="{E6756ADD-F1D8-4C6E-ACC1-ED40BD3FB73D}"/>
    <cellStyle name="Normal 5 4 2 9" xfId="4829" xr:uid="{00000000-0005-0000-0000-0000FD1A0000}"/>
    <cellStyle name="Normal 5 4 2 9 2" xfId="14155" xr:uid="{AA0C30B3-5053-4682-9DB1-6152750BCCBA}"/>
    <cellStyle name="Normal 5 4 3" xfId="461" xr:uid="{00000000-0005-0000-0000-0000FE1A0000}"/>
    <cellStyle name="Normal 5 4 3 10" xfId="9942" xr:uid="{1AB653DA-9B4F-4489-B17C-6347F213803F}"/>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3E5CB38E-D790-42DE-8378-C5C668943FC6}"/>
    <cellStyle name="Normal 5 4 3 2 2 2 3" xfId="12501" xr:uid="{CA23A088-FA9F-486E-AACC-1EF0D17AFE20}"/>
    <cellStyle name="Normal 5 4 3 2 2 3" xfId="5247" xr:uid="{00000000-0005-0000-0000-0000031B0000}"/>
    <cellStyle name="Normal 5 4 3 2 2 3 2" xfId="14573" xr:uid="{45355A39-69D1-4860-A410-AAB881B706B6}"/>
    <cellStyle name="Normal 5 4 3 2 2 4" xfId="9508" xr:uid="{1F9B5A8F-2A45-43C5-9422-E8BC84424A55}"/>
    <cellStyle name="Normal 5 4 3 2 2 5" xfId="10356" xr:uid="{28B4AB18-460F-46A8-A74E-4887B61134B0}"/>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CE1BC06A-CE48-47F4-8E2E-7371617BC2C7}"/>
    <cellStyle name="Normal 5 4 3 2 3 2 3" xfId="12914" xr:uid="{DB17D5C8-7796-4A1C-A638-B3648D8A0ACB}"/>
    <cellStyle name="Normal 5 4 3 2 3 3" xfId="5660" xr:uid="{00000000-0005-0000-0000-0000071B0000}"/>
    <cellStyle name="Normal 5 4 3 2 3 3 2" xfId="14986" xr:uid="{2781940E-8C15-42E4-A457-4635E8C0BDA0}"/>
    <cellStyle name="Normal 5 4 3 2 3 4" xfId="10769" xr:uid="{30CB4C12-210A-4D4B-8681-9AC8B98894CB}"/>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915736F6-3B72-4B67-AEEB-D523DC4ED5B5}"/>
    <cellStyle name="Normal 5 4 3 2 4 2 3" xfId="13327" xr:uid="{07EF3440-0DB8-4063-9B04-7C5DC84495E4}"/>
    <cellStyle name="Normal 5 4 3 2 4 3" xfId="6073" xr:uid="{00000000-0005-0000-0000-00000B1B0000}"/>
    <cellStyle name="Normal 5 4 3 2 4 3 2" xfId="15399" xr:uid="{C0978361-D547-469C-B0D1-0028DFA050E4}"/>
    <cellStyle name="Normal 5 4 3 2 4 4" xfId="11182" xr:uid="{9CAE5E2C-B6DC-424F-9CEE-BE548F498124}"/>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49ADC359-721D-4817-8CDB-960BF643B20E}"/>
    <cellStyle name="Normal 5 4 3 2 5 2 3" xfId="13740" xr:uid="{59F2D932-3881-4F16-83FA-26BAE6F5ADA5}"/>
    <cellStyle name="Normal 5 4 3 2 5 3" xfId="6486" xr:uid="{00000000-0005-0000-0000-00000F1B0000}"/>
    <cellStyle name="Normal 5 4 3 2 5 3 2" xfId="15812" xr:uid="{E090F028-B431-45ED-83B9-FDF1C0C303A5}"/>
    <cellStyle name="Normal 5 4 3 2 5 4" xfId="11595" xr:uid="{48436762-D058-468E-9E58-04A503D2F066}"/>
    <cellStyle name="Normal 5 4 3 2 6" xfId="2616" xr:uid="{00000000-0005-0000-0000-0000101B0000}"/>
    <cellStyle name="Normal 5 4 3 2 6 2" xfId="6899" xr:uid="{00000000-0005-0000-0000-0000111B0000}"/>
    <cellStyle name="Normal 5 4 3 2 6 2 2" xfId="16225" xr:uid="{688FACEA-166B-4012-9D77-15C65988EFB0}"/>
    <cellStyle name="Normal 5 4 3 2 6 3" xfId="12008" xr:uid="{73619F7B-C751-4F01-AD27-88012A2E879E}"/>
    <cellStyle name="Normal 5 4 3 2 7" xfId="4834" xr:uid="{00000000-0005-0000-0000-0000121B0000}"/>
    <cellStyle name="Normal 5 4 3 2 7 2" xfId="14160" xr:uid="{AF93DA6C-8CCD-44CB-B276-D4184A7DB591}"/>
    <cellStyle name="Normal 5 4 3 2 8" xfId="9083" xr:uid="{206384C8-6AD8-4D28-8F99-3033A80D68FC}"/>
    <cellStyle name="Normal 5 4 3 2 9" xfId="9943" xr:uid="{02B56119-1B7C-454B-AA6E-E15114CB844E}"/>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CB4EE225-3614-4BB7-8DF7-4A3BDB1479DF}"/>
    <cellStyle name="Normal 5 4 3 3 2 3" xfId="12500" xr:uid="{958BACFB-5A98-4722-9DA5-C75F0A1939EF}"/>
    <cellStyle name="Normal 5 4 3 3 3" xfId="5246" xr:uid="{00000000-0005-0000-0000-0000161B0000}"/>
    <cellStyle name="Normal 5 4 3 3 3 2" xfId="14572" xr:uid="{FC9E38B8-D5B4-48F6-BB0D-B285FFBAEDA3}"/>
    <cellStyle name="Normal 5 4 3 3 4" xfId="9301" xr:uid="{CB02BBE7-2E3D-4C67-A62E-BA84DE882039}"/>
    <cellStyle name="Normal 5 4 3 3 5" xfId="10355" xr:uid="{E4E48F78-900E-4D90-8D5F-9518F755E6C2}"/>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B8F721FE-6534-4FC9-A901-9FEA171D84B9}"/>
    <cellStyle name="Normal 5 4 3 4 2 3" xfId="12913" xr:uid="{A9EC8FDD-2FFB-41DE-8AB0-6490FC8146D5}"/>
    <cellStyle name="Normal 5 4 3 4 3" xfId="5659" xr:uid="{00000000-0005-0000-0000-00001A1B0000}"/>
    <cellStyle name="Normal 5 4 3 4 3 2" xfId="14985" xr:uid="{1A5A2242-70A2-496A-B833-2E75FB269AB4}"/>
    <cellStyle name="Normal 5 4 3 4 4" xfId="10768" xr:uid="{CF13151C-EDAD-4234-B015-BC16985233E0}"/>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301C72B8-FB47-492D-99B1-CB15CCC0156C}"/>
    <cellStyle name="Normal 5 4 3 5 2 3" xfId="13326" xr:uid="{D83E925A-51F0-476B-9595-6E00B6655CB8}"/>
    <cellStyle name="Normal 5 4 3 5 3" xfId="6072" xr:uid="{00000000-0005-0000-0000-00001E1B0000}"/>
    <cellStyle name="Normal 5 4 3 5 3 2" xfId="15398" xr:uid="{565A11F2-41C4-42F7-9CD1-566F2F78A56A}"/>
    <cellStyle name="Normal 5 4 3 5 4" xfId="11181" xr:uid="{15FB86C0-80FC-40AC-A822-531128B972BE}"/>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93D5CD7A-9D33-4BBB-BFE9-CE893F7F8C2F}"/>
    <cellStyle name="Normal 5 4 3 6 2 3" xfId="13739" xr:uid="{EBCC9962-C66F-48AF-9C71-A4B5E566BE02}"/>
    <cellStyle name="Normal 5 4 3 6 3" xfId="6485" xr:uid="{00000000-0005-0000-0000-0000221B0000}"/>
    <cellStyle name="Normal 5 4 3 6 3 2" xfId="15811" xr:uid="{0209467D-4AE7-498D-9AA6-0049F8DFB874}"/>
    <cellStyle name="Normal 5 4 3 6 4" xfId="11594" xr:uid="{1E3FD0D2-F8FD-486C-8288-148727394209}"/>
    <cellStyle name="Normal 5 4 3 7" xfId="2615" xr:uid="{00000000-0005-0000-0000-0000231B0000}"/>
    <cellStyle name="Normal 5 4 3 7 2" xfId="6898" xr:uid="{00000000-0005-0000-0000-0000241B0000}"/>
    <cellStyle name="Normal 5 4 3 7 2 2" xfId="16224" xr:uid="{E8EA68FD-559B-462E-B505-CCF0D76CADC3}"/>
    <cellStyle name="Normal 5 4 3 7 3" xfId="12007" xr:uid="{0E1C40EA-E6EE-494B-B473-2015526FF421}"/>
    <cellStyle name="Normal 5 4 3 8" xfId="4833" xr:uid="{00000000-0005-0000-0000-0000251B0000}"/>
    <cellStyle name="Normal 5 4 3 8 2" xfId="14159" xr:uid="{1DB58682-0C62-4FCB-B8A6-C113E395FF95}"/>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1B00CE18-24BD-4004-811F-5BF6CF9E60D7}"/>
    <cellStyle name="Normal 5 4 4 2 2 3" xfId="12502" xr:uid="{9D9BE5DF-2930-42DB-BE23-7A7540FBF557}"/>
    <cellStyle name="Normal 5 4 4 2 3" xfId="5248" xr:uid="{00000000-0005-0000-0000-00002A1B0000}"/>
    <cellStyle name="Normal 5 4 4 2 3 2" xfId="14574" xr:uid="{406C193E-C761-43E7-A677-DA5E70E324CB}"/>
    <cellStyle name="Normal 5 4 4 2 4" xfId="9405" xr:uid="{F05DE0DC-A0AA-4CEB-9ABC-0D70F781B819}"/>
    <cellStyle name="Normal 5 4 4 2 5" xfId="10357" xr:uid="{F75FE7BC-2938-4675-B167-3537FDD12FE2}"/>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43CA3AFD-FA8A-4779-B0F0-CA780DD84C06}"/>
    <cellStyle name="Normal 5 4 4 3 2 3" xfId="12915" xr:uid="{A5629529-26A6-4344-A700-3506D8F88DA4}"/>
    <cellStyle name="Normal 5 4 4 3 3" xfId="5661" xr:uid="{00000000-0005-0000-0000-00002E1B0000}"/>
    <cellStyle name="Normal 5 4 4 3 3 2" xfId="14987" xr:uid="{3435B06A-3F34-4245-BA6D-B1223CD52DAD}"/>
    <cellStyle name="Normal 5 4 4 3 4" xfId="10770" xr:uid="{5399DA3A-6B3F-4D4A-A2FF-03AC89F92E7A}"/>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F87FEC32-36CE-42B3-89E5-C73F70850778}"/>
    <cellStyle name="Normal 5 4 4 4 2 3" xfId="13328" xr:uid="{D1230069-0265-473F-A596-C7E9263FA84F}"/>
    <cellStyle name="Normal 5 4 4 4 3" xfId="6074" xr:uid="{00000000-0005-0000-0000-0000321B0000}"/>
    <cellStyle name="Normal 5 4 4 4 3 2" xfId="15400" xr:uid="{32ACF62F-4E03-4470-A4B1-E0E08970B083}"/>
    <cellStyle name="Normal 5 4 4 4 4" xfId="11183" xr:uid="{7F3F5F4F-7807-467D-B0BB-E7A715B23788}"/>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CE064FC1-E4DC-4AB0-9C84-B50C7DFDCF52}"/>
    <cellStyle name="Normal 5 4 4 5 2 3" xfId="13741" xr:uid="{05FB5CF7-CE87-4D69-9F5F-B670ADC1DD7F}"/>
    <cellStyle name="Normal 5 4 4 5 3" xfId="6487" xr:uid="{00000000-0005-0000-0000-0000361B0000}"/>
    <cellStyle name="Normal 5 4 4 5 3 2" xfId="15813" xr:uid="{264EBE93-FC63-4724-B05C-A155666F92FE}"/>
    <cellStyle name="Normal 5 4 4 5 4" xfId="11596" xr:uid="{5BC8EA8D-5C77-466D-9EB8-E47A9511B8C0}"/>
    <cellStyle name="Normal 5 4 4 6" xfId="2617" xr:uid="{00000000-0005-0000-0000-0000371B0000}"/>
    <cellStyle name="Normal 5 4 4 6 2" xfId="6900" xr:uid="{00000000-0005-0000-0000-0000381B0000}"/>
    <cellStyle name="Normal 5 4 4 6 2 2" xfId="16226" xr:uid="{498721E3-A413-4953-BE26-766995A9212A}"/>
    <cellStyle name="Normal 5 4 4 6 3" xfId="12009" xr:uid="{6ECD1694-D377-46FB-8913-7F8BCD64EC8F}"/>
    <cellStyle name="Normal 5 4 4 7" xfId="4835" xr:uid="{00000000-0005-0000-0000-0000391B0000}"/>
    <cellStyle name="Normal 5 4 4 7 2" xfId="14161" xr:uid="{8AAB8D62-620B-407A-9613-5777F5D23F59}"/>
    <cellStyle name="Normal 5 4 4 8" xfId="8980" xr:uid="{B1DB48A4-94CB-4CC2-8D4B-8FD478363D48}"/>
    <cellStyle name="Normal 5 4 4 9" xfId="9944" xr:uid="{755BE207-F340-4304-A63B-FB1CA37E7ADB}"/>
    <cellStyle name="Normal 5 4 5" xfId="930" xr:uid="{00000000-0005-0000-0000-00003A1B0000}"/>
    <cellStyle name="Normal 5 4 5 2" xfId="3164" xr:uid="{00000000-0005-0000-0000-00003B1B0000}"/>
    <cellStyle name="Normal 5 4 5 2 2" xfId="7386" xr:uid="{00000000-0005-0000-0000-00003C1B0000}"/>
    <cellStyle name="Normal 5 4 5 2 2 2" xfId="16712" xr:uid="{8E0BA66B-8FC1-4E24-B5E9-C255F96BA0EC}"/>
    <cellStyle name="Normal 5 4 5 2 3" xfId="12495" xr:uid="{57E196E0-2B35-4EF9-8D8D-80A4A5F77AA0}"/>
    <cellStyle name="Normal 5 4 5 3" xfId="5241" xr:uid="{00000000-0005-0000-0000-00003D1B0000}"/>
    <cellStyle name="Normal 5 4 5 3 2" xfId="14567" xr:uid="{8A03F1D9-0A54-49C0-AE82-FD891ED6E62B}"/>
    <cellStyle name="Normal 5 4 5 4" xfId="9197" xr:uid="{44FF0EFB-444B-4C40-B695-8C256ADB5563}"/>
    <cellStyle name="Normal 5 4 5 5" xfId="10350" xr:uid="{3347CAAF-EB49-45F6-B730-9C344309D6B3}"/>
    <cellStyle name="Normal 5 4 6" xfId="1347" xr:uid="{00000000-0005-0000-0000-00003E1B0000}"/>
    <cellStyle name="Normal 5 4 6 2" xfId="3577" xr:uid="{00000000-0005-0000-0000-00003F1B0000}"/>
    <cellStyle name="Normal 5 4 6 2 2" xfId="7799" xr:uid="{00000000-0005-0000-0000-0000401B0000}"/>
    <cellStyle name="Normal 5 4 6 2 2 2" xfId="17125" xr:uid="{6D8D0F8D-CEEA-4BBB-B5BF-B9FF05E2E21B}"/>
    <cellStyle name="Normal 5 4 6 2 3" xfId="12908" xr:uid="{BFFEAF67-6D20-4FDC-AC16-E49268F1E2D6}"/>
    <cellStyle name="Normal 5 4 6 3" xfId="5654" xr:uid="{00000000-0005-0000-0000-0000411B0000}"/>
    <cellStyle name="Normal 5 4 6 3 2" xfId="14980" xr:uid="{9696CED0-3E90-4BC2-A588-1A9AE65D0175}"/>
    <cellStyle name="Normal 5 4 6 4" xfId="10763" xr:uid="{D55736FE-AB48-4530-B416-600EF75480DB}"/>
    <cellStyle name="Normal 5 4 7" xfId="1760" xr:uid="{00000000-0005-0000-0000-0000421B0000}"/>
    <cellStyle name="Normal 5 4 7 2" xfId="3990" xr:uid="{00000000-0005-0000-0000-0000431B0000}"/>
    <cellStyle name="Normal 5 4 7 2 2" xfId="8212" xr:uid="{00000000-0005-0000-0000-0000441B0000}"/>
    <cellStyle name="Normal 5 4 7 2 2 2" xfId="17538" xr:uid="{AF00F7CC-1BC4-42BA-A5BE-48C6CE40440F}"/>
    <cellStyle name="Normal 5 4 7 2 3" xfId="13321" xr:uid="{8A6B1347-49FD-4A23-84CB-DCC3F3BD7A47}"/>
    <cellStyle name="Normal 5 4 7 3" xfId="6067" xr:uid="{00000000-0005-0000-0000-0000451B0000}"/>
    <cellStyle name="Normal 5 4 7 3 2" xfId="15393" xr:uid="{A229C976-0582-459E-839A-2FF901F03296}"/>
    <cellStyle name="Normal 5 4 7 4" xfId="11176" xr:uid="{AF5EEF00-F123-460C-9492-86CFBBE49771}"/>
    <cellStyle name="Normal 5 4 8" xfId="2174" xr:uid="{00000000-0005-0000-0000-0000461B0000}"/>
    <cellStyle name="Normal 5 4 8 2" xfId="4403" xr:uid="{00000000-0005-0000-0000-0000471B0000}"/>
    <cellStyle name="Normal 5 4 8 2 2" xfId="8625" xr:uid="{00000000-0005-0000-0000-0000481B0000}"/>
    <cellStyle name="Normal 5 4 8 2 2 2" xfId="17951" xr:uid="{07709F56-140C-42DC-B867-9D596CD962BF}"/>
    <cellStyle name="Normal 5 4 8 2 3" xfId="13734" xr:uid="{01618911-D1B4-41A6-A1EE-CB4F6F185563}"/>
    <cellStyle name="Normal 5 4 8 3" xfId="6480" xr:uid="{00000000-0005-0000-0000-0000491B0000}"/>
    <cellStyle name="Normal 5 4 8 3 2" xfId="15806" xr:uid="{83CC1443-E126-4269-9E02-579FF8F6EA15}"/>
    <cellStyle name="Normal 5 4 8 4" xfId="11589" xr:uid="{A0743FE6-7AFC-42A9-A50A-DE6268A96A13}"/>
    <cellStyle name="Normal 5 4 9" xfId="2610" xr:uid="{00000000-0005-0000-0000-00004A1B0000}"/>
    <cellStyle name="Normal 5 4 9 2" xfId="6893" xr:uid="{00000000-0005-0000-0000-00004B1B0000}"/>
    <cellStyle name="Normal 5 4 9 2 2" xfId="16219" xr:uid="{40AA5828-B489-4DAF-9020-55DE91655E75}"/>
    <cellStyle name="Normal 5 4 9 3" xfId="12002" xr:uid="{BC72CFCD-3E18-486A-8E80-DC5A7C42A09A}"/>
    <cellStyle name="Normal 5 5" xfId="464" xr:uid="{00000000-0005-0000-0000-00004C1B0000}"/>
    <cellStyle name="Normal 5 5 10" xfId="8826" xr:uid="{5746674A-546A-44BF-97FB-6D298BF3AD61}"/>
    <cellStyle name="Normal 5 5 11" xfId="9945" xr:uid="{60F3393A-C2CC-49CC-8B00-0AE270FB540A}"/>
    <cellStyle name="Normal 5 5 2" xfId="465" xr:uid="{00000000-0005-0000-0000-00004D1B0000}"/>
    <cellStyle name="Normal 5 5 2 10" xfId="9946" xr:uid="{8621FE81-252E-4088-A9C6-ACDA0E3497A7}"/>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471B49A8-FA37-44C5-9517-E07D602A3A3E}"/>
    <cellStyle name="Normal 5 5 2 2 2 2 3" xfId="12505" xr:uid="{B54F5D7D-C7C3-410C-96CD-9BE4FBCB9905}"/>
    <cellStyle name="Normal 5 5 2 2 2 3" xfId="5251" xr:uid="{00000000-0005-0000-0000-0000521B0000}"/>
    <cellStyle name="Normal 5 5 2 2 2 3 2" xfId="14577" xr:uid="{B9F06096-D70A-42C8-B0AD-9D02F0558037}"/>
    <cellStyle name="Normal 5 5 2 2 2 4" xfId="9561" xr:uid="{FF1EB4DD-E23E-4228-816B-D59B021F724D}"/>
    <cellStyle name="Normal 5 5 2 2 2 5" xfId="10360" xr:uid="{C200FC0B-9B5C-47C2-93DE-49855CD301F1}"/>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2E9703FA-D263-4360-893E-3DEBA55883DA}"/>
    <cellStyle name="Normal 5 5 2 2 3 2 3" xfId="12918" xr:uid="{840DEFCA-2A5C-47B6-A2E3-282FDD61ACB6}"/>
    <cellStyle name="Normal 5 5 2 2 3 3" xfId="5664" xr:uid="{00000000-0005-0000-0000-0000561B0000}"/>
    <cellStyle name="Normal 5 5 2 2 3 3 2" xfId="14990" xr:uid="{44AE380F-E89B-4709-A55A-DC8B74D21044}"/>
    <cellStyle name="Normal 5 5 2 2 3 4" xfId="10773" xr:uid="{2FE37741-D712-4C71-8072-3497B3B4126C}"/>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2FB16276-6A0D-478E-9D22-06331512F2DD}"/>
    <cellStyle name="Normal 5 5 2 2 4 2 3" xfId="13331" xr:uid="{1053B5D4-A525-4914-9C97-34F4901B7ED1}"/>
    <cellStyle name="Normal 5 5 2 2 4 3" xfId="6077" xr:uid="{00000000-0005-0000-0000-00005A1B0000}"/>
    <cellStyle name="Normal 5 5 2 2 4 3 2" xfId="15403" xr:uid="{72921963-C0C1-4D17-820F-D595C113D1BB}"/>
    <cellStyle name="Normal 5 5 2 2 4 4" xfId="11186" xr:uid="{D3A1BEA2-92FF-479E-AF7A-5AD54E2C5749}"/>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AB089335-4816-4CA2-8A06-C1A545B5CF66}"/>
    <cellStyle name="Normal 5 5 2 2 5 2 3" xfId="13744" xr:uid="{DC46486C-CAA9-4A4F-9FFC-19292D2CDD4C}"/>
    <cellStyle name="Normal 5 5 2 2 5 3" xfId="6490" xr:uid="{00000000-0005-0000-0000-00005E1B0000}"/>
    <cellStyle name="Normal 5 5 2 2 5 3 2" xfId="15816" xr:uid="{617EB9AE-C475-439D-B901-EC0F0C8D4D7B}"/>
    <cellStyle name="Normal 5 5 2 2 5 4" xfId="11599" xr:uid="{2F445A20-239F-4C17-AA65-2CF00C2B1FB9}"/>
    <cellStyle name="Normal 5 5 2 2 6" xfId="2620" xr:uid="{00000000-0005-0000-0000-00005F1B0000}"/>
    <cellStyle name="Normal 5 5 2 2 6 2" xfId="6903" xr:uid="{00000000-0005-0000-0000-0000601B0000}"/>
    <cellStyle name="Normal 5 5 2 2 6 2 2" xfId="16229" xr:uid="{5F86F9EF-2671-42B2-B498-2B6562B5824C}"/>
    <cellStyle name="Normal 5 5 2 2 6 3" xfId="12012" xr:uid="{225E18A1-E0A0-4519-8D76-8CFC75D654C8}"/>
    <cellStyle name="Normal 5 5 2 2 7" xfId="4838" xr:uid="{00000000-0005-0000-0000-0000611B0000}"/>
    <cellStyle name="Normal 5 5 2 2 7 2" xfId="14164" xr:uid="{66F98BE7-9F91-4A8F-8F3B-EC638B212658}"/>
    <cellStyle name="Normal 5 5 2 2 8" xfId="9136" xr:uid="{D41453B5-3BE6-4F01-B336-45A274529844}"/>
    <cellStyle name="Normal 5 5 2 2 9" xfId="9947" xr:uid="{06CCF838-EFB3-4106-8838-715B6095C126}"/>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0CF47C3D-351D-4501-B024-7C1D3E4708F1}"/>
    <cellStyle name="Normal 5 5 2 3 2 3" xfId="12504" xr:uid="{659151A3-8DBA-44FC-BF32-0E99D0B6526F}"/>
    <cellStyle name="Normal 5 5 2 3 3" xfId="5250" xr:uid="{00000000-0005-0000-0000-0000651B0000}"/>
    <cellStyle name="Normal 5 5 2 3 3 2" xfId="14576" xr:uid="{461597AD-A9B6-4F65-BC4D-7538ED3DF68B}"/>
    <cellStyle name="Normal 5 5 2 3 4" xfId="9354" xr:uid="{3251F49D-E700-469D-9840-28045D408641}"/>
    <cellStyle name="Normal 5 5 2 3 5" xfId="10359" xr:uid="{A79AED88-05F2-442E-9555-E8DCF1AE92EA}"/>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AF0D6E27-304D-4951-92FA-15295CE840D9}"/>
    <cellStyle name="Normal 5 5 2 4 2 3" xfId="12917" xr:uid="{5B019294-9230-4107-BA1B-3F8839AA4ADC}"/>
    <cellStyle name="Normal 5 5 2 4 3" xfId="5663" xr:uid="{00000000-0005-0000-0000-0000691B0000}"/>
    <cellStyle name="Normal 5 5 2 4 3 2" xfId="14989" xr:uid="{D32C46AE-A385-4DD5-B76A-2DE6F7971A4F}"/>
    <cellStyle name="Normal 5 5 2 4 4" xfId="10772" xr:uid="{D6BD0735-DA5F-41DC-9B25-C7E6E4C7A73B}"/>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13A2EAA3-A822-475D-8C2D-A0FDCA7FFD2D}"/>
    <cellStyle name="Normal 5 5 2 5 2 3" xfId="13330" xr:uid="{E6C7DC60-6449-4024-829C-A243DF6CAF68}"/>
    <cellStyle name="Normal 5 5 2 5 3" xfId="6076" xr:uid="{00000000-0005-0000-0000-00006D1B0000}"/>
    <cellStyle name="Normal 5 5 2 5 3 2" xfId="15402" xr:uid="{C379355D-E6D9-49D7-8515-508CDCD92686}"/>
    <cellStyle name="Normal 5 5 2 5 4" xfId="11185" xr:uid="{1DFB975F-79AF-4359-A0AA-349E8791DF6A}"/>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C6BDF380-B6CC-4D49-8C03-96F3BE2BD7BA}"/>
    <cellStyle name="Normal 5 5 2 6 2 3" xfId="13743" xr:uid="{5B6B6D96-977A-4E33-80F0-B91F59322955}"/>
    <cellStyle name="Normal 5 5 2 6 3" xfId="6489" xr:uid="{00000000-0005-0000-0000-0000711B0000}"/>
    <cellStyle name="Normal 5 5 2 6 3 2" xfId="15815" xr:uid="{CB840A92-36BC-4B7B-9C1E-9C8C2726F218}"/>
    <cellStyle name="Normal 5 5 2 6 4" xfId="11598" xr:uid="{7225A723-BF36-49F7-A56E-B2173921A685}"/>
    <cellStyle name="Normal 5 5 2 7" xfId="2619" xr:uid="{00000000-0005-0000-0000-0000721B0000}"/>
    <cellStyle name="Normal 5 5 2 7 2" xfId="6902" xr:uid="{00000000-0005-0000-0000-0000731B0000}"/>
    <cellStyle name="Normal 5 5 2 7 2 2" xfId="16228" xr:uid="{A1E2B031-F31E-4DF2-8F12-4BE74571C7EC}"/>
    <cellStyle name="Normal 5 5 2 7 3" xfId="12011" xr:uid="{0F14C379-3EA6-41E4-A439-3BEC97EFBDFC}"/>
    <cellStyle name="Normal 5 5 2 8" xfId="4837" xr:uid="{00000000-0005-0000-0000-0000741B0000}"/>
    <cellStyle name="Normal 5 5 2 8 2" xfId="14163" xr:uid="{5EC7E4F3-1F0B-48DF-93B5-816A2CEF89CF}"/>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39176009-32FB-488C-A3E1-7F9E5CEFF0F8}"/>
    <cellStyle name="Normal 5 5 3 2 2 3" xfId="12506" xr:uid="{9629E147-B466-44AA-82D6-1BA77A6FF1B5}"/>
    <cellStyle name="Normal 5 5 3 2 3" xfId="5252" xr:uid="{00000000-0005-0000-0000-0000791B0000}"/>
    <cellStyle name="Normal 5 5 3 2 3 2" xfId="14578" xr:uid="{D6C98514-EF52-46F3-9089-F61D2AB59AA3}"/>
    <cellStyle name="Normal 5 5 3 2 4" xfId="9458" xr:uid="{8AD16727-CFBF-4DB5-B58F-04D48E2B564D}"/>
    <cellStyle name="Normal 5 5 3 2 5" xfId="10361" xr:uid="{12B7C5DE-5A80-46F3-B76F-A9816A659BBE}"/>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3EF745DA-931A-4692-B8B8-C82CD28F197D}"/>
    <cellStyle name="Normal 5 5 3 3 2 3" xfId="12919" xr:uid="{A06D2A6F-5CD1-4B52-8FAD-F26C9297EF0A}"/>
    <cellStyle name="Normal 5 5 3 3 3" xfId="5665" xr:uid="{00000000-0005-0000-0000-00007D1B0000}"/>
    <cellStyle name="Normal 5 5 3 3 3 2" xfId="14991" xr:uid="{99894B05-469C-4508-819B-6B3C1F68D237}"/>
    <cellStyle name="Normal 5 5 3 3 4" xfId="10774" xr:uid="{979A83C9-CEC6-40CE-8452-5FC26284FF92}"/>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E3A59700-6878-414E-902C-5CFC8967BDB7}"/>
    <cellStyle name="Normal 5 5 3 4 2 3" xfId="13332" xr:uid="{9F789A52-E1A9-4C55-B501-EA169FB95436}"/>
    <cellStyle name="Normal 5 5 3 4 3" xfId="6078" xr:uid="{00000000-0005-0000-0000-0000811B0000}"/>
    <cellStyle name="Normal 5 5 3 4 3 2" xfId="15404" xr:uid="{717756FC-1506-41C2-A547-7ADE28F2D950}"/>
    <cellStyle name="Normal 5 5 3 4 4" xfId="11187" xr:uid="{27974E47-FCC5-4A54-94F4-BE63F13BD80C}"/>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6CF69CEA-7BA1-4F25-89CD-C82DF857C2D7}"/>
    <cellStyle name="Normal 5 5 3 5 2 3" xfId="13745" xr:uid="{70B1035B-5034-4E84-B970-B323F4387727}"/>
    <cellStyle name="Normal 5 5 3 5 3" xfId="6491" xr:uid="{00000000-0005-0000-0000-0000851B0000}"/>
    <cellStyle name="Normal 5 5 3 5 3 2" xfId="15817" xr:uid="{BCC3BA2D-31DB-4E55-A3D3-9B23EE42EA2C}"/>
    <cellStyle name="Normal 5 5 3 5 4" xfId="11600" xr:uid="{DEFDF624-F4B9-498B-983A-ADF85F5F5DA7}"/>
    <cellStyle name="Normal 5 5 3 6" xfId="2621" xr:uid="{00000000-0005-0000-0000-0000861B0000}"/>
    <cellStyle name="Normal 5 5 3 6 2" xfId="6904" xr:uid="{00000000-0005-0000-0000-0000871B0000}"/>
    <cellStyle name="Normal 5 5 3 6 2 2" xfId="16230" xr:uid="{F7C2D805-241D-45FA-9A03-02BDB705B693}"/>
    <cellStyle name="Normal 5 5 3 6 3" xfId="12013" xr:uid="{B806654E-102A-4411-BC6F-81DD757F9FE3}"/>
    <cellStyle name="Normal 5 5 3 7" xfId="4839" xr:uid="{00000000-0005-0000-0000-0000881B0000}"/>
    <cellStyle name="Normal 5 5 3 7 2" xfId="14165" xr:uid="{37E15459-626B-4EE1-B693-1E3D10FFF600}"/>
    <cellStyle name="Normal 5 5 3 8" xfId="9033" xr:uid="{08F77EF7-8D03-42D9-B538-FE3582C4B971}"/>
    <cellStyle name="Normal 5 5 3 9" xfId="9948" xr:uid="{6EAD3DB1-95A1-48C4-95C6-266313A74C5F}"/>
    <cellStyle name="Normal 5 5 4" xfId="938" xr:uid="{00000000-0005-0000-0000-0000891B0000}"/>
    <cellStyle name="Normal 5 5 4 2" xfId="3172" xr:uid="{00000000-0005-0000-0000-00008A1B0000}"/>
    <cellStyle name="Normal 5 5 4 2 2" xfId="7394" xr:uid="{00000000-0005-0000-0000-00008B1B0000}"/>
    <cellStyle name="Normal 5 5 4 2 2 2" xfId="16720" xr:uid="{C2C2838F-68AD-4640-890E-379C7813B8E7}"/>
    <cellStyle name="Normal 5 5 4 2 3" xfId="12503" xr:uid="{49ECCC82-FC1B-4DFA-A053-FD68A35FDC54}"/>
    <cellStyle name="Normal 5 5 4 3" xfId="5249" xr:uid="{00000000-0005-0000-0000-00008C1B0000}"/>
    <cellStyle name="Normal 5 5 4 3 2" xfId="14575" xr:uid="{915BF47D-EAF7-4514-B05C-E8167FBDEDFA}"/>
    <cellStyle name="Normal 5 5 4 4" xfId="9251" xr:uid="{4EAD9E35-D3C9-46BE-AE4D-29A1C6D5A6F7}"/>
    <cellStyle name="Normal 5 5 4 5" xfId="10358" xr:uid="{BBF82157-2575-49DE-A85C-73F1C102BF21}"/>
    <cellStyle name="Normal 5 5 5" xfId="1355" xr:uid="{00000000-0005-0000-0000-00008D1B0000}"/>
    <cellStyle name="Normal 5 5 5 2" xfId="3585" xr:uid="{00000000-0005-0000-0000-00008E1B0000}"/>
    <cellStyle name="Normal 5 5 5 2 2" xfId="7807" xr:uid="{00000000-0005-0000-0000-00008F1B0000}"/>
    <cellStyle name="Normal 5 5 5 2 2 2" xfId="17133" xr:uid="{3C18C59D-D611-41AD-8CA5-3C80EE622874}"/>
    <cellStyle name="Normal 5 5 5 2 3" xfId="12916" xr:uid="{0044D6AC-7D35-4DF9-BF16-31B08976AA17}"/>
    <cellStyle name="Normal 5 5 5 3" xfId="5662" xr:uid="{00000000-0005-0000-0000-0000901B0000}"/>
    <cellStyle name="Normal 5 5 5 3 2" xfId="14988" xr:uid="{F4533237-7A6E-4983-A261-FD39F59B23B0}"/>
    <cellStyle name="Normal 5 5 5 4" xfId="10771" xr:uid="{E257A4F8-5CE1-4F25-87FB-2D7FA240CBE3}"/>
    <cellStyle name="Normal 5 5 6" xfId="1768" xr:uid="{00000000-0005-0000-0000-0000911B0000}"/>
    <cellStyle name="Normal 5 5 6 2" xfId="3998" xr:uid="{00000000-0005-0000-0000-0000921B0000}"/>
    <cellStyle name="Normal 5 5 6 2 2" xfId="8220" xr:uid="{00000000-0005-0000-0000-0000931B0000}"/>
    <cellStyle name="Normal 5 5 6 2 2 2" xfId="17546" xr:uid="{51A633E3-D5A4-4A93-863A-57F9B2510D26}"/>
    <cellStyle name="Normal 5 5 6 2 3" xfId="13329" xr:uid="{04388CC8-B751-40C8-A710-7601EBB9CF04}"/>
    <cellStyle name="Normal 5 5 6 3" xfId="6075" xr:uid="{00000000-0005-0000-0000-0000941B0000}"/>
    <cellStyle name="Normal 5 5 6 3 2" xfId="15401" xr:uid="{D854C7CE-3936-445F-AE99-7010283D5B8B}"/>
    <cellStyle name="Normal 5 5 6 4" xfId="11184" xr:uid="{006C8B4C-6AC1-4522-A54C-6377828C88F7}"/>
    <cellStyle name="Normal 5 5 7" xfId="2182" xr:uid="{00000000-0005-0000-0000-0000951B0000}"/>
    <cellStyle name="Normal 5 5 7 2" xfId="4411" xr:uid="{00000000-0005-0000-0000-0000961B0000}"/>
    <cellStyle name="Normal 5 5 7 2 2" xfId="8633" xr:uid="{00000000-0005-0000-0000-0000971B0000}"/>
    <cellStyle name="Normal 5 5 7 2 2 2" xfId="17959" xr:uid="{66BF810F-BA32-40C1-A19B-76B3D1F699E1}"/>
    <cellStyle name="Normal 5 5 7 2 3" xfId="13742" xr:uid="{774E4108-7C18-4257-BB7F-3E1644EC5083}"/>
    <cellStyle name="Normal 5 5 7 3" xfId="6488" xr:uid="{00000000-0005-0000-0000-0000981B0000}"/>
    <cellStyle name="Normal 5 5 7 3 2" xfId="15814" xr:uid="{689A85A5-3DC7-4E7A-880F-A814A3FE6BE5}"/>
    <cellStyle name="Normal 5 5 7 4" xfId="11597" xr:uid="{100E7E5A-B82D-49A6-9D31-E8A62E24C0F2}"/>
    <cellStyle name="Normal 5 5 8" xfId="2618" xr:uid="{00000000-0005-0000-0000-0000991B0000}"/>
    <cellStyle name="Normal 5 5 8 2" xfId="6901" xr:uid="{00000000-0005-0000-0000-00009A1B0000}"/>
    <cellStyle name="Normal 5 5 8 2 2" xfId="16227" xr:uid="{E3BCBBCD-645B-4495-8EC1-2ABA0109C960}"/>
    <cellStyle name="Normal 5 5 8 3" xfId="12010" xr:uid="{7320183B-39C3-4DDE-BDCA-4891E61B5CB4}"/>
    <cellStyle name="Normal 5 5 9" xfId="4836" xr:uid="{00000000-0005-0000-0000-00009B1B0000}"/>
    <cellStyle name="Normal 5 5 9 2" xfId="14162" xr:uid="{2DD4C25B-45C9-4914-BF92-E4C2F183F86F}"/>
    <cellStyle name="Normal 5 6" xfId="468" xr:uid="{00000000-0005-0000-0000-00009C1B0000}"/>
    <cellStyle name="Normal 5 6 10" xfId="9949" xr:uid="{258EA641-730A-467E-8179-CD5B11CF6958}"/>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BCD5884B-490A-49BF-A785-DE85212F4F2B}"/>
    <cellStyle name="Normal 5 6 2 2 2 3" xfId="12508" xr:uid="{3C164E43-95E4-4869-91E4-10255ACDFEA2}"/>
    <cellStyle name="Normal 5 6 2 2 3" xfId="5254" xr:uid="{00000000-0005-0000-0000-0000A11B0000}"/>
    <cellStyle name="Normal 5 6 2 2 3 2" xfId="14580" xr:uid="{688795ED-10EF-41A3-829F-8957E6BA274A}"/>
    <cellStyle name="Normal 5 6 2 2 4" xfId="9476" xr:uid="{3B3E6CA1-4D97-4B11-99D5-4F82314AA0E0}"/>
    <cellStyle name="Normal 5 6 2 2 5" xfId="10363" xr:uid="{DA5FBAEC-D558-4F07-8C8B-D2AE1EE1375F}"/>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A4A9A034-F0BC-432C-AB54-AE99074FCE67}"/>
    <cellStyle name="Normal 5 6 2 3 2 3" xfId="12921" xr:uid="{23602593-806B-45FA-95E7-4DEF0B5749C7}"/>
    <cellStyle name="Normal 5 6 2 3 3" xfId="5667" xr:uid="{00000000-0005-0000-0000-0000A51B0000}"/>
    <cellStyle name="Normal 5 6 2 3 3 2" xfId="14993" xr:uid="{D97C3295-A38D-4855-9AED-C222F56C12F3}"/>
    <cellStyle name="Normal 5 6 2 3 4" xfId="10776" xr:uid="{5756F5B9-9E25-4C85-89E7-986D53F9205A}"/>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EA59A9C4-8AFD-4217-9226-15F48F742A51}"/>
    <cellStyle name="Normal 5 6 2 4 2 3" xfId="13334" xr:uid="{8313AF18-1F11-4E84-99B0-68A7D28FFCC2}"/>
    <cellStyle name="Normal 5 6 2 4 3" xfId="6080" xr:uid="{00000000-0005-0000-0000-0000A91B0000}"/>
    <cellStyle name="Normal 5 6 2 4 3 2" xfId="15406" xr:uid="{47BB31B7-99B1-4341-8942-C0046E5FEDC1}"/>
    <cellStyle name="Normal 5 6 2 4 4" xfId="11189" xr:uid="{A478AEF4-4210-4D97-BA18-B4F2A0BC6FA7}"/>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2E771702-DFAF-4160-A0DD-48E9C2BD2285}"/>
    <cellStyle name="Normal 5 6 2 5 2 3" xfId="13747" xr:uid="{0DF777F0-8603-4F1D-B9F5-57C8ABCCC2F7}"/>
    <cellStyle name="Normal 5 6 2 5 3" xfId="6493" xr:uid="{00000000-0005-0000-0000-0000AD1B0000}"/>
    <cellStyle name="Normal 5 6 2 5 3 2" xfId="15819" xr:uid="{B7790324-85C3-4D19-B382-6C63FFE7B348}"/>
    <cellStyle name="Normal 5 6 2 5 4" xfId="11602" xr:uid="{56B5181A-A8F9-43A2-ADF0-DC039C2A04BD}"/>
    <cellStyle name="Normal 5 6 2 6" xfId="2623" xr:uid="{00000000-0005-0000-0000-0000AE1B0000}"/>
    <cellStyle name="Normal 5 6 2 6 2" xfId="6906" xr:uid="{00000000-0005-0000-0000-0000AF1B0000}"/>
    <cellStyle name="Normal 5 6 2 6 2 2" xfId="16232" xr:uid="{4C8A0654-5C72-45E1-9F44-E60DF598552C}"/>
    <cellStyle name="Normal 5 6 2 6 3" xfId="12015" xr:uid="{035FC065-B08E-4100-8A40-AAD191339906}"/>
    <cellStyle name="Normal 5 6 2 7" xfId="4841" xr:uid="{00000000-0005-0000-0000-0000B01B0000}"/>
    <cellStyle name="Normal 5 6 2 7 2" xfId="14167" xr:uid="{7C98B0D5-2993-49B3-91D8-29F5EC83CB70}"/>
    <cellStyle name="Normal 5 6 2 8" xfId="9051" xr:uid="{97C72229-9AC1-4DA9-8A0B-8B4B6D970DE8}"/>
    <cellStyle name="Normal 5 6 2 9" xfId="9950" xr:uid="{6BCC334A-68E5-43EE-9095-24A6054C08F2}"/>
    <cellStyle name="Normal 5 6 3" xfId="942" xr:uid="{00000000-0005-0000-0000-0000B11B0000}"/>
    <cellStyle name="Normal 5 6 3 2" xfId="3176" xr:uid="{00000000-0005-0000-0000-0000B21B0000}"/>
    <cellStyle name="Normal 5 6 3 2 2" xfId="7398" xr:uid="{00000000-0005-0000-0000-0000B31B0000}"/>
    <cellStyle name="Normal 5 6 3 2 2 2" xfId="16724" xr:uid="{014A1751-6552-4377-B95E-D0D410971FE0}"/>
    <cellStyle name="Normal 5 6 3 2 3" xfId="12507" xr:uid="{F3943C67-1142-4890-B15D-93213689063B}"/>
    <cellStyle name="Normal 5 6 3 3" xfId="5253" xr:uid="{00000000-0005-0000-0000-0000B41B0000}"/>
    <cellStyle name="Normal 5 6 3 3 2" xfId="14579" xr:uid="{C9D345C0-075D-4253-876A-CFB18F1E50AC}"/>
    <cellStyle name="Normal 5 6 3 4" xfId="9269" xr:uid="{7D6728A0-C210-4F3F-8114-143B9AE0BFB4}"/>
    <cellStyle name="Normal 5 6 3 5" xfId="10362" xr:uid="{301D82A7-46FB-450C-A0EE-B597283CFC0F}"/>
    <cellStyle name="Normal 5 6 4" xfId="1359" xr:uid="{00000000-0005-0000-0000-0000B51B0000}"/>
    <cellStyle name="Normal 5 6 4 2" xfId="3589" xr:uid="{00000000-0005-0000-0000-0000B61B0000}"/>
    <cellStyle name="Normal 5 6 4 2 2" xfId="7811" xr:uid="{00000000-0005-0000-0000-0000B71B0000}"/>
    <cellStyle name="Normal 5 6 4 2 2 2" xfId="17137" xr:uid="{6E71858D-0C3C-4757-94E8-5BC4A1CAA9BF}"/>
    <cellStyle name="Normal 5 6 4 2 3" xfId="12920" xr:uid="{6AC67FA5-B5D1-4DC6-8632-B1A31D136965}"/>
    <cellStyle name="Normal 5 6 4 3" xfId="5666" xr:uid="{00000000-0005-0000-0000-0000B81B0000}"/>
    <cellStyle name="Normal 5 6 4 3 2" xfId="14992" xr:uid="{893FA53D-59AB-45CE-A51F-E34A269D72B6}"/>
    <cellStyle name="Normal 5 6 4 4" xfId="10775" xr:uid="{A309E07D-251E-440F-999A-C18A89191E16}"/>
    <cellStyle name="Normal 5 6 5" xfId="1772" xr:uid="{00000000-0005-0000-0000-0000B91B0000}"/>
    <cellStyle name="Normal 5 6 5 2" xfId="4002" xr:uid="{00000000-0005-0000-0000-0000BA1B0000}"/>
    <cellStyle name="Normal 5 6 5 2 2" xfId="8224" xr:uid="{00000000-0005-0000-0000-0000BB1B0000}"/>
    <cellStyle name="Normal 5 6 5 2 2 2" xfId="17550" xr:uid="{4059AD83-AB26-4892-929E-5BDC23EAE209}"/>
    <cellStyle name="Normal 5 6 5 2 3" xfId="13333" xr:uid="{E17689D3-8B16-4FC0-949C-7566D5EF1FB2}"/>
    <cellStyle name="Normal 5 6 5 3" xfId="6079" xr:uid="{00000000-0005-0000-0000-0000BC1B0000}"/>
    <cellStyle name="Normal 5 6 5 3 2" xfId="15405" xr:uid="{2613B5BF-5FFB-400B-AC01-E6464BA360C8}"/>
    <cellStyle name="Normal 5 6 5 4" xfId="11188" xr:uid="{0B450CEF-96FE-4215-917B-CB717375F279}"/>
    <cellStyle name="Normal 5 6 6" xfId="2186" xr:uid="{00000000-0005-0000-0000-0000BD1B0000}"/>
    <cellStyle name="Normal 5 6 6 2" xfId="4415" xr:uid="{00000000-0005-0000-0000-0000BE1B0000}"/>
    <cellStyle name="Normal 5 6 6 2 2" xfId="8637" xr:uid="{00000000-0005-0000-0000-0000BF1B0000}"/>
    <cellStyle name="Normal 5 6 6 2 2 2" xfId="17963" xr:uid="{34CBC9D5-C96B-45E2-85E6-6CA9C783E53A}"/>
    <cellStyle name="Normal 5 6 6 2 3" xfId="13746" xr:uid="{50A58530-E495-4E37-BF97-E2C54D31B6BF}"/>
    <cellStyle name="Normal 5 6 6 3" xfId="6492" xr:uid="{00000000-0005-0000-0000-0000C01B0000}"/>
    <cellStyle name="Normal 5 6 6 3 2" xfId="15818" xr:uid="{6CADE782-E908-455C-951B-85C4CAE137F7}"/>
    <cellStyle name="Normal 5 6 6 4" xfId="11601" xr:uid="{139DF11A-4F81-42A5-B93D-7C592A9B446F}"/>
    <cellStyle name="Normal 5 6 7" xfId="2622" xr:uid="{00000000-0005-0000-0000-0000C11B0000}"/>
    <cellStyle name="Normal 5 6 7 2" xfId="6905" xr:uid="{00000000-0005-0000-0000-0000C21B0000}"/>
    <cellStyle name="Normal 5 6 7 2 2" xfId="16231" xr:uid="{B62D8CE7-ADB1-47E4-9010-9130D6128615}"/>
    <cellStyle name="Normal 5 6 7 3" xfId="12014" xr:uid="{1EF19CB6-12AE-4979-92B4-533AFFC3A782}"/>
    <cellStyle name="Normal 5 6 8" xfId="4840" xr:uid="{00000000-0005-0000-0000-0000C31B0000}"/>
    <cellStyle name="Normal 5 6 8 2" xfId="14166" xr:uid="{FD67D3A9-4A81-4B93-8B7E-ACEE3A421BD7}"/>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A54382A4-46B9-4A4A-B62A-A0971B1B4B10}"/>
    <cellStyle name="Normal 5 7 2 2 3" xfId="12509" xr:uid="{4FA04CDD-BA73-43F9-B5D7-5BA1DEF463CB}"/>
    <cellStyle name="Normal 5 7 2 3" xfId="5255" xr:uid="{00000000-0005-0000-0000-0000C81B0000}"/>
    <cellStyle name="Normal 5 7 2 3 2" xfId="14581" xr:uid="{D0D3B9A1-6A8E-4065-B504-F37E3AD0BBE0}"/>
    <cellStyle name="Normal 5 7 2 4" xfId="9385" xr:uid="{2E4A3B0A-2E42-41AC-9564-09D1598995A2}"/>
    <cellStyle name="Normal 5 7 2 5" xfId="10364" xr:uid="{D1DE8361-905F-4C45-956A-4CAFF7CF1E0C}"/>
    <cellStyle name="Normal 5 7 3" xfId="1361" xr:uid="{00000000-0005-0000-0000-0000C91B0000}"/>
    <cellStyle name="Normal 5 7 3 2" xfId="3591" xr:uid="{00000000-0005-0000-0000-0000CA1B0000}"/>
    <cellStyle name="Normal 5 7 3 2 2" xfId="7813" xr:uid="{00000000-0005-0000-0000-0000CB1B0000}"/>
    <cellStyle name="Normal 5 7 3 2 2 2" xfId="17139" xr:uid="{C34341F7-3743-4B80-BB47-EAD90081F57E}"/>
    <cellStyle name="Normal 5 7 3 2 3" xfId="12922" xr:uid="{49951498-B3F6-4663-B54A-BCD86D8E541D}"/>
    <cellStyle name="Normal 5 7 3 3" xfId="5668" xr:uid="{00000000-0005-0000-0000-0000CC1B0000}"/>
    <cellStyle name="Normal 5 7 3 3 2" xfId="14994" xr:uid="{F47BADB2-7F60-484F-A9E8-19D6323D326B}"/>
    <cellStyle name="Normal 5 7 3 4" xfId="10777" xr:uid="{8067A75F-EF15-4009-8EDE-152A0C7F0591}"/>
    <cellStyle name="Normal 5 7 4" xfId="1774" xr:uid="{00000000-0005-0000-0000-0000CD1B0000}"/>
    <cellStyle name="Normal 5 7 4 2" xfId="4004" xr:uid="{00000000-0005-0000-0000-0000CE1B0000}"/>
    <cellStyle name="Normal 5 7 4 2 2" xfId="8226" xr:uid="{00000000-0005-0000-0000-0000CF1B0000}"/>
    <cellStyle name="Normal 5 7 4 2 2 2" xfId="17552" xr:uid="{09D3B8BD-4273-45EA-98C1-5B7692AE698C}"/>
    <cellStyle name="Normal 5 7 4 2 3" xfId="13335" xr:uid="{B00BE0FB-C205-4B1F-A1AF-7EEA383456CF}"/>
    <cellStyle name="Normal 5 7 4 3" xfId="6081" xr:uid="{00000000-0005-0000-0000-0000D01B0000}"/>
    <cellStyle name="Normal 5 7 4 3 2" xfId="15407" xr:uid="{C0EF6CBE-6281-4C49-84AE-D6DC8D8B6AA0}"/>
    <cellStyle name="Normal 5 7 4 4" xfId="11190" xr:uid="{4B074A4F-F488-4D14-9CC7-2B603EA5B052}"/>
    <cellStyle name="Normal 5 7 5" xfId="2188" xr:uid="{00000000-0005-0000-0000-0000D11B0000}"/>
    <cellStyle name="Normal 5 7 5 2" xfId="4417" xr:uid="{00000000-0005-0000-0000-0000D21B0000}"/>
    <cellStyle name="Normal 5 7 5 2 2" xfId="8639" xr:uid="{00000000-0005-0000-0000-0000D31B0000}"/>
    <cellStyle name="Normal 5 7 5 2 2 2" xfId="17965" xr:uid="{EDFB082D-4CD1-43E5-871D-2BDB6F263C81}"/>
    <cellStyle name="Normal 5 7 5 2 3" xfId="13748" xr:uid="{CFFA8675-DB3C-4B3A-95FC-74736DE81175}"/>
    <cellStyle name="Normal 5 7 5 3" xfId="6494" xr:uid="{00000000-0005-0000-0000-0000D41B0000}"/>
    <cellStyle name="Normal 5 7 5 3 2" xfId="15820" xr:uid="{DBE10761-7FCA-407C-A34D-EB56EA1A2BE1}"/>
    <cellStyle name="Normal 5 7 5 4" xfId="11603" xr:uid="{6BC48FF1-9A68-4EC5-A163-AB088BECFD5D}"/>
    <cellStyle name="Normal 5 7 6" xfId="2624" xr:uid="{00000000-0005-0000-0000-0000D51B0000}"/>
    <cellStyle name="Normal 5 7 6 2" xfId="6907" xr:uid="{00000000-0005-0000-0000-0000D61B0000}"/>
    <cellStyle name="Normal 5 7 6 2 2" xfId="16233" xr:uid="{99AE3EA0-C6B1-430B-A898-4DA0BAA9BA09}"/>
    <cellStyle name="Normal 5 7 6 3" xfId="12016" xr:uid="{66A96BC3-9BE9-4EEE-AEF0-BB742F0C44CB}"/>
    <cellStyle name="Normal 5 7 7" xfId="4842" xr:uid="{00000000-0005-0000-0000-0000D71B0000}"/>
    <cellStyle name="Normal 5 7 7 2" xfId="14168" xr:uid="{35D565B0-6320-4031-B599-25914F8AE176}"/>
    <cellStyle name="Normal 5 7 8" xfId="8960" xr:uid="{F4BEC964-53C9-4393-B7F1-69B47FC1FF25}"/>
    <cellStyle name="Normal 5 7 9" xfId="9951" xr:uid="{09CBAD37-D800-4687-BDC8-936F152B4255}"/>
    <cellStyle name="Normal 5 8" xfId="880" xr:uid="{00000000-0005-0000-0000-0000D81B0000}"/>
    <cellStyle name="Normal 5 8 2" xfId="3115" xr:uid="{00000000-0005-0000-0000-0000D91B0000}"/>
    <cellStyle name="Normal 5 8 2 2" xfId="7337" xr:uid="{00000000-0005-0000-0000-0000DA1B0000}"/>
    <cellStyle name="Normal 5 8 2 2 2" xfId="16663" xr:uid="{E0A1860F-F22E-4BD6-A278-50FD5AE372A7}"/>
    <cellStyle name="Normal 5 8 2 3" xfId="12446" xr:uid="{02AE5374-958B-447C-8E6D-20EC1E8E1C66}"/>
    <cellStyle name="Normal 5 8 3" xfId="5192" xr:uid="{00000000-0005-0000-0000-0000DB1B0000}"/>
    <cellStyle name="Normal 5 8 3 2" xfId="14518" xr:uid="{5F38C8F3-71FC-46F2-92F6-B584F1C50573}"/>
    <cellStyle name="Normal 5 8 4" xfId="9163" xr:uid="{44C7CAD4-DD7C-48E0-9142-8ED22123C662}"/>
    <cellStyle name="Normal 5 8 5" xfId="10301" xr:uid="{B20630C7-7214-4A29-BEF1-929CD932FC5E}"/>
    <cellStyle name="Normal 5 9" xfId="1298" xr:uid="{00000000-0005-0000-0000-0000DC1B0000}"/>
    <cellStyle name="Normal 5 9 2" xfId="3528" xr:uid="{00000000-0005-0000-0000-0000DD1B0000}"/>
    <cellStyle name="Normal 5 9 2 2" xfId="7750" xr:uid="{00000000-0005-0000-0000-0000DE1B0000}"/>
    <cellStyle name="Normal 5 9 2 2 2" xfId="17076" xr:uid="{9915615A-F4C3-4482-822C-51ADD0F01884}"/>
    <cellStyle name="Normal 5 9 2 3" xfId="12859" xr:uid="{15CAEFB3-6279-44D0-87C9-2CE32579E1EC}"/>
    <cellStyle name="Normal 5 9 3" xfId="5605" xr:uid="{00000000-0005-0000-0000-0000DF1B0000}"/>
    <cellStyle name="Normal 5 9 3 2" xfId="14931" xr:uid="{255781D9-574B-40D3-9731-C2A071A48EDD}"/>
    <cellStyle name="Normal 5 9 4" xfId="10714" xr:uid="{4B42F6CD-4504-4ABF-9779-4EDBF81D0BB1}"/>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5B7BAF2A-FF83-404E-A0C2-5C9C57C9C10F}"/>
    <cellStyle name="Normal 8 10 2 3" xfId="13749" xr:uid="{14D95AA1-A96B-4FAD-B91D-C0FD9DF9534C}"/>
    <cellStyle name="Normal 8 10 3" xfId="6495" xr:uid="{00000000-0005-0000-0000-0000EB1B0000}"/>
    <cellStyle name="Normal 8 10 3 2" xfId="15821" xr:uid="{3D89E18A-0F01-415A-A640-859FD4FEC4C0}"/>
    <cellStyle name="Normal 8 10 4" xfId="11604" xr:uid="{675E0F69-391E-437D-8B78-7B0AD2BF9B34}"/>
    <cellStyle name="Normal 8 11" xfId="2625" xr:uid="{00000000-0005-0000-0000-0000EC1B0000}"/>
    <cellStyle name="Normal 8 11 2" xfId="6908" xr:uid="{00000000-0005-0000-0000-0000ED1B0000}"/>
    <cellStyle name="Normal 8 11 2 2" xfId="16234" xr:uid="{0A0A9391-5A51-4D28-97AE-BC8552672D96}"/>
    <cellStyle name="Normal 8 11 3" xfId="12017" xr:uid="{C9B442CF-F59D-422B-8819-4217473F552F}"/>
    <cellStyle name="Normal 8 12" xfId="4843" xr:uid="{00000000-0005-0000-0000-0000EE1B0000}"/>
    <cellStyle name="Normal 8 12 2" xfId="14169" xr:uid="{8817A11A-BA4F-45DD-B609-F406E42A212E}"/>
    <cellStyle name="Normal 8 13" xfId="8742" xr:uid="{AF36CBBC-3EEB-4AC8-923B-65C7C2418AB0}"/>
    <cellStyle name="Normal 8 14" xfId="9952" xr:uid="{12296BEE-5DA5-49B2-8302-E4C549232D8B}"/>
    <cellStyle name="Normal 8 2" xfId="479" xr:uid="{00000000-0005-0000-0000-0000EF1B0000}"/>
    <cellStyle name="Normal 8 2 10" xfId="2626" xr:uid="{00000000-0005-0000-0000-0000F01B0000}"/>
    <cellStyle name="Normal 8 2 10 2" xfId="6909" xr:uid="{00000000-0005-0000-0000-0000F11B0000}"/>
    <cellStyle name="Normal 8 2 10 2 2" xfId="16235" xr:uid="{AF5A7897-ABB6-4195-A0BF-5E25F5414BCE}"/>
    <cellStyle name="Normal 8 2 10 3" xfId="12018" xr:uid="{C435CDD1-7948-46E8-A974-E518A5965D39}"/>
    <cellStyle name="Normal 8 2 11" xfId="4844" xr:uid="{00000000-0005-0000-0000-0000F21B0000}"/>
    <cellStyle name="Normal 8 2 11 2" xfId="14170" xr:uid="{71760580-94FD-4641-92B6-63A5EF2D3DA7}"/>
    <cellStyle name="Normal 8 2 12" xfId="8751" xr:uid="{476D0553-3387-4D9F-B05B-56EC7A36F7A1}"/>
    <cellStyle name="Normal 8 2 13" xfId="9953" xr:uid="{19C356E9-F171-4BFD-895F-D073391C5E09}"/>
    <cellStyle name="Normal 8 2 2" xfId="480" xr:uid="{00000000-0005-0000-0000-0000F31B0000}"/>
    <cellStyle name="Normal 8 2 2 10" xfId="4845" xr:uid="{00000000-0005-0000-0000-0000F41B0000}"/>
    <cellStyle name="Normal 8 2 2 10 2" xfId="14171" xr:uid="{1A988555-D035-4732-96F2-FB3F17923F43}"/>
    <cellStyle name="Normal 8 2 2 11" xfId="8783" xr:uid="{3C426022-C415-47DA-A8EF-1D6CE72527BD}"/>
    <cellStyle name="Normal 8 2 2 12" xfId="9954" xr:uid="{C2E58589-F401-4186-B579-19CC5B8BB63F}"/>
    <cellStyle name="Normal 8 2 2 2" xfId="481" xr:uid="{00000000-0005-0000-0000-0000F51B0000}"/>
    <cellStyle name="Normal 8 2 2 2 10" xfId="8836" xr:uid="{870E50AF-610D-4E0C-BDE0-389D6B32A0FA}"/>
    <cellStyle name="Normal 8 2 2 2 11" xfId="9955" xr:uid="{413C46F4-5D1D-45A6-8D02-01EE39A09D2B}"/>
    <cellStyle name="Normal 8 2 2 2 2" xfId="482" xr:uid="{00000000-0005-0000-0000-0000F61B0000}"/>
    <cellStyle name="Normal 8 2 2 2 2 10" xfId="9956" xr:uid="{FD294034-4847-4A25-A427-3FE3E19E2428}"/>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4E44922E-455E-459F-B47B-B55054FAFADD}"/>
    <cellStyle name="Normal 8 2 2 2 2 2 2 2 3" xfId="12515" xr:uid="{F1E6FFCB-AC3F-400A-96E6-E63A4E4D7680}"/>
    <cellStyle name="Normal 8 2 2 2 2 2 2 3" xfId="5261" xr:uid="{00000000-0005-0000-0000-0000FB1B0000}"/>
    <cellStyle name="Normal 8 2 2 2 2 2 2 3 2" xfId="14587" xr:uid="{10EB8967-8174-4D50-B3E2-F5C699596BE5}"/>
    <cellStyle name="Normal 8 2 2 2 2 2 2 4" xfId="9571" xr:uid="{B467C179-FE08-45F9-B1E6-E66379D80EBC}"/>
    <cellStyle name="Normal 8 2 2 2 2 2 2 5" xfId="10370" xr:uid="{3EAFA99D-A36E-4479-A8CB-028541096604}"/>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20268D84-E646-4E12-9C9C-62C683143DB6}"/>
    <cellStyle name="Normal 8 2 2 2 2 2 3 2 3" xfId="12928" xr:uid="{2B83089B-DBE5-486F-9157-63DDDA173A29}"/>
    <cellStyle name="Normal 8 2 2 2 2 2 3 3" xfId="5674" xr:uid="{00000000-0005-0000-0000-0000FF1B0000}"/>
    <cellStyle name="Normal 8 2 2 2 2 2 3 3 2" xfId="15000" xr:uid="{F78E5E50-D93F-4DF1-977E-145F0B690B91}"/>
    <cellStyle name="Normal 8 2 2 2 2 2 3 4" xfId="10783" xr:uid="{A522B6F9-79D3-4FEE-BDFE-6F31E9A83DB5}"/>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048DC67D-B50D-47D8-BDBB-4284A3EA0BF0}"/>
    <cellStyle name="Normal 8 2 2 2 2 2 4 2 3" xfId="13341" xr:uid="{AD28263A-5960-4BBB-82D9-C8B6339EC4E3}"/>
    <cellStyle name="Normal 8 2 2 2 2 2 4 3" xfId="6087" xr:uid="{00000000-0005-0000-0000-0000031C0000}"/>
    <cellStyle name="Normal 8 2 2 2 2 2 4 3 2" xfId="15413" xr:uid="{0E332019-C1EB-4A2A-8F7A-565629CDE4AC}"/>
    <cellStyle name="Normal 8 2 2 2 2 2 4 4" xfId="11196" xr:uid="{1D20EE66-D014-4EBC-A10B-CA10D6B0EC47}"/>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56E31BDE-6A15-4A3D-9AD6-F8042E05BEC6}"/>
    <cellStyle name="Normal 8 2 2 2 2 2 5 2 3" xfId="13754" xr:uid="{B2070438-3E13-432B-AB54-FE252432C3B7}"/>
    <cellStyle name="Normal 8 2 2 2 2 2 5 3" xfId="6500" xr:uid="{00000000-0005-0000-0000-0000071C0000}"/>
    <cellStyle name="Normal 8 2 2 2 2 2 5 3 2" xfId="15826" xr:uid="{BBAB6FFA-F915-411D-9389-FF7254D75B82}"/>
    <cellStyle name="Normal 8 2 2 2 2 2 5 4" xfId="11609" xr:uid="{31D75B1B-190A-446F-9D7E-532BC65D3556}"/>
    <cellStyle name="Normal 8 2 2 2 2 2 6" xfId="2630" xr:uid="{00000000-0005-0000-0000-0000081C0000}"/>
    <cellStyle name="Normal 8 2 2 2 2 2 6 2" xfId="6913" xr:uid="{00000000-0005-0000-0000-0000091C0000}"/>
    <cellStyle name="Normal 8 2 2 2 2 2 6 2 2" xfId="16239" xr:uid="{803950CA-780F-4D32-A1D8-9DEE62043098}"/>
    <cellStyle name="Normal 8 2 2 2 2 2 6 3" xfId="12022" xr:uid="{E832721B-829F-4A50-A9D2-E25EA4F89781}"/>
    <cellStyle name="Normal 8 2 2 2 2 2 7" xfId="4848" xr:uid="{00000000-0005-0000-0000-00000A1C0000}"/>
    <cellStyle name="Normal 8 2 2 2 2 2 7 2" xfId="14174" xr:uid="{C6E21F34-1659-40DE-822A-CC13C4A88B90}"/>
    <cellStyle name="Normal 8 2 2 2 2 2 8" xfId="9146" xr:uid="{0E570703-055D-406D-8BD9-575AF6037A75}"/>
    <cellStyle name="Normal 8 2 2 2 2 2 9" xfId="9957" xr:uid="{A9882D2F-3EE2-439A-A350-92E22B0DD4DC}"/>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5433C3F6-5F92-436D-AD61-ACA2B6BEB506}"/>
    <cellStyle name="Normal 8 2 2 2 2 3 2 3" xfId="12514" xr:uid="{50ED96EB-D445-4E2F-9197-7E98EC0014FC}"/>
    <cellStyle name="Normal 8 2 2 2 2 3 3" xfId="5260" xr:uid="{00000000-0005-0000-0000-00000E1C0000}"/>
    <cellStyle name="Normal 8 2 2 2 2 3 3 2" xfId="14586" xr:uid="{CBAC70F7-B4F1-42BF-A32A-3195C1F9FAEA}"/>
    <cellStyle name="Normal 8 2 2 2 2 3 4" xfId="9364" xr:uid="{21426B7C-FC96-483C-B560-AC4767107497}"/>
    <cellStyle name="Normal 8 2 2 2 2 3 5" xfId="10369" xr:uid="{C4E6A632-9D82-465E-8BD0-985B4B91802D}"/>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82AA4DA2-CB85-45D3-BD5C-DD43B49F9DBE}"/>
    <cellStyle name="Normal 8 2 2 2 2 4 2 3" xfId="12927" xr:uid="{8271E5FC-50A2-4D57-9E38-A061A0BDD3AB}"/>
    <cellStyle name="Normal 8 2 2 2 2 4 3" xfId="5673" xr:uid="{00000000-0005-0000-0000-0000121C0000}"/>
    <cellStyle name="Normal 8 2 2 2 2 4 3 2" xfId="14999" xr:uid="{3EB47546-AD58-49DA-93DE-CB18DF7BA88E}"/>
    <cellStyle name="Normal 8 2 2 2 2 4 4" xfId="10782" xr:uid="{9C1636D0-9364-4596-B855-225109E2432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A1DFC31F-D36C-4EC5-98BF-D565F39188FD}"/>
    <cellStyle name="Normal 8 2 2 2 2 5 2 3" xfId="13340" xr:uid="{0729C730-BF86-4A92-A13D-7F24C574B78C}"/>
    <cellStyle name="Normal 8 2 2 2 2 5 3" xfId="6086" xr:uid="{00000000-0005-0000-0000-0000161C0000}"/>
    <cellStyle name="Normal 8 2 2 2 2 5 3 2" xfId="15412" xr:uid="{787F7F83-774E-4B25-ACB0-CC2DA37B0234}"/>
    <cellStyle name="Normal 8 2 2 2 2 5 4" xfId="11195" xr:uid="{8B5F1DBE-DA62-46B1-896B-5584AA46FCEF}"/>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9787990B-10B0-4740-A5EA-F68D19E03ABE}"/>
    <cellStyle name="Normal 8 2 2 2 2 6 2 3" xfId="13753" xr:uid="{A4959BF3-2A0B-413D-A662-A92F04042CC5}"/>
    <cellStyle name="Normal 8 2 2 2 2 6 3" xfId="6499" xr:uid="{00000000-0005-0000-0000-00001A1C0000}"/>
    <cellStyle name="Normal 8 2 2 2 2 6 3 2" xfId="15825" xr:uid="{3EA78FF5-F5D4-4A92-963A-7F50AD5DD0E7}"/>
    <cellStyle name="Normal 8 2 2 2 2 6 4" xfId="11608" xr:uid="{10B67F45-B685-4464-BE68-BEC2B613CEA1}"/>
    <cellStyle name="Normal 8 2 2 2 2 7" xfId="2629" xr:uid="{00000000-0005-0000-0000-00001B1C0000}"/>
    <cellStyle name="Normal 8 2 2 2 2 7 2" xfId="6912" xr:uid="{00000000-0005-0000-0000-00001C1C0000}"/>
    <cellStyle name="Normal 8 2 2 2 2 7 2 2" xfId="16238" xr:uid="{25E5562E-63C7-4F2C-A08F-915F4017353C}"/>
    <cellStyle name="Normal 8 2 2 2 2 7 3" xfId="12021" xr:uid="{E5AFA137-1F26-4340-9863-79F9E2AA894C}"/>
    <cellStyle name="Normal 8 2 2 2 2 8" xfId="4847" xr:uid="{00000000-0005-0000-0000-00001D1C0000}"/>
    <cellStyle name="Normal 8 2 2 2 2 8 2" xfId="14173" xr:uid="{49BBC4A7-0AAC-44CD-895F-0F657D5AD145}"/>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213EFD61-C997-4BC3-AC2A-F937865DA119}"/>
    <cellStyle name="Normal 8 2 2 2 3 2 2 3" xfId="12516" xr:uid="{6DF70857-5187-4453-9595-8E118F797F88}"/>
    <cellStyle name="Normal 8 2 2 2 3 2 3" xfId="5262" xr:uid="{00000000-0005-0000-0000-0000221C0000}"/>
    <cellStyle name="Normal 8 2 2 2 3 2 3 2" xfId="14588" xr:uid="{DF8C9BE5-9D11-4545-A2A1-07C0AB1CF9C2}"/>
    <cellStyle name="Normal 8 2 2 2 3 2 4" xfId="9468" xr:uid="{8CC4AD0E-72B4-4935-8967-B171D7B5EF8D}"/>
    <cellStyle name="Normal 8 2 2 2 3 2 5" xfId="10371" xr:uid="{12783BE2-BD85-4FBB-9CDE-DB2D5E1C9AFC}"/>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A309FC28-65C5-4D04-B4E1-BD80AA909FB2}"/>
    <cellStyle name="Normal 8 2 2 2 3 3 2 3" xfId="12929" xr:uid="{EE88B1BA-F63A-4DDD-8A70-F8D58C789114}"/>
    <cellStyle name="Normal 8 2 2 2 3 3 3" xfId="5675" xr:uid="{00000000-0005-0000-0000-0000261C0000}"/>
    <cellStyle name="Normal 8 2 2 2 3 3 3 2" xfId="15001" xr:uid="{75220735-B2F1-4747-8548-CE5327B2B12B}"/>
    <cellStyle name="Normal 8 2 2 2 3 3 4" xfId="10784" xr:uid="{08F665FA-71DF-445C-B2AF-ADEDE7A05456}"/>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0455E918-B9E7-4ECC-879E-F80C05ACAE13}"/>
    <cellStyle name="Normal 8 2 2 2 3 4 2 3" xfId="13342" xr:uid="{EC8D2E4F-369D-4A32-B054-9C098BD20442}"/>
    <cellStyle name="Normal 8 2 2 2 3 4 3" xfId="6088" xr:uid="{00000000-0005-0000-0000-00002A1C0000}"/>
    <cellStyle name="Normal 8 2 2 2 3 4 3 2" xfId="15414" xr:uid="{4618A8C6-DF88-4E6A-805A-3216E5B82D42}"/>
    <cellStyle name="Normal 8 2 2 2 3 4 4" xfId="11197" xr:uid="{C3F4AAFF-656E-4B9D-9076-5B5D7E5C2C06}"/>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C1547AC1-2B53-4D55-8DC7-45D9B7FC88D2}"/>
    <cellStyle name="Normal 8 2 2 2 3 5 2 3" xfId="13755" xr:uid="{436D8835-7456-4E49-BB43-56E3C76100F7}"/>
    <cellStyle name="Normal 8 2 2 2 3 5 3" xfId="6501" xr:uid="{00000000-0005-0000-0000-00002E1C0000}"/>
    <cellStyle name="Normal 8 2 2 2 3 5 3 2" xfId="15827" xr:uid="{5FCD1309-8DA9-4D2C-84E8-5CC478946727}"/>
    <cellStyle name="Normal 8 2 2 2 3 5 4" xfId="11610" xr:uid="{FEC24237-1230-4946-9E6E-36F931061EDB}"/>
    <cellStyle name="Normal 8 2 2 2 3 6" xfId="2631" xr:uid="{00000000-0005-0000-0000-00002F1C0000}"/>
    <cellStyle name="Normal 8 2 2 2 3 6 2" xfId="6914" xr:uid="{00000000-0005-0000-0000-0000301C0000}"/>
    <cellStyle name="Normal 8 2 2 2 3 6 2 2" xfId="16240" xr:uid="{82C47C16-DD46-4FBF-A568-7FA053C6EE8C}"/>
    <cellStyle name="Normal 8 2 2 2 3 6 3" xfId="12023" xr:uid="{E0180A60-D68F-4C70-9249-9545E6582262}"/>
    <cellStyle name="Normal 8 2 2 2 3 7" xfId="4849" xr:uid="{00000000-0005-0000-0000-0000311C0000}"/>
    <cellStyle name="Normal 8 2 2 2 3 7 2" xfId="14175" xr:uid="{2B684E47-9656-40EE-B435-AA4F45285F8B}"/>
    <cellStyle name="Normal 8 2 2 2 3 8" xfId="9043" xr:uid="{BAC463DF-40A7-4F07-ADD3-7274E57F505C}"/>
    <cellStyle name="Normal 8 2 2 2 3 9" xfId="9958" xr:uid="{F4EBB41F-15E1-447A-BDCB-1635B06A75D4}"/>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BB81A109-0E1C-4D0E-ACCB-975CEF7C98F6}"/>
    <cellStyle name="Normal 8 2 2 2 4 2 3" xfId="12513" xr:uid="{A8A24B7B-369E-4D9E-8F08-FDB5F01932F7}"/>
    <cellStyle name="Normal 8 2 2 2 4 3" xfId="5259" xr:uid="{00000000-0005-0000-0000-0000351C0000}"/>
    <cellStyle name="Normal 8 2 2 2 4 3 2" xfId="14585" xr:uid="{3E50134F-EF92-45CB-B989-917280F0E18D}"/>
    <cellStyle name="Normal 8 2 2 2 4 4" xfId="9261" xr:uid="{70C29865-A6DE-4682-9EB1-83E4E07FD0A7}"/>
    <cellStyle name="Normal 8 2 2 2 4 5" xfId="10368" xr:uid="{A17446F9-C25D-46B9-94E3-0DC1BFBE69EA}"/>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181C741F-C0DF-4091-A7FA-F4E65B59E873}"/>
    <cellStyle name="Normal 8 2 2 2 5 2 3" xfId="12926" xr:uid="{13702068-DD7F-45EB-82C4-F4C0D3D86A74}"/>
    <cellStyle name="Normal 8 2 2 2 5 3" xfId="5672" xr:uid="{00000000-0005-0000-0000-0000391C0000}"/>
    <cellStyle name="Normal 8 2 2 2 5 3 2" xfId="14998" xr:uid="{C33F254E-16E1-43F6-B8ED-4E429700E9C3}"/>
    <cellStyle name="Normal 8 2 2 2 5 4" xfId="10781" xr:uid="{7A7A7F63-CA5F-4D86-9B22-CF664FAEEE6E}"/>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9FE34463-B51D-407F-AE2B-7E81A051565A}"/>
    <cellStyle name="Normal 8 2 2 2 6 2 3" xfId="13339" xr:uid="{3CF0D52D-4F3E-4A71-A28F-26CE5DD461C1}"/>
    <cellStyle name="Normal 8 2 2 2 6 3" xfId="6085" xr:uid="{00000000-0005-0000-0000-00003D1C0000}"/>
    <cellStyle name="Normal 8 2 2 2 6 3 2" xfId="15411" xr:uid="{37662E42-E61E-4A84-B363-C24BA13260A4}"/>
    <cellStyle name="Normal 8 2 2 2 6 4" xfId="11194" xr:uid="{0CEC1F78-2165-4C1E-B779-AADDF30AF39B}"/>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3A77BDBD-FB34-4C48-A131-F17314FCC3E7}"/>
    <cellStyle name="Normal 8 2 2 2 7 2 3" xfId="13752" xr:uid="{B59A4AC4-FEE9-4B77-80F1-92173993814D}"/>
    <cellStyle name="Normal 8 2 2 2 7 3" xfId="6498" xr:uid="{00000000-0005-0000-0000-0000411C0000}"/>
    <cellStyle name="Normal 8 2 2 2 7 3 2" xfId="15824" xr:uid="{95C47D9F-A7A7-43E2-99C1-366254B48BDD}"/>
    <cellStyle name="Normal 8 2 2 2 7 4" xfId="11607" xr:uid="{4A2C6F63-3233-4D9D-A86B-04B433F258E7}"/>
    <cellStyle name="Normal 8 2 2 2 8" xfId="2628" xr:uid="{00000000-0005-0000-0000-0000421C0000}"/>
    <cellStyle name="Normal 8 2 2 2 8 2" xfId="6911" xr:uid="{00000000-0005-0000-0000-0000431C0000}"/>
    <cellStyle name="Normal 8 2 2 2 8 2 2" xfId="16237" xr:uid="{D1394243-9E24-4021-A628-A7E4FC07FD67}"/>
    <cellStyle name="Normal 8 2 2 2 8 3" xfId="12020" xr:uid="{4F146FEA-5585-4D05-8031-CFF65C55DB8B}"/>
    <cellStyle name="Normal 8 2 2 2 9" xfId="4846" xr:uid="{00000000-0005-0000-0000-0000441C0000}"/>
    <cellStyle name="Normal 8 2 2 2 9 2" xfId="14172" xr:uid="{364A74D2-3726-4769-A944-9CE0A861D8C6}"/>
    <cellStyle name="Normal 8 2 2 3" xfId="485" xr:uid="{00000000-0005-0000-0000-0000451C0000}"/>
    <cellStyle name="Normal 8 2 2 3 10" xfId="9959" xr:uid="{7D9771EE-4C82-481A-9AB4-3AC9234201D2}"/>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C8E010F9-4434-48AE-8E36-B88CDCE59B3B}"/>
    <cellStyle name="Normal 8 2 2 3 2 2 2 3" xfId="12518" xr:uid="{F0C832DA-3356-4AE7-9719-1C76D133110E}"/>
    <cellStyle name="Normal 8 2 2 3 2 2 3" xfId="5264" xr:uid="{00000000-0005-0000-0000-00004A1C0000}"/>
    <cellStyle name="Normal 8 2 2 3 2 2 3 2" xfId="14590" xr:uid="{38BB9D59-ADDA-4C00-B68B-094B2D359A82}"/>
    <cellStyle name="Normal 8 2 2 3 2 2 4" xfId="9518" xr:uid="{FDE93D5E-A6D1-456B-8726-FC2AB8FD16A4}"/>
    <cellStyle name="Normal 8 2 2 3 2 2 5" xfId="10373" xr:uid="{48C26676-EF9D-4D29-8E3F-8D75439C5819}"/>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6A7E877C-AE82-416A-A001-39CCA88916FA}"/>
    <cellStyle name="Normal 8 2 2 3 2 3 2 3" xfId="12931" xr:uid="{95AB6C63-6F6F-4303-BF70-7A9B9BA71685}"/>
    <cellStyle name="Normal 8 2 2 3 2 3 3" xfId="5677" xr:uid="{00000000-0005-0000-0000-00004E1C0000}"/>
    <cellStyle name="Normal 8 2 2 3 2 3 3 2" xfId="15003" xr:uid="{7BB5FAD1-D57E-4709-B5DC-ED6F18F62669}"/>
    <cellStyle name="Normal 8 2 2 3 2 3 4" xfId="10786" xr:uid="{7FE4A33C-5C99-4758-B3E7-54B876CE71BE}"/>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682F72C1-2989-4485-84EA-AFD545BCAE91}"/>
    <cellStyle name="Normal 8 2 2 3 2 4 2 3" xfId="13344" xr:uid="{83A6084A-2B87-4227-BC9D-B60B0835C564}"/>
    <cellStyle name="Normal 8 2 2 3 2 4 3" xfId="6090" xr:uid="{00000000-0005-0000-0000-0000521C0000}"/>
    <cellStyle name="Normal 8 2 2 3 2 4 3 2" xfId="15416" xr:uid="{B848A6F5-C373-4797-92A8-422B7E237CFF}"/>
    <cellStyle name="Normal 8 2 2 3 2 4 4" xfId="11199" xr:uid="{BA134BB5-1276-46D1-BF3F-CC2A419D3116}"/>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AC42FFBA-FE93-4439-AC93-534D1EB28040}"/>
    <cellStyle name="Normal 8 2 2 3 2 5 2 3" xfId="13757" xr:uid="{A5638073-2A67-48BC-A874-3477F58C78A4}"/>
    <cellStyle name="Normal 8 2 2 3 2 5 3" xfId="6503" xr:uid="{00000000-0005-0000-0000-0000561C0000}"/>
    <cellStyle name="Normal 8 2 2 3 2 5 3 2" xfId="15829" xr:uid="{66310CB3-11A7-43B5-9285-46BA5049656C}"/>
    <cellStyle name="Normal 8 2 2 3 2 5 4" xfId="11612" xr:uid="{7ABE0AE3-11A4-4A23-B81E-F3DEC3388E1F}"/>
    <cellStyle name="Normal 8 2 2 3 2 6" xfId="2633" xr:uid="{00000000-0005-0000-0000-0000571C0000}"/>
    <cellStyle name="Normal 8 2 2 3 2 6 2" xfId="6916" xr:uid="{00000000-0005-0000-0000-0000581C0000}"/>
    <cellStyle name="Normal 8 2 2 3 2 6 2 2" xfId="16242" xr:uid="{8C55BC12-BDB5-4C28-ADDF-F2A9C00A90B7}"/>
    <cellStyle name="Normal 8 2 2 3 2 6 3" xfId="12025" xr:uid="{B33262F3-E47B-4A43-8315-EB5CE1DBE12F}"/>
    <cellStyle name="Normal 8 2 2 3 2 7" xfId="4851" xr:uid="{00000000-0005-0000-0000-0000591C0000}"/>
    <cellStyle name="Normal 8 2 2 3 2 7 2" xfId="14177" xr:uid="{327E762C-9C7C-4698-ACA7-1FDC175108FF}"/>
    <cellStyle name="Normal 8 2 2 3 2 8" xfId="9093" xr:uid="{ADE34C72-BCCB-477C-B66A-BE7159CEB281}"/>
    <cellStyle name="Normal 8 2 2 3 2 9" xfId="9960" xr:uid="{94F2586D-6CB4-47AB-A105-2E86F081BC34}"/>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E16347D5-940A-4D00-821A-E2E352DEB87A}"/>
    <cellStyle name="Normal 8 2 2 3 3 2 3" xfId="12517" xr:uid="{8D30A03F-951A-4256-B0E2-D64D5A897333}"/>
    <cellStyle name="Normal 8 2 2 3 3 3" xfId="5263" xr:uid="{00000000-0005-0000-0000-00005D1C0000}"/>
    <cellStyle name="Normal 8 2 2 3 3 3 2" xfId="14589" xr:uid="{41F3067B-5497-459B-93B4-F84C93282956}"/>
    <cellStyle name="Normal 8 2 2 3 3 4" xfId="9311" xr:uid="{F4618F1E-1235-4269-B5C6-B09BE5034F6C}"/>
    <cellStyle name="Normal 8 2 2 3 3 5" xfId="10372" xr:uid="{D190FDA3-A8AD-422E-AA8E-B08553C2FADD}"/>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B9211855-CE7F-4A01-B675-441D7105393D}"/>
    <cellStyle name="Normal 8 2 2 3 4 2 3" xfId="12930" xr:uid="{55E50883-8FF3-4FD3-8DBB-6BDDAC74D0E0}"/>
    <cellStyle name="Normal 8 2 2 3 4 3" xfId="5676" xr:uid="{00000000-0005-0000-0000-0000611C0000}"/>
    <cellStyle name="Normal 8 2 2 3 4 3 2" xfId="15002" xr:uid="{55EC1EE9-71AF-43E5-B81B-95259112EDBC}"/>
    <cellStyle name="Normal 8 2 2 3 4 4" xfId="10785" xr:uid="{30CF1078-FF13-49A9-A110-4C64DC0CCDCB}"/>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4515C2FE-33D3-43E2-BDF8-C2C6D588EA81}"/>
    <cellStyle name="Normal 8 2 2 3 5 2 3" xfId="13343" xr:uid="{A67FE97A-11F9-439F-B81A-A82937F1C300}"/>
    <cellStyle name="Normal 8 2 2 3 5 3" xfId="6089" xr:uid="{00000000-0005-0000-0000-0000651C0000}"/>
    <cellStyle name="Normal 8 2 2 3 5 3 2" xfId="15415" xr:uid="{46AAB7E9-81B1-4173-92D6-76119F45CAE5}"/>
    <cellStyle name="Normal 8 2 2 3 5 4" xfId="11198" xr:uid="{9246A6E4-5560-4FE1-BA6B-730CC332FF86}"/>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D5714E83-5153-4748-A29A-4C95B1F3B757}"/>
    <cellStyle name="Normal 8 2 2 3 6 2 3" xfId="13756" xr:uid="{7CC5FD7D-7EAA-42F0-967D-E4576F1589A9}"/>
    <cellStyle name="Normal 8 2 2 3 6 3" xfId="6502" xr:uid="{00000000-0005-0000-0000-0000691C0000}"/>
    <cellStyle name="Normal 8 2 2 3 6 3 2" xfId="15828" xr:uid="{59DC2437-24F0-4AF5-92CB-8244495B65F2}"/>
    <cellStyle name="Normal 8 2 2 3 6 4" xfId="11611" xr:uid="{41C22FE6-FCFA-403A-B0F5-14AA3960EDDC}"/>
    <cellStyle name="Normal 8 2 2 3 7" xfId="2632" xr:uid="{00000000-0005-0000-0000-00006A1C0000}"/>
    <cellStyle name="Normal 8 2 2 3 7 2" xfId="6915" xr:uid="{00000000-0005-0000-0000-00006B1C0000}"/>
    <cellStyle name="Normal 8 2 2 3 7 2 2" xfId="16241" xr:uid="{50049FB4-772E-43ED-B025-935C6108858E}"/>
    <cellStyle name="Normal 8 2 2 3 7 3" xfId="12024" xr:uid="{54A9BFE7-7BE4-41EC-8C3C-AC51E2EE4BA2}"/>
    <cellStyle name="Normal 8 2 2 3 8" xfId="4850" xr:uid="{00000000-0005-0000-0000-00006C1C0000}"/>
    <cellStyle name="Normal 8 2 2 3 8 2" xfId="14176" xr:uid="{30B78E84-F8F4-4A0C-83A5-B539804B482D}"/>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42E188AA-F556-4A05-908D-200F1A89138A}"/>
    <cellStyle name="Normal 8 2 2 4 2 2 3" xfId="12519" xr:uid="{BAC2017F-8EE7-48E3-A6C8-F947E5753E5F}"/>
    <cellStyle name="Normal 8 2 2 4 2 3" xfId="5265" xr:uid="{00000000-0005-0000-0000-0000711C0000}"/>
    <cellStyle name="Normal 8 2 2 4 2 3 2" xfId="14591" xr:uid="{696CD74A-EE1C-4E47-902E-0A806DFF39DA}"/>
    <cellStyle name="Normal 8 2 2 4 2 4" xfId="9415" xr:uid="{88D7FF95-DEA9-4369-BE01-487FC7B2B7E8}"/>
    <cellStyle name="Normal 8 2 2 4 2 5" xfId="10374" xr:uid="{978CDD21-2258-4103-9388-5F776A36C43E}"/>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10B647FE-1B80-482C-B22D-94903F32491C}"/>
    <cellStyle name="Normal 8 2 2 4 3 2 3" xfId="12932" xr:uid="{7BB57B05-CFB5-4352-A69F-1C7F8382F31E}"/>
    <cellStyle name="Normal 8 2 2 4 3 3" xfId="5678" xr:uid="{00000000-0005-0000-0000-0000751C0000}"/>
    <cellStyle name="Normal 8 2 2 4 3 3 2" xfId="15004" xr:uid="{8D80017F-724A-4FA1-ADA3-333C3AD2BF9A}"/>
    <cellStyle name="Normal 8 2 2 4 3 4" xfId="10787" xr:uid="{9F6241A4-A45C-4DFA-B38E-83655FB3B906}"/>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00D86BB0-A7F2-4024-A4FB-20956B35EAED}"/>
    <cellStyle name="Normal 8 2 2 4 4 2 3" xfId="13345" xr:uid="{CBA2BECD-06A9-4D34-A58D-02CC182E1587}"/>
    <cellStyle name="Normal 8 2 2 4 4 3" xfId="6091" xr:uid="{00000000-0005-0000-0000-0000791C0000}"/>
    <cellStyle name="Normal 8 2 2 4 4 3 2" xfId="15417" xr:uid="{2337E4E8-E64E-4494-ADBA-CF2251DE27F3}"/>
    <cellStyle name="Normal 8 2 2 4 4 4" xfId="11200" xr:uid="{43528951-FBF6-4B58-A9A5-3022880D05DD}"/>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8EB2DF94-C718-4D15-BD39-89F38E5ED497}"/>
    <cellStyle name="Normal 8 2 2 4 5 2 3" xfId="13758" xr:uid="{76B873B2-5F73-41EC-9F9F-A289228CF7EC}"/>
    <cellStyle name="Normal 8 2 2 4 5 3" xfId="6504" xr:uid="{00000000-0005-0000-0000-00007D1C0000}"/>
    <cellStyle name="Normal 8 2 2 4 5 3 2" xfId="15830" xr:uid="{DFCE1F80-E364-4E7B-A5C9-93343D1AE04B}"/>
    <cellStyle name="Normal 8 2 2 4 5 4" xfId="11613" xr:uid="{047996CC-E9BF-4C7D-B0D2-F8149367CDAD}"/>
    <cellStyle name="Normal 8 2 2 4 6" xfId="2634" xr:uid="{00000000-0005-0000-0000-00007E1C0000}"/>
    <cellStyle name="Normal 8 2 2 4 6 2" xfId="6917" xr:uid="{00000000-0005-0000-0000-00007F1C0000}"/>
    <cellStyle name="Normal 8 2 2 4 6 2 2" xfId="16243" xr:uid="{E583B141-FA8A-4706-BFBB-1EE790BECD01}"/>
    <cellStyle name="Normal 8 2 2 4 6 3" xfId="12026" xr:uid="{6F04D6BD-56C0-44AD-8C21-EB4DAF0106B7}"/>
    <cellStyle name="Normal 8 2 2 4 7" xfId="4852" xr:uid="{00000000-0005-0000-0000-0000801C0000}"/>
    <cellStyle name="Normal 8 2 2 4 7 2" xfId="14178" xr:uid="{0558787D-2CC5-499E-8334-2F8961415AA0}"/>
    <cellStyle name="Normal 8 2 2 4 8" xfId="8990" xr:uid="{F08D85C9-EB04-4227-BEA0-1B51DDB63DFA}"/>
    <cellStyle name="Normal 8 2 2 4 9" xfId="9961" xr:uid="{1C541538-092F-42C1-A0BE-9F3C22EBFCF5}"/>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5F63D5ED-FCB2-4DDA-BBC2-5841CE854770}"/>
    <cellStyle name="Normal 8 2 2 5 2 3" xfId="12512" xr:uid="{D899FCD2-6571-4DA7-9921-F78120D58D7D}"/>
    <cellStyle name="Normal 8 2 2 5 3" xfId="5258" xr:uid="{00000000-0005-0000-0000-0000841C0000}"/>
    <cellStyle name="Normal 8 2 2 5 3 2" xfId="14584" xr:uid="{1A51D155-56BB-4055-8AE4-1E268258DEE1}"/>
    <cellStyle name="Normal 8 2 2 5 4" xfId="9207" xr:uid="{D4CDC4D2-5794-400F-B850-1B259D26C1FE}"/>
    <cellStyle name="Normal 8 2 2 5 5" xfId="10367" xr:uid="{F69C954F-EA2A-441F-8FC8-FEC54E286CE8}"/>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BE7883EB-EEF8-495A-AAE1-E1DDF703DD14}"/>
    <cellStyle name="Normal 8 2 2 6 2 3" xfId="12925" xr:uid="{FBD38F90-BE4F-40A6-BCBF-0CC41ABA910D}"/>
    <cellStyle name="Normal 8 2 2 6 3" xfId="5671" xr:uid="{00000000-0005-0000-0000-0000881C0000}"/>
    <cellStyle name="Normal 8 2 2 6 3 2" xfId="14997" xr:uid="{F30CCF98-1BB9-4B22-B862-2C20A2A12FC2}"/>
    <cellStyle name="Normal 8 2 2 6 4" xfId="10780" xr:uid="{8551A3DE-EA61-4EE7-8694-7F2A4F03975D}"/>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62418916-032F-4889-A504-4F25AB9F08EF}"/>
    <cellStyle name="Normal 8 2 2 7 2 3" xfId="13338" xr:uid="{81D6630E-C5C4-437D-8919-6A2CE20FD777}"/>
    <cellStyle name="Normal 8 2 2 7 3" xfId="6084" xr:uid="{00000000-0005-0000-0000-00008C1C0000}"/>
    <cellStyle name="Normal 8 2 2 7 3 2" xfId="15410" xr:uid="{E18D3E44-40FC-4179-8AB8-CF0FB75B450A}"/>
    <cellStyle name="Normal 8 2 2 7 4" xfId="11193" xr:uid="{D1DC7633-4B79-4381-B95A-4834EB33BA71}"/>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B6E67055-AEBA-495C-9672-4DA5EB514455}"/>
    <cellStyle name="Normal 8 2 2 8 2 3" xfId="13751" xr:uid="{7230D593-7BE9-4C93-8922-A9CA7033A5EB}"/>
    <cellStyle name="Normal 8 2 2 8 3" xfId="6497" xr:uid="{00000000-0005-0000-0000-0000901C0000}"/>
    <cellStyle name="Normal 8 2 2 8 3 2" xfId="15823" xr:uid="{FF07BAA0-9D49-4C32-AB37-7046CCB7B531}"/>
    <cellStyle name="Normal 8 2 2 8 4" xfId="11606" xr:uid="{1E4D6052-67E5-4B66-91F1-B3CF3A1773AC}"/>
    <cellStyle name="Normal 8 2 2 9" xfId="2627" xr:uid="{00000000-0005-0000-0000-0000911C0000}"/>
    <cellStyle name="Normal 8 2 2 9 2" xfId="6910" xr:uid="{00000000-0005-0000-0000-0000921C0000}"/>
    <cellStyle name="Normal 8 2 2 9 2 2" xfId="16236" xr:uid="{2B0D9193-C5BB-4E32-953C-3736FAE7A4BB}"/>
    <cellStyle name="Normal 8 2 2 9 3" xfId="12019" xr:uid="{F0182197-D8A7-4713-A811-F0CCB7A6D4D4}"/>
    <cellStyle name="Normal 8 2 3" xfId="488" xr:uid="{00000000-0005-0000-0000-0000931C0000}"/>
    <cellStyle name="Normal 8 2 3 10" xfId="8835" xr:uid="{2F0FB8B3-D08B-41EB-93AB-2D83A1BD6036}"/>
    <cellStyle name="Normal 8 2 3 11" xfId="9962" xr:uid="{BF875F42-1290-48CD-907D-D03AB916D8F2}"/>
    <cellStyle name="Normal 8 2 3 2" xfId="489" xr:uid="{00000000-0005-0000-0000-0000941C0000}"/>
    <cellStyle name="Normal 8 2 3 2 10" xfId="9963" xr:uid="{11300E2D-A0D8-4225-BE90-AC1AE887FEEF}"/>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4A7BF222-170E-4499-864A-F6DB31D3D95B}"/>
    <cellStyle name="Normal 8 2 3 2 2 2 2 3" xfId="12522" xr:uid="{55698A89-227B-4D7D-AAB8-4A06B866BD04}"/>
    <cellStyle name="Normal 8 2 3 2 2 2 3" xfId="5268" xr:uid="{00000000-0005-0000-0000-0000991C0000}"/>
    <cellStyle name="Normal 8 2 3 2 2 2 3 2" xfId="14594" xr:uid="{1BBE8C64-F3A0-43C3-A2E0-40B11C33A433}"/>
    <cellStyle name="Normal 8 2 3 2 2 2 4" xfId="9570" xr:uid="{BA9732E0-D9E4-47DB-882D-D871A821FA55}"/>
    <cellStyle name="Normal 8 2 3 2 2 2 5" xfId="10377" xr:uid="{3FB620DF-E6DC-4BC6-AB29-FD9D023B415B}"/>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055F8F6E-F328-4059-9AAF-30B2F6755EFE}"/>
    <cellStyle name="Normal 8 2 3 2 2 3 2 3" xfId="12935" xr:uid="{909B0751-AF52-4878-BE0B-29C3B821A58C}"/>
    <cellStyle name="Normal 8 2 3 2 2 3 3" xfId="5681" xr:uid="{00000000-0005-0000-0000-00009D1C0000}"/>
    <cellStyle name="Normal 8 2 3 2 2 3 3 2" xfId="15007" xr:uid="{AF512375-E760-41EC-924A-ECA1070A188D}"/>
    <cellStyle name="Normal 8 2 3 2 2 3 4" xfId="10790" xr:uid="{90F7DFB4-3DD8-4C02-858D-72CA74F22734}"/>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B6E174C3-F71D-4E79-AC6A-0D998D1AF263}"/>
    <cellStyle name="Normal 8 2 3 2 2 4 2 3" xfId="13348" xr:uid="{9F41CD41-32D0-4D1B-B254-98638743F53E}"/>
    <cellStyle name="Normal 8 2 3 2 2 4 3" xfId="6094" xr:uid="{00000000-0005-0000-0000-0000A11C0000}"/>
    <cellStyle name="Normal 8 2 3 2 2 4 3 2" xfId="15420" xr:uid="{0D6F6AB0-53E8-4DDF-A7CE-D3B23B6A9274}"/>
    <cellStyle name="Normal 8 2 3 2 2 4 4" xfId="11203" xr:uid="{1302D3DC-38C0-49AD-87EC-195CEA6B39A1}"/>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C7755293-34F3-4E16-8FCE-785BAEC27A2D}"/>
    <cellStyle name="Normal 8 2 3 2 2 5 2 3" xfId="13761" xr:uid="{10F69127-3289-4C1E-BAF0-7426F9427E40}"/>
    <cellStyle name="Normal 8 2 3 2 2 5 3" xfId="6507" xr:uid="{00000000-0005-0000-0000-0000A51C0000}"/>
    <cellStyle name="Normal 8 2 3 2 2 5 3 2" xfId="15833" xr:uid="{4E517B9F-F9DC-477D-878C-BD6C9B4EE0E8}"/>
    <cellStyle name="Normal 8 2 3 2 2 5 4" xfId="11616" xr:uid="{0BD7A390-4B92-4D25-95A8-DAD06B2176B4}"/>
    <cellStyle name="Normal 8 2 3 2 2 6" xfId="2637" xr:uid="{00000000-0005-0000-0000-0000A61C0000}"/>
    <cellStyle name="Normal 8 2 3 2 2 6 2" xfId="6920" xr:uid="{00000000-0005-0000-0000-0000A71C0000}"/>
    <cellStyle name="Normal 8 2 3 2 2 6 2 2" xfId="16246" xr:uid="{3133E2F2-6C31-459D-BEF9-61B98D4385F3}"/>
    <cellStyle name="Normal 8 2 3 2 2 6 3" xfId="12029" xr:uid="{1493EF00-01CE-4DE5-A3A6-5ADFE3E88788}"/>
    <cellStyle name="Normal 8 2 3 2 2 7" xfId="4855" xr:uid="{00000000-0005-0000-0000-0000A81C0000}"/>
    <cellStyle name="Normal 8 2 3 2 2 7 2" xfId="14181" xr:uid="{2EE6DEDF-C8D6-44C8-A520-15AD1A0D0246}"/>
    <cellStyle name="Normal 8 2 3 2 2 8" xfId="9145" xr:uid="{C71E6005-187D-4837-92B4-619AF06B3A3B}"/>
    <cellStyle name="Normal 8 2 3 2 2 9" xfId="9964" xr:uid="{5A1255FF-50A3-4938-A18F-9B31DC6F1B45}"/>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75CDBE61-DCA2-40C0-9355-8AA55FEEB9CE}"/>
    <cellStyle name="Normal 8 2 3 2 3 2 3" xfId="12521" xr:uid="{9DF7B373-63B3-40AF-9821-009F3D7AA46F}"/>
    <cellStyle name="Normal 8 2 3 2 3 3" xfId="5267" xr:uid="{00000000-0005-0000-0000-0000AC1C0000}"/>
    <cellStyle name="Normal 8 2 3 2 3 3 2" xfId="14593" xr:uid="{8F7E4B44-AB86-4518-9021-69AF2330C401}"/>
    <cellStyle name="Normal 8 2 3 2 3 4" xfId="9363" xr:uid="{C94C6C98-A8BC-4AC9-B084-0D2219E89AA8}"/>
    <cellStyle name="Normal 8 2 3 2 3 5" xfId="10376" xr:uid="{011CFE14-F74F-4D19-A5B2-C6C7AA116353}"/>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BD5BFDF4-FC64-49AD-9965-D90C3F8BB9F5}"/>
    <cellStyle name="Normal 8 2 3 2 4 2 3" xfId="12934" xr:uid="{5706C4C6-C2EE-4A96-95F0-F069A0835658}"/>
    <cellStyle name="Normal 8 2 3 2 4 3" xfId="5680" xr:uid="{00000000-0005-0000-0000-0000B01C0000}"/>
    <cellStyle name="Normal 8 2 3 2 4 3 2" xfId="15006" xr:uid="{0EA91D8E-DAE9-4CE6-832E-BB4B7DD35378}"/>
    <cellStyle name="Normal 8 2 3 2 4 4" xfId="10789" xr:uid="{B4C7A01F-58C6-45DC-986C-5CB541CFF0F5}"/>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DB9A39AB-4E39-4528-86C9-E6886AF8879E}"/>
    <cellStyle name="Normal 8 2 3 2 5 2 3" xfId="13347" xr:uid="{55DEF2B0-1976-478A-A69E-11367D0155DB}"/>
    <cellStyle name="Normal 8 2 3 2 5 3" xfId="6093" xr:uid="{00000000-0005-0000-0000-0000B41C0000}"/>
    <cellStyle name="Normal 8 2 3 2 5 3 2" xfId="15419" xr:uid="{3229E86E-E298-4159-8DD0-4588D627AF78}"/>
    <cellStyle name="Normal 8 2 3 2 5 4" xfId="11202" xr:uid="{A58C7E7C-C8F5-41EB-9D4F-D485716BDAAC}"/>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F4CEC1BB-5989-4A5F-AC30-4D2ABC96C17E}"/>
    <cellStyle name="Normal 8 2 3 2 6 2 3" xfId="13760" xr:uid="{1B30ED05-48EE-4072-B680-DBA7BC7FAE2B}"/>
    <cellStyle name="Normal 8 2 3 2 6 3" xfId="6506" xr:uid="{00000000-0005-0000-0000-0000B81C0000}"/>
    <cellStyle name="Normal 8 2 3 2 6 3 2" xfId="15832" xr:uid="{5E8866D2-A743-462D-91EA-981510580A2B}"/>
    <cellStyle name="Normal 8 2 3 2 6 4" xfId="11615" xr:uid="{8E053B1C-5B91-4B82-B2C7-920B17743C4F}"/>
    <cellStyle name="Normal 8 2 3 2 7" xfId="2636" xr:uid="{00000000-0005-0000-0000-0000B91C0000}"/>
    <cellStyle name="Normal 8 2 3 2 7 2" xfId="6919" xr:uid="{00000000-0005-0000-0000-0000BA1C0000}"/>
    <cellStyle name="Normal 8 2 3 2 7 2 2" xfId="16245" xr:uid="{9C749A22-B529-4D91-95B2-F2019A21323E}"/>
    <cellStyle name="Normal 8 2 3 2 7 3" xfId="12028" xr:uid="{34342E8B-89BA-446C-96A7-BAD140BA358B}"/>
    <cellStyle name="Normal 8 2 3 2 8" xfId="4854" xr:uid="{00000000-0005-0000-0000-0000BB1C0000}"/>
    <cellStyle name="Normal 8 2 3 2 8 2" xfId="14180" xr:uid="{444FEB7C-206B-4899-80A4-C0DC7075ED1B}"/>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79D81789-D63A-4740-AEC1-7EB2B1D6B2EC}"/>
    <cellStyle name="Normal 8 2 3 3 2 2 3" xfId="12523" xr:uid="{32D4EF0A-15FF-418F-B4AF-40EABB7ABD6B}"/>
    <cellStyle name="Normal 8 2 3 3 2 3" xfId="5269" xr:uid="{00000000-0005-0000-0000-0000C01C0000}"/>
    <cellStyle name="Normal 8 2 3 3 2 3 2" xfId="14595" xr:uid="{042E9568-FBAB-4521-93F7-102CA0E86841}"/>
    <cellStyle name="Normal 8 2 3 3 2 4" xfId="9467" xr:uid="{C16001D7-8508-4511-808F-E990F8EA0FE3}"/>
    <cellStyle name="Normal 8 2 3 3 2 5" xfId="10378" xr:uid="{FEABA074-C673-44D5-A512-2ADAB3CAB6FF}"/>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8D1D1264-9F38-4EFE-8F84-672B1F7430D4}"/>
    <cellStyle name="Normal 8 2 3 3 3 2 3" xfId="12936" xr:uid="{F3FE0452-A1DD-4941-9BB7-642A56D270A5}"/>
    <cellStyle name="Normal 8 2 3 3 3 3" xfId="5682" xr:uid="{00000000-0005-0000-0000-0000C41C0000}"/>
    <cellStyle name="Normal 8 2 3 3 3 3 2" xfId="15008" xr:uid="{9C2CF2AE-0CA5-4905-8C56-6D50E9A5B7B4}"/>
    <cellStyle name="Normal 8 2 3 3 3 4" xfId="10791" xr:uid="{E7295AE2-D43D-46CD-AEEA-DE850C8CAA86}"/>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62DB09EC-25A7-4600-8F0F-D6F3AFE19255}"/>
    <cellStyle name="Normal 8 2 3 3 4 2 3" xfId="13349" xr:uid="{7404F425-CA3F-4025-B224-8298C83BB927}"/>
    <cellStyle name="Normal 8 2 3 3 4 3" xfId="6095" xr:uid="{00000000-0005-0000-0000-0000C81C0000}"/>
    <cellStyle name="Normal 8 2 3 3 4 3 2" xfId="15421" xr:uid="{56036F73-8E56-496E-B42C-373B52059C1A}"/>
    <cellStyle name="Normal 8 2 3 3 4 4" xfId="11204" xr:uid="{9B0F1D4B-7B96-4532-9AAB-21FF8295F40F}"/>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5A53A44E-266E-4224-AA11-E5EFEAAA827A}"/>
    <cellStyle name="Normal 8 2 3 3 5 2 3" xfId="13762" xr:uid="{9E2FF5FB-0CF8-493A-A2C6-27471496A92E}"/>
    <cellStyle name="Normal 8 2 3 3 5 3" xfId="6508" xr:uid="{00000000-0005-0000-0000-0000CC1C0000}"/>
    <cellStyle name="Normal 8 2 3 3 5 3 2" xfId="15834" xr:uid="{9507ABC5-CFEB-48BF-845B-1578CB18E688}"/>
    <cellStyle name="Normal 8 2 3 3 5 4" xfId="11617" xr:uid="{68053EBD-C10D-4128-917F-F7F09435A0A4}"/>
    <cellStyle name="Normal 8 2 3 3 6" xfId="2638" xr:uid="{00000000-0005-0000-0000-0000CD1C0000}"/>
    <cellStyle name="Normal 8 2 3 3 6 2" xfId="6921" xr:uid="{00000000-0005-0000-0000-0000CE1C0000}"/>
    <cellStyle name="Normal 8 2 3 3 6 2 2" xfId="16247" xr:uid="{D28D8218-3594-4A50-8059-CEDDDE4B0C41}"/>
    <cellStyle name="Normal 8 2 3 3 6 3" xfId="12030" xr:uid="{038B8D12-1789-4E0D-993D-169E4F370025}"/>
    <cellStyle name="Normal 8 2 3 3 7" xfId="4856" xr:uid="{00000000-0005-0000-0000-0000CF1C0000}"/>
    <cellStyle name="Normal 8 2 3 3 7 2" xfId="14182" xr:uid="{68AC7602-96D6-44BE-AB8B-803B4E19DC97}"/>
    <cellStyle name="Normal 8 2 3 3 8" xfId="9042" xr:uid="{D820ED39-BAB1-48C1-A68D-2017E247E432}"/>
    <cellStyle name="Normal 8 2 3 3 9" xfId="9965" xr:uid="{9BBB6F7D-2AC7-42B2-AB81-9A2E1BEC15B9}"/>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677509A7-29DD-4FA1-9469-E06DEF3F7EBC}"/>
    <cellStyle name="Normal 8 2 3 4 2 3" xfId="12520" xr:uid="{923C5152-B88B-44B3-AE2E-5DC3A373F907}"/>
    <cellStyle name="Normal 8 2 3 4 3" xfId="5266" xr:uid="{00000000-0005-0000-0000-0000D31C0000}"/>
    <cellStyle name="Normal 8 2 3 4 3 2" xfId="14592" xr:uid="{5E73E50F-915A-4DEE-88CF-E41A2538AC46}"/>
    <cellStyle name="Normal 8 2 3 4 4" xfId="9260" xr:uid="{70FF5A16-C89A-42B7-A603-E23A7C2F443C}"/>
    <cellStyle name="Normal 8 2 3 4 5" xfId="10375" xr:uid="{9D3A017B-BB12-4BFC-AF88-2432ED4782EF}"/>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600B4D2A-48DF-4D2D-991E-5C389AB41304}"/>
    <cellStyle name="Normal 8 2 3 5 2 3" xfId="12933" xr:uid="{31330027-339A-44E5-95C1-0D83F4674409}"/>
    <cellStyle name="Normal 8 2 3 5 3" xfId="5679" xr:uid="{00000000-0005-0000-0000-0000D71C0000}"/>
    <cellStyle name="Normal 8 2 3 5 3 2" xfId="15005" xr:uid="{09D0B573-AA84-43BC-B692-AE099BF6A4E9}"/>
    <cellStyle name="Normal 8 2 3 5 4" xfId="10788" xr:uid="{5EA6F37B-83BA-4FA1-A960-BC22419A6007}"/>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27F8C818-ADF2-4161-9850-E61BC351817D}"/>
    <cellStyle name="Normal 8 2 3 6 2 3" xfId="13346" xr:uid="{18C3187C-14C3-4752-A26F-9F336359F3D1}"/>
    <cellStyle name="Normal 8 2 3 6 3" xfId="6092" xr:uid="{00000000-0005-0000-0000-0000DB1C0000}"/>
    <cellStyle name="Normal 8 2 3 6 3 2" xfId="15418" xr:uid="{B55CD03E-80C2-40D9-8903-BE8B459005B9}"/>
    <cellStyle name="Normal 8 2 3 6 4" xfId="11201" xr:uid="{52E94D41-3E83-47B5-A73C-37369DCD9BF7}"/>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80CD7F23-63E6-4981-894F-1C91B4F4015D}"/>
    <cellStyle name="Normal 8 2 3 7 2 3" xfId="13759" xr:uid="{E3FFA9F4-AA5F-4F2F-B9A9-2688DE6E9BD1}"/>
    <cellStyle name="Normal 8 2 3 7 3" xfId="6505" xr:uid="{00000000-0005-0000-0000-0000DF1C0000}"/>
    <cellStyle name="Normal 8 2 3 7 3 2" xfId="15831" xr:uid="{77585E4B-4723-4F49-8CD4-1F2D088AE22E}"/>
    <cellStyle name="Normal 8 2 3 7 4" xfId="11614" xr:uid="{D4C884E9-7D83-4251-9BBD-C0C12EC530DE}"/>
    <cellStyle name="Normal 8 2 3 8" xfId="2635" xr:uid="{00000000-0005-0000-0000-0000E01C0000}"/>
    <cellStyle name="Normal 8 2 3 8 2" xfId="6918" xr:uid="{00000000-0005-0000-0000-0000E11C0000}"/>
    <cellStyle name="Normal 8 2 3 8 2 2" xfId="16244" xr:uid="{658E455A-2C3D-4FE7-821F-DB174B717C12}"/>
    <cellStyle name="Normal 8 2 3 8 3" xfId="12027" xr:uid="{B6674BF9-934A-4AC4-B497-2CCEA0663441}"/>
    <cellStyle name="Normal 8 2 3 9" xfId="4853" xr:uid="{00000000-0005-0000-0000-0000E21C0000}"/>
    <cellStyle name="Normal 8 2 3 9 2" xfId="14179" xr:uid="{F8E4EAEA-7B99-4971-9660-A8289CC54B7C}"/>
    <cellStyle name="Normal 8 2 4" xfId="492" xr:uid="{00000000-0005-0000-0000-0000E31C0000}"/>
    <cellStyle name="Normal 8 2 4 10" xfId="9966" xr:uid="{69068227-AAD2-4E48-A4A1-87EF232A2C15}"/>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18734816-308D-4D3A-BCAF-F01071458341}"/>
    <cellStyle name="Normal 8 2 4 2 2 2 3" xfId="12525" xr:uid="{D161DD43-4E19-4B27-9417-FE9A253138E6}"/>
    <cellStyle name="Normal 8 2 4 2 2 3" xfId="5271" xr:uid="{00000000-0005-0000-0000-0000E81C0000}"/>
    <cellStyle name="Normal 8 2 4 2 2 3 2" xfId="14597" xr:uid="{A8EC04C2-63DE-4068-AC7B-EFB12123E3DB}"/>
    <cellStyle name="Normal 8 2 4 2 2 4" xfId="9486" xr:uid="{9F6EBE4C-F02F-43A6-A388-D5EACB1B3099}"/>
    <cellStyle name="Normal 8 2 4 2 2 5" xfId="10380" xr:uid="{A7307C69-D443-403E-8EB1-02A4F2CF1B6B}"/>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899AB0C9-2A14-4F88-944A-9E2F8F9AF75A}"/>
    <cellStyle name="Normal 8 2 4 2 3 2 3" xfId="12938" xr:uid="{6C465B1B-4EC8-47E4-8E17-1E52299DE40C}"/>
    <cellStyle name="Normal 8 2 4 2 3 3" xfId="5684" xr:uid="{00000000-0005-0000-0000-0000EC1C0000}"/>
    <cellStyle name="Normal 8 2 4 2 3 3 2" xfId="15010" xr:uid="{8C97DAA4-FC44-4036-B55F-FD348FE369B9}"/>
    <cellStyle name="Normal 8 2 4 2 3 4" xfId="10793" xr:uid="{6CA279E2-7467-4502-ABAE-55C662444775}"/>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BDB76159-2A24-4EF9-B153-D3DB52DFE331}"/>
    <cellStyle name="Normal 8 2 4 2 4 2 3" xfId="13351" xr:uid="{F0C0A5F1-9116-4226-8D66-1A62984ABFEE}"/>
    <cellStyle name="Normal 8 2 4 2 4 3" xfId="6097" xr:uid="{00000000-0005-0000-0000-0000F01C0000}"/>
    <cellStyle name="Normal 8 2 4 2 4 3 2" xfId="15423" xr:uid="{63A76A2E-B30F-4794-B18E-A78F652D0BE8}"/>
    <cellStyle name="Normal 8 2 4 2 4 4" xfId="11206" xr:uid="{F266D647-B621-4379-9E7F-5C5B06DB2E53}"/>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22A5D09B-D236-4969-A3DE-9E24010814D8}"/>
    <cellStyle name="Normal 8 2 4 2 5 2 3" xfId="13764" xr:uid="{B3E654D9-9131-48C7-8FA4-8BE311479C2D}"/>
    <cellStyle name="Normal 8 2 4 2 5 3" xfId="6510" xr:uid="{00000000-0005-0000-0000-0000F41C0000}"/>
    <cellStyle name="Normal 8 2 4 2 5 3 2" xfId="15836" xr:uid="{394CC452-0189-41A0-8879-629DF5CF38E3}"/>
    <cellStyle name="Normal 8 2 4 2 5 4" xfId="11619" xr:uid="{B259C421-14BE-408B-814C-7000006474D6}"/>
    <cellStyle name="Normal 8 2 4 2 6" xfId="2640" xr:uid="{00000000-0005-0000-0000-0000F51C0000}"/>
    <cellStyle name="Normal 8 2 4 2 6 2" xfId="6923" xr:uid="{00000000-0005-0000-0000-0000F61C0000}"/>
    <cellStyle name="Normal 8 2 4 2 6 2 2" xfId="16249" xr:uid="{0263C371-9223-4DA7-8043-957DC9E28D93}"/>
    <cellStyle name="Normal 8 2 4 2 6 3" xfId="12032" xr:uid="{FF9967E4-F7E4-4019-B0DD-4303B9B9666F}"/>
    <cellStyle name="Normal 8 2 4 2 7" xfId="4858" xr:uid="{00000000-0005-0000-0000-0000F71C0000}"/>
    <cellStyle name="Normal 8 2 4 2 7 2" xfId="14184" xr:uid="{ADC11B4A-98C0-4663-B853-B9BB48D4A4C4}"/>
    <cellStyle name="Normal 8 2 4 2 8" xfId="9061" xr:uid="{7295DB82-9441-436C-AA3E-91B68F6E59B3}"/>
    <cellStyle name="Normal 8 2 4 2 9" xfId="9967" xr:uid="{15A0E009-FB60-411E-A97E-8FDE8B3E0B9E}"/>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8C5C65BB-9DB2-4C28-8EA6-A2E8FC856409}"/>
    <cellStyle name="Normal 8 2 4 3 2 3" xfId="12524" xr:uid="{8D66E676-438A-4263-A210-6178E2876FD6}"/>
    <cellStyle name="Normal 8 2 4 3 3" xfId="5270" xr:uid="{00000000-0005-0000-0000-0000FB1C0000}"/>
    <cellStyle name="Normal 8 2 4 3 3 2" xfId="14596" xr:uid="{44A62D7A-F427-444C-8C70-B44B3AE88E70}"/>
    <cellStyle name="Normal 8 2 4 3 4" xfId="9279" xr:uid="{BA09D30D-BEBA-4223-83E6-57FB46A1EFA8}"/>
    <cellStyle name="Normal 8 2 4 3 5" xfId="10379" xr:uid="{0121BBED-E30A-4C49-8497-3069F9C1C03A}"/>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5B99940D-FCA2-4FFC-AE54-52B0120A0267}"/>
    <cellStyle name="Normal 8 2 4 4 2 3" xfId="12937" xr:uid="{2F0E67B8-DC54-4EF5-9ABB-1906F7306208}"/>
    <cellStyle name="Normal 8 2 4 4 3" xfId="5683" xr:uid="{00000000-0005-0000-0000-0000FF1C0000}"/>
    <cellStyle name="Normal 8 2 4 4 3 2" xfId="15009" xr:uid="{729EBDA9-7457-441F-ADAA-613EBA9B1CEA}"/>
    <cellStyle name="Normal 8 2 4 4 4" xfId="10792" xr:uid="{517AD479-1500-414F-949D-B51BDAB2C12D}"/>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4EDF74C8-3EB5-4B51-B733-8A19A531701F}"/>
    <cellStyle name="Normal 8 2 4 5 2 3" xfId="13350" xr:uid="{4A5D8F18-E8E9-4DFE-9296-8BDA059655C8}"/>
    <cellStyle name="Normal 8 2 4 5 3" xfId="6096" xr:uid="{00000000-0005-0000-0000-0000031D0000}"/>
    <cellStyle name="Normal 8 2 4 5 3 2" xfId="15422" xr:uid="{ADD749B2-654F-4B6F-8A89-B2D539AB900F}"/>
    <cellStyle name="Normal 8 2 4 5 4" xfId="11205" xr:uid="{B7357098-3B21-4B83-B8A8-053E1DC3F38B}"/>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BF421DC4-C39C-4EE9-8BFE-CAEFAF461D84}"/>
    <cellStyle name="Normal 8 2 4 6 2 3" xfId="13763" xr:uid="{2095D702-E452-4851-9B3C-36D761BE8E8D}"/>
    <cellStyle name="Normal 8 2 4 6 3" xfId="6509" xr:uid="{00000000-0005-0000-0000-0000071D0000}"/>
    <cellStyle name="Normal 8 2 4 6 3 2" xfId="15835" xr:uid="{7D1AB217-8745-467F-8438-659327D554F6}"/>
    <cellStyle name="Normal 8 2 4 6 4" xfId="11618" xr:uid="{75674F5C-521E-4FF9-BAD5-9DED049214DE}"/>
    <cellStyle name="Normal 8 2 4 7" xfId="2639" xr:uid="{00000000-0005-0000-0000-0000081D0000}"/>
    <cellStyle name="Normal 8 2 4 7 2" xfId="6922" xr:uid="{00000000-0005-0000-0000-0000091D0000}"/>
    <cellStyle name="Normal 8 2 4 7 2 2" xfId="16248" xr:uid="{F9C67442-6396-4FD2-9FB9-98831DD94099}"/>
    <cellStyle name="Normal 8 2 4 7 3" xfId="12031" xr:uid="{920725DD-06CC-4C86-BB14-3C1D50154CDD}"/>
    <cellStyle name="Normal 8 2 4 8" xfId="4857" xr:uid="{00000000-0005-0000-0000-00000A1D0000}"/>
    <cellStyle name="Normal 8 2 4 8 2" xfId="14183" xr:uid="{EA7A7C6E-2FEB-4553-8D13-F2680725CE3A}"/>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2B9CFA09-FD2C-48DF-8224-537D1DC2D86A}"/>
    <cellStyle name="Normal 8 2 5 2 2 3" xfId="12526" xr:uid="{DE1FDCAE-F663-49E3-8F99-CC52415B9BC4}"/>
    <cellStyle name="Normal 8 2 5 2 3" xfId="5272" xr:uid="{00000000-0005-0000-0000-00000F1D0000}"/>
    <cellStyle name="Normal 8 2 5 2 3 2" xfId="14598" xr:uid="{8540DD92-344C-4730-99C8-0F9DE4B36116}"/>
    <cellStyle name="Normal 8 2 5 2 4" xfId="9395" xr:uid="{D5766EF3-6042-484F-B510-7448518CF571}"/>
    <cellStyle name="Normal 8 2 5 2 5" xfId="10381" xr:uid="{9363BCFE-7FB2-4C18-B122-2C251FED2E61}"/>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6FC5C4CD-A598-4CFE-A12B-F2789A005233}"/>
    <cellStyle name="Normal 8 2 5 3 2 3" xfId="12939" xr:uid="{F0BB15DA-8E15-4D33-B5F9-38E27A416E13}"/>
    <cellStyle name="Normal 8 2 5 3 3" xfId="5685" xr:uid="{00000000-0005-0000-0000-0000131D0000}"/>
    <cellStyle name="Normal 8 2 5 3 3 2" xfId="15011" xr:uid="{6C42B723-B0B0-49C8-A508-A604EC7F1107}"/>
    <cellStyle name="Normal 8 2 5 3 4" xfId="10794" xr:uid="{B164AD82-4F25-4A43-A0AB-F76552B3F41C}"/>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F4D0E747-99A1-4F77-80F0-873BC43CA30F}"/>
    <cellStyle name="Normal 8 2 5 4 2 3" xfId="13352" xr:uid="{34A7059D-2808-4287-B2A9-B217E50CB28C}"/>
    <cellStyle name="Normal 8 2 5 4 3" xfId="6098" xr:uid="{00000000-0005-0000-0000-0000171D0000}"/>
    <cellStyle name="Normal 8 2 5 4 3 2" xfId="15424" xr:uid="{F82A1425-5911-466F-9CE1-B2064FFC10C8}"/>
    <cellStyle name="Normal 8 2 5 4 4" xfId="11207" xr:uid="{0BCA32E8-88C4-4376-B923-11B762DA36A1}"/>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E00A5B4A-739E-4BF6-A8D2-3721249CE164}"/>
    <cellStyle name="Normal 8 2 5 5 2 3" xfId="13765" xr:uid="{1E0FF567-8266-41F0-8829-087016C6DBF5}"/>
    <cellStyle name="Normal 8 2 5 5 3" xfId="6511" xr:uid="{00000000-0005-0000-0000-00001B1D0000}"/>
    <cellStyle name="Normal 8 2 5 5 3 2" xfId="15837" xr:uid="{4BA47082-6BBA-43A1-AD23-13821C7E69DE}"/>
    <cellStyle name="Normal 8 2 5 5 4" xfId="11620" xr:uid="{5063EF44-8BA4-4360-9AEE-CBB4BE520C08}"/>
    <cellStyle name="Normal 8 2 5 6" xfId="2641" xr:uid="{00000000-0005-0000-0000-00001C1D0000}"/>
    <cellStyle name="Normal 8 2 5 6 2" xfId="6924" xr:uid="{00000000-0005-0000-0000-00001D1D0000}"/>
    <cellStyle name="Normal 8 2 5 6 2 2" xfId="16250" xr:uid="{52C9D7EB-5D6B-43B5-B1EF-DDE7C2A26646}"/>
    <cellStyle name="Normal 8 2 5 6 3" xfId="12033" xr:uid="{A664DA5A-D426-4C3D-BCEB-2C2E79281DFD}"/>
    <cellStyle name="Normal 8 2 5 7" xfId="4859" xr:uid="{00000000-0005-0000-0000-00001E1D0000}"/>
    <cellStyle name="Normal 8 2 5 7 2" xfId="14185" xr:uid="{7E95AA12-24E1-43B7-8F88-3B12CE59960D}"/>
    <cellStyle name="Normal 8 2 5 8" xfId="8970" xr:uid="{7E9ACEFF-1680-45D8-BC32-8CA9BA1D63D4}"/>
    <cellStyle name="Normal 8 2 5 9" xfId="9968" xr:uid="{5462EF3E-C750-4C3B-8E03-C188D28893E2}"/>
    <cellStyle name="Normal 8 2 6" xfId="946" xr:uid="{00000000-0005-0000-0000-00001F1D0000}"/>
    <cellStyle name="Normal 8 2 6 2" xfId="3180" xr:uid="{00000000-0005-0000-0000-0000201D0000}"/>
    <cellStyle name="Normal 8 2 6 2 2" xfId="7402" xr:uid="{00000000-0005-0000-0000-0000211D0000}"/>
    <cellStyle name="Normal 8 2 6 2 2 2" xfId="16728" xr:uid="{720D6689-B065-41CE-9738-46217FE169F1}"/>
    <cellStyle name="Normal 8 2 6 2 3" xfId="12511" xr:uid="{42CE7E6C-A991-4425-9EA2-694BB21B97A5}"/>
    <cellStyle name="Normal 8 2 6 3" xfId="5257" xr:uid="{00000000-0005-0000-0000-0000221D0000}"/>
    <cellStyle name="Normal 8 2 6 3 2" xfId="14583" xr:uid="{68C83A51-E273-4C04-8490-7FDDD8611B21}"/>
    <cellStyle name="Normal 8 2 6 4" xfId="9173" xr:uid="{C36295B3-E6F0-4A6D-AEE5-72C8177C13EE}"/>
    <cellStyle name="Normal 8 2 6 5" xfId="10366" xr:uid="{849FAF42-E213-42DF-BE2F-747FF81E6D9B}"/>
    <cellStyle name="Normal 8 2 7" xfId="1363" xr:uid="{00000000-0005-0000-0000-0000231D0000}"/>
    <cellStyle name="Normal 8 2 7 2" xfId="3593" xr:uid="{00000000-0005-0000-0000-0000241D0000}"/>
    <cellStyle name="Normal 8 2 7 2 2" xfId="7815" xr:uid="{00000000-0005-0000-0000-0000251D0000}"/>
    <cellStyle name="Normal 8 2 7 2 2 2" xfId="17141" xr:uid="{602C6F8F-2BA0-4811-9A79-EE61D4AB6C2F}"/>
    <cellStyle name="Normal 8 2 7 2 3" xfId="12924" xr:uid="{8E65A15C-BA6B-4EC6-A74A-D46462D95782}"/>
    <cellStyle name="Normal 8 2 7 3" xfId="5670" xr:uid="{00000000-0005-0000-0000-0000261D0000}"/>
    <cellStyle name="Normal 8 2 7 3 2" xfId="14996" xr:uid="{16F6A27B-57E0-4B22-84A7-399F3AB88087}"/>
    <cellStyle name="Normal 8 2 7 4" xfId="10779" xr:uid="{8EEE1C3D-985E-40F6-B2D8-7D44B185DB28}"/>
    <cellStyle name="Normal 8 2 8" xfId="1776" xr:uid="{00000000-0005-0000-0000-0000271D0000}"/>
    <cellStyle name="Normal 8 2 8 2" xfId="4006" xr:uid="{00000000-0005-0000-0000-0000281D0000}"/>
    <cellStyle name="Normal 8 2 8 2 2" xfId="8228" xr:uid="{00000000-0005-0000-0000-0000291D0000}"/>
    <cellStyle name="Normal 8 2 8 2 2 2" xfId="17554" xr:uid="{664DE294-1472-49AB-89A0-8CC0636E348C}"/>
    <cellStyle name="Normal 8 2 8 2 3" xfId="13337" xr:uid="{B921039D-1018-496D-8B4F-2BE833E4C64B}"/>
    <cellStyle name="Normal 8 2 8 3" xfId="6083" xr:uid="{00000000-0005-0000-0000-00002A1D0000}"/>
    <cellStyle name="Normal 8 2 8 3 2" xfId="15409" xr:uid="{83507A16-BB23-4DD3-A13A-F567D74C58A9}"/>
    <cellStyle name="Normal 8 2 8 4" xfId="11192" xr:uid="{6C1E152E-4F15-4AE6-8E65-9BC287426E1A}"/>
    <cellStyle name="Normal 8 2 9" xfId="2190" xr:uid="{00000000-0005-0000-0000-00002B1D0000}"/>
    <cellStyle name="Normal 8 2 9 2" xfId="4419" xr:uid="{00000000-0005-0000-0000-00002C1D0000}"/>
    <cellStyle name="Normal 8 2 9 2 2" xfId="8641" xr:uid="{00000000-0005-0000-0000-00002D1D0000}"/>
    <cellStyle name="Normal 8 2 9 2 2 2" xfId="17967" xr:uid="{D16D6CBE-A78F-494B-BEEB-CF709514C218}"/>
    <cellStyle name="Normal 8 2 9 2 3" xfId="13750" xr:uid="{D654E548-E4CA-4A09-B9DB-CE64A46EDE39}"/>
    <cellStyle name="Normal 8 2 9 3" xfId="6496" xr:uid="{00000000-0005-0000-0000-00002E1D0000}"/>
    <cellStyle name="Normal 8 2 9 3 2" xfId="15822" xr:uid="{481B0CAE-5E37-4AE8-A055-EE8BDC77EE62}"/>
    <cellStyle name="Normal 8 2 9 4" xfId="11605" xr:uid="{DA90DB05-520A-4068-8275-9E76B35DE148}"/>
    <cellStyle name="Normal 8 3" xfId="495" xr:uid="{00000000-0005-0000-0000-00002F1D0000}"/>
    <cellStyle name="Normal 8 3 10" xfId="4860" xr:uid="{00000000-0005-0000-0000-0000301D0000}"/>
    <cellStyle name="Normal 8 3 10 2" xfId="14186" xr:uid="{F4ED4101-8BC3-478F-BF41-136EC2D54FA7}"/>
    <cellStyle name="Normal 8 3 11" xfId="8774" xr:uid="{81BDDADD-940D-4F3A-BD6C-7E4719C8A3D2}"/>
    <cellStyle name="Normal 8 3 12" xfId="9969" xr:uid="{6DD4F5B2-3F71-47F9-96E9-37187FC159D5}"/>
    <cellStyle name="Normal 8 3 2" xfId="496" xr:uid="{00000000-0005-0000-0000-0000311D0000}"/>
    <cellStyle name="Normal 8 3 2 10" xfId="8837" xr:uid="{392842AA-84B1-4A71-AE94-A1B631487B7E}"/>
    <cellStyle name="Normal 8 3 2 11" xfId="9970" xr:uid="{18402432-F924-44EB-8682-E64F454DEA65}"/>
    <cellStyle name="Normal 8 3 2 2" xfId="497" xr:uid="{00000000-0005-0000-0000-0000321D0000}"/>
    <cellStyle name="Normal 8 3 2 2 10" xfId="9971" xr:uid="{B891A521-74CE-40EE-A8DB-DE733F565029}"/>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12D75DFA-1533-42CB-91DE-71C19A1FBAF6}"/>
    <cellStyle name="Normal 8 3 2 2 2 2 2 3" xfId="12530" xr:uid="{40400DEE-1B17-44BA-9EED-D19B4869227D}"/>
    <cellStyle name="Normal 8 3 2 2 2 2 3" xfId="5276" xr:uid="{00000000-0005-0000-0000-0000371D0000}"/>
    <cellStyle name="Normal 8 3 2 2 2 2 3 2" xfId="14602" xr:uid="{2D6FE0F1-5AC5-4464-A0CD-D52E10BEA55A}"/>
    <cellStyle name="Normal 8 3 2 2 2 2 4" xfId="9572" xr:uid="{83269435-2305-4677-BD8B-8CB801DC108A}"/>
    <cellStyle name="Normal 8 3 2 2 2 2 5" xfId="10385" xr:uid="{73DF01E9-3B1A-4BD3-A79E-B367E48B92E7}"/>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18C8B732-9563-4446-B1AE-D6C011F7EEBF}"/>
    <cellStyle name="Normal 8 3 2 2 2 3 2 3" xfId="12943" xr:uid="{98C1183A-4CFC-47A3-81C6-17EDABAD1EE8}"/>
    <cellStyle name="Normal 8 3 2 2 2 3 3" xfId="5689" xr:uid="{00000000-0005-0000-0000-00003B1D0000}"/>
    <cellStyle name="Normal 8 3 2 2 2 3 3 2" xfId="15015" xr:uid="{17859EE9-AE3E-42B7-BAED-D6ABC12BBCB5}"/>
    <cellStyle name="Normal 8 3 2 2 2 3 4" xfId="10798" xr:uid="{7BDAC14D-CD7B-42D1-9F9B-EBD066FC70D3}"/>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F264C36C-1E8F-44DA-B0FB-69E5A8289300}"/>
    <cellStyle name="Normal 8 3 2 2 2 4 2 3" xfId="13356" xr:uid="{CC309A7E-ECB6-4D10-8CC8-A651DF2910B6}"/>
    <cellStyle name="Normal 8 3 2 2 2 4 3" xfId="6102" xr:uid="{00000000-0005-0000-0000-00003F1D0000}"/>
    <cellStyle name="Normal 8 3 2 2 2 4 3 2" xfId="15428" xr:uid="{D9283665-5DFE-4960-98DF-E001CF75DDED}"/>
    <cellStyle name="Normal 8 3 2 2 2 4 4" xfId="11211" xr:uid="{93093CF5-46FE-4DA4-AC67-F0086B473B66}"/>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2629FFF3-2A80-4630-9C81-24796402E5EB}"/>
    <cellStyle name="Normal 8 3 2 2 2 5 2 3" xfId="13769" xr:uid="{44FE15E0-55C5-471C-A1EE-4C7DF73FF3CA}"/>
    <cellStyle name="Normal 8 3 2 2 2 5 3" xfId="6515" xr:uid="{00000000-0005-0000-0000-0000431D0000}"/>
    <cellStyle name="Normal 8 3 2 2 2 5 3 2" xfId="15841" xr:uid="{CDCC5EAA-B031-455E-8771-28E70C6B0439}"/>
    <cellStyle name="Normal 8 3 2 2 2 5 4" xfId="11624" xr:uid="{91A81F40-B530-464D-835A-8DE5DE7DBE50}"/>
    <cellStyle name="Normal 8 3 2 2 2 6" xfId="2645" xr:uid="{00000000-0005-0000-0000-0000441D0000}"/>
    <cellStyle name="Normal 8 3 2 2 2 6 2" xfId="6928" xr:uid="{00000000-0005-0000-0000-0000451D0000}"/>
    <cellStyle name="Normal 8 3 2 2 2 6 2 2" xfId="16254" xr:uid="{9D224DDD-1778-40B9-B01F-1B84C182C76B}"/>
    <cellStyle name="Normal 8 3 2 2 2 6 3" xfId="12037" xr:uid="{7A735551-B75D-4174-80A6-E3D28552708E}"/>
    <cellStyle name="Normal 8 3 2 2 2 7" xfId="4863" xr:uid="{00000000-0005-0000-0000-0000461D0000}"/>
    <cellStyle name="Normal 8 3 2 2 2 7 2" xfId="14189" xr:uid="{4EBF42F7-A505-4115-B974-6E4775EC5492}"/>
    <cellStyle name="Normal 8 3 2 2 2 8" xfId="9147" xr:uid="{16780743-13F5-44BF-919B-157B86988913}"/>
    <cellStyle name="Normal 8 3 2 2 2 9" xfId="9972" xr:uid="{5A0D190A-0230-4F4F-B38B-1348C6818B3B}"/>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207712F0-7011-43DD-91CF-6CF312671D93}"/>
    <cellStyle name="Normal 8 3 2 2 3 2 3" xfId="12529" xr:uid="{94D869A4-F2A5-430E-8829-5CA56271F613}"/>
    <cellStyle name="Normal 8 3 2 2 3 3" xfId="5275" xr:uid="{00000000-0005-0000-0000-00004A1D0000}"/>
    <cellStyle name="Normal 8 3 2 2 3 3 2" xfId="14601" xr:uid="{2BF4FF97-27D2-4FA4-A8E6-3DD8A8BC3D2D}"/>
    <cellStyle name="Normal 8 3 2 2 3 4" xfId="9365" xr:uid="{47FF7C14-7484-41B9-856F-11398F7B2C7C}"/>
    <cellStyle name="Normal 8 3 2 2 3 5" xfId="10384" xr:uid="{3F406E4A-41FE-4B81-8061-52E8F00778B4}"/>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68C45450-C194-4468-99FC-591A214ECC57}"/>
    <cellStyle name="Normal 8 3 2 2 4 2 3" xfId="12942" xr:uid="{C51F2D68-B6AF-4F80-A795-46E27CBE8329}"/>
    <cellStyle name="Normal 8 3 2 2 4 3" xfId="5688" xr:uid="{00000000-0005-0000-0000-00004E1D0000}"/>
    <cellStyle name="Normal 8 3 2 2 4 3 2" xfId="15014" xr:uid="{C454DD52-1C49-4E7E-9A18-96B97EAC54DD}"/>
    <cellStyle name="Normal 8 3 2 2 4 4" xfId="10797" xr:uid="{471BED0C-EAE7-4D29-90BE-C36EBB34D8BE}"/>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A77A1279-A998-46F9-A7ED-BEF625D6A2CD}"/>
    <cellStyle name="Normal 8 3 2 2 5 2 3" xfId="13355" xr:uid="{535B1647-7E20-42CF-905D-CB68499ACD8A}"/>
    <cellStyle name="Normal 8 3 2 2 5 3" xfId="6101" xr:uid="{00000000-0005-0000-0000-0000521D0000}"/>
    <cellStyle name="Normal 8 3 2 2 5 3 2" xfId="15427" xr:uid="{4E7DA196-3784-4A36-ADE4-7B6AFADF9EC6}"/>
    <cellStyle name="Normal 8 3 2 2 5 4" xfId="11210" xr:uid="{6A8B902E-3959-4148-9F7F-1ACE3CA0859A}"/>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3C4B81B6-589B-4372-BA5A-DC605EF86DD5}"/>
    <cellStyle name="Normal 8 3 2 2 6 2 3" xfId="13768" xr:uid="{109331AF-D4F2-497A-B1F2-390C7E64C103}"/>
    <cellStyle name="Normal 8 3 2 2 6 3" xfId="6514" xr:uid="{00000000-0005-0000-0000-0000561D0000}"/>
    <cellStyle name="Normal 8 3 2 2 6 3 2" xfId="15840" xr:uid="{EAF6EC59-480D-48A2-9B49-74A49E0EB07A}"/>
    <cellStyle name="Normal 8 3 2 2 6 4" xfId="11623" xr:uid="{F78B17D8-74E2-4FB1-926D-3D5286FCD509}"/>
    <cellStyle name="Normal 8 3 2 2 7" xfId="2644" xr:uid="{00000000-0005-0000-0000-0000571D0000}"/>
    <cellStyle name="Normal 8 3 2 2 7 2" xfId="6927" xr:uid="{00000000-0005-0000-0000-0000581D0000}"/>
    <cellStyle name="Normal 8 3 2 2 7 2 2" xfId="16253" xr:uid="{38D245FD-1FD1-4F26-A054-65261F66FB18}"/>
    <cellStyle name="Normal 8 3 2 2 7 3" xfId="12036" xr:uid="{5BE40CA3-FA6E-4B9C-828C-7FCC4DEA2601}"/>
    <cellStyle name="Normal 8 3 2 2 8" xfId="4862" xr:uid="{00000000-0005-0000-0000-0000591D0000}"/>
    <cellStyle name="Normal 8 3 2 2 8 2" xfId="14188" xr:uid="{80CEA785-9C90-4A29-BC44-E82ED58CAD16}"/>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7B0AFB34-77E5-4348-B064-311F6D0DE80A}"/>
    <cellStyle name="Normal 8 3 2 3 2 2 3" xfId="12531" xr:uid="{12C7E37E-BF18-43A3-941C-AC86A5BC52E0}"/>
    <cellStyle name="Normal 8 3 2 3 2 3" xfId="5277" xr:uid="{00000000-0005-0000-0000-00005E1D0000}"/>
    <cellStyle name="Normal 8 3 2 3 2 3 2" xfId="14603" xr:uid="{CB5F94D6-F225-443C-A4AE-154AA93CB437}"/>
    <cellStyle name="Normal 8 3 2 3 2 4" xfId="9469" xr:uid="{7CA6C380-A6E9-4AF4-A29A-E40C8E9B5B5F}"/>
    <cellStyle name="Normal 8 3 2 3 2 5" xfId="10386" xr:uid="{29B3CD9B-0C5C-4A6D-895F-67272D02A7F5}"/>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915CC544-F8AF-4FFC-8E2D-0E3676448F84}"/>
    <cellStyle name="Normal 8 3 2 3 3 2 3" xfId="12944" xr:uid="{D1B9558B-AC8D-4C3A-A49A-7D814C15F635}"/>
    <cellStyle name="Normal 8 3 2 3 3 3" xfId="5690" xr:uid="{00000000-0005-0000-0000-0000621D0000}"/>
    <cellStyle name="Normal 8 3 2 3 3 3 2" xfId="15016" xr:uid="{222D8669-14C6-4BBA-A6C7-C8CE5430FE46}"/>
    <cellStyle name="Normal 8 3 2 3 3 4" xfId="10799" xr:uid="{54D80E7F-D4BD-4107-9B82-98E9D5E6626D}"/>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FC29A80F-7F82-45F7-BC08-B24F17D8DB9C}"/>
    <cellStyle name="Normal 8 3 2 3 4 2 3" xfId="13357" xr:uid="{5EFDB482-7CD7-49F2-94BE-F717341FDC0B}"/>
    <cellStyle name="Normal 8 3 2 3 4 3" xfId="6103" xr:uid="{00000000-0005-0000-0000-0000661D0000}"/>
    <cellStyle name="Normal 8 3 2 3 4 3 2" xfId="15429" xr:uid="{0434D0BD-E5E3-4053-9298-4CE5F2A6A500}"/>
    <cellStyle name="Normal 8 3 2 3 4 4" xfId="11212" xr:uid="{2E8B7EBC-8D60-4ABE-9A5C-F4F497198B40}"/>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4AF59D79-EED9-464E-B6F7-97E8303BA2CE}"/>
    <cellStyle name="Normal 8 3 2 3 5 2 3" xfId="13770" xr:uid="{0F4B4853-540D-4D08-9242-45DD5CEBC3AD}"/>
    <cellStyle name="Normal 8 3 2 3 5 3" xfId="6516" xr:uid="{00000000-0005-0000-0000-00006A1D0000}"/>
    <cellStyle name="Normal 8 3 2 3 5 3 2" xfId="15842" xr:uid="{A23DF199-4FAF-42AE-980E-85504B9849A1}"/>
    <cellStyle name="Normal 8 3 2 3 5 4" xfId="11625" xr:uid="{9394DB3A-EBD7-4DA8-ABDB-82B98B54F75A}"/>
    <cellStyle name="Normal 8 3 2 3 6" xfId="2646" xr:uid="{00000000-0005-0000-0000-00006B1D0000}"/>
    <cellStyle name="Normal 8 3 2 3 6 2" xfId="6929" xr:uid="{00000000-0005-0000-0000-00006C1D0000}"/>
    <cellStyle name="Normal 8 3 2 3 6 2 2" xfId="16255" xr:uid="{772F439D-DCC8-402F-935B-754809822207}"/>
    <cellStyle name="Normal 8 3 2 3 6 3" xfId="12038" xr:uid="{6E2E5A23-89B5-4EE9-B971-6F83C5FD048E}"/>
    <cellStyle name="Normal 8 3 2 3 7" xfId="4864" xr:uid="{00000000-0005-0000-0000-00006D1D0000}"/>
    <cellStyle name="Normal 8 3 2 3 7 2" xfId="14190" xr:uid="{05FCA253-66A2-4074-9DC4-C3316FFC06C8}"/>
    <cellStyle name="Normal 8 3 2 3 8" xfId="9044" xr:uid="{5ED49706-9CA9-4EE9-B01D-112CD1DB587C}"/>
    <cellStyle name="Normal 8 3 2 3 9" xfId="9973" xr:uid="{D3C343F8-7869-47AF-BFE0-8693EF089CD7}"/>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67E8D682-072A-4E7D-A69B-DB2BC3B2A3E5}"/>
    <cellStyle name="Normal 8 3 2 4 2 3" xfId="12528" xr:uid="{4FCFB6D2-1EDB-4EAA-98B1-E1ED6E6428A5}"/>
    <cellStyle name="Normal 8 3 2 4 3" xfId="5274" xr:uid="{00000000-0005-0000-0000-0000711D0000}"/>
    <cellStyle name="Normal 8 3 2 4 3 2" xfId="14600" xr:uid="{8A52CF32-CDBE-4520-8CA5-6EA7D88EEA83}"/>
    <cellStyle name="Normal 8 3 2 4 4" xfId="9262" xr:uid="{8842595C-CD28-4B10-9BE6-37883B4C2AA9}"/>
    <cellStyle name="Normal 8 3 2 4 5" xfId="10383" xr:uid="{FF4A9C52-4AD6-4418-9F0D-60A445A3B393}"/>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9B1AD84F-1F01-4AF3-90FA-117017A05C10}"/>
    <cellStyle name="Normal 8 3 2 5 2 3" xfId="12941" xr:uid="{15DD8C78-FE22-4E16-88A4-C77490E77AD7}"/>
    <cellStyle name="Normal 8 3 2 5 3" xfId="5687" xr:uid="{00000000-0005-0000-0000-0000751D0000}"/>
    <cellStyle name="Normal 8 3 2 5 3 2" xfId="15013" xr:uid="{A5E77985-E2D8-4C1B-A29E-37CE6BD42138}"/>
    <cellStyle name="Normal 8 3 2 5 4" xfId="10796" xr:uid="{991E3127-07E4-42A6-BBA9-58FC256228CA}"/>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A1EBAC8E-E522-4AA7-9E6A-26A6850E4519}"/>
    <cellStyle name="Normal 8 3 2 6 2 3" xfId="13354" xr:uid="{92244A0B-229C-4463-BC16-D22DD972EAD4}"/>
    <cellStyle name="Normal 8 3 2 6 3" xfId="6100" xr:uid="{00000000-0005-0000-0000-0000791D0000}"/>
    <cellStyle name="Normal 8 3 2 6 3 2" xfId="15426" xr:uid="{5AFF3F34-B669-4AE5-A647-FE2AE2DC6287}"/>
    <cellStyle name="Normal 8 3 2 6 4" xfId="11209" xr:uid="{73BB2651-0FCA-459C-9E3B-8DF63805CDC9}"/>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A8A680B8-8B1A-45C8-AB85-28169545DFB6}"/>
    <cellStyle name="Normal 8 3 2 7 2 3" xfId="13767" xr:uid="{493CD783-E24C-4520-A3AD-26DCDD1812D2}"/>
    <cellStyle name="Normal 8 3 2 7 3" xfId="6513" xr:uid="{00000000-0005-0000-0000-00007D1D0000}"/>
    <cellStyle name="Normal 8 3 2 7 3 2" xfId="15839" xr:uid="{D4A46A36-D90C-418F-BF51-84B31983DAE0}"/>
    <cellStyle name="Normal 8 3 2 7 4" xfId="11622" xr:uid="{C54C646F-AA66-44C1-B4CD-B186F492B30A}"/>
    <cellStyle name="Normal 8 3 2 8" xfId="2643" xr:uid="{00000000-0005-0000-0000-00007E1D0000}"/>
    <cellStyle name="Normal 8 3 2 8 2" xfId="6926" xr:uid="{00000000-0005-0000-0000-00007F1D0000}"/>
    <cellStyle name="Normal 8 3 2 8 2 2" xfId="16252" xr:uid="{BFAB3DA8-72C7-4FB7-9D96-E924F681FF31}"/>
    <cellStyle name="Normal 8 3 2 8 3" xfId="12035" xr:uid="{8903F69B-9957-47CB-B41E-0A6A5C32F85C}"/>
    <cellStyle name="Normal 8 3 2 9" xfId="4861" xr:uid="{00000000-0005-0000-0000-0000801D0000}"/>
    <cellStyle name="Normal 8 3 2 9 2" xfId="14187" xr:uid="{8DB1BAA3-CB84-41B8-9090-06B6E06C6E95}"/>
    <cellStyle name="Normal 8 3 3" xfId="500" xr:uid="{00000000-0005-0000-0000-0000811D0000}"/>
    <cellStyle name="Normal 8 3 3 10" xfId="9974" xr:uid="{D3D22108-9758-4DB2-94E7-652435EC2B09}"/>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E4629E9D-D0D2-4035-8DCF-7E3ED5010CD6}"/>
    <cellStyle name="Normal 8 3 3 2 2 2 3" xfId="12533" xr:uid="{8A8C60E6-2EB3-43E8-B220-5A29E5A99E9C}"/>
    <cellStyle name="Normal 8 3 3 2 2 3" xfId="5279" xr:uid="{00000000-0005-0000-0000-0000861D0000}"/>
    <cellStyle name="Normal 8 3 3 2 2 3 2" xfId="14605" xr:uid="{37CFB8EF-BCAC-4FBC-B26C-D7ACFF6FBC5F}"/>
    <cellStyle name="Normal 8 3 3 2 2 4" xfId="9509" xr:uid="{3B4378D3-7C51-4B91-822B-758528BFF352}"/>
    <cellStyle name="Normal 8 3 3 2 2 5" xfId="10388" xr:uid="{99A0F4E0-ECCB-421A-89D1-F4493AEFA24C}"/>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11565FD5-9744-4CE0-B57C-0F0666C698AE}"/>
    <cellStyle name="Normal 8 3 3 2 3 2 3" xfId="12946" xr:uid="{A16A93DA-2A76-4848-8BE8-B286C9E61379}"/>
    <cellStyle name="Normal 8 3 3 2 3 3" xfId="5692" xr:uid="{00000000-0005-0000-0000-00008A1D0000}"/>
    <cellStyle name="Normal 8 3 3 2 3 3 2" xfId="15018" xr:uid="{C6D8994C-B863-4275-ACD8-251BCB49C6F4}"/>
    <cellStyle name="Normal 8 3 3 2 3 4" xfId="10801" xr:uid="{E135A554-A1A6-42FC-8282-4776DB2B7764}"/>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276E8763-C676-4592-B1DA-3BF80A26BC13}"/>
    <cellStyle name="Normal 8 3 3 2 4 2 3" xfId="13359" xr:uid="{6506E168-592B-4A0D-9480-DE41B470D77B}"/>
    <cellStyle name="Normal 8 3 3 2 4 3" xfId="6105" xr:uid="{00000000-0005-0000-0000-00008E1D0000}"/>
    <cellStyle name="Normal 8 3 3 2 4 3 2" xfId="15431" xr:uid="{F6AEF995-418E-4C71-B25B-A8F2D4D16C7C}"/>
    <cellStyle name="Normal 8 3 3 2 4 4" xfId="11214" xr:uid="{AFB5888D-DE91-4C40-95EC-FB09B4F4522F}"/>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B1D4E9C8-4862-465B-9D3F-C1D0E2393AB8}"/>
    <cellStyle name="Normal 8 3 3 2 5 2 3" xfId="13772" xr:uid="{59F79748-381B-49D3-A212-862839C73BC2}"/>
    <cellStyle name="Normal 8 3 3 2 5 3" xfId="6518" xr:uid="{00000000-0005-0000-0000-0000921D0000}"/>
    <cellStyle name="Normal 8 3 3 2 5 3 2" xfId="15844" xr:uid="{EBA54A28-42F4-4DC6-91A7-03ED3D15BFAD}"/>
    <cellStyle name="Normal 8 3 3 2 5 4" xfId="11627" xr:uid="{0F0AE385-556A-44A7-BAC2-5D475E012C46}"/>
    <cellStyle name="Normal 8 3 3 2 6" xfId="2648" xr:uid="{00000000-0005-0000-0000-0000931D0000}"/>
    <cellStyle name="Normal 8 3 3 2 6 2" xfId="6931" xr:uid="{00000000-0005-0000-0000-0000941D0000}"/>
    <cellStyle name="Normal 8 3 3 2 6 2 2" xfId="16257" xr:uid="{D9EEADFC-BB36-4F9D-9EA6-F2B419DAD9B7}"/>
    <cellStyle name="Normal 8 3 3 2 6 3" xfId="12040" xr:uid="{3CF5DAAC-047E-44F0-94A2-11BEB7E7781D}"/>
    <cellStyle name="Normal 8 3 3 2 7" xfId="4866" xr:uid="{00000000-0005-0000-0000-0000951D0000}"/>
    <cellStyle name="Normal 8 3 3 2 7 2" xfId="14192" xr:uid="{787CF1E0-8CF7-452E-A9A0-AD9140A75EE2}"/>
    <cellStyle name="Normal 8 3 3 2 8" xfId="9084" xr:uid="{94243AB7-0454-4C95-8E94-054E46718167}"/>
    <cellStyle name="Normal 8 3 3 2 9" xfId="9975" xr:uid="{5AA0EBEA-C6C4-4698-ABC2-FD66D9A6D77A}"/>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E11FF1B8-CE34-403B-B130-DD1E0631E470}"/>
    <cellStyle name="Normal 8 3 3 3 2 3" xfId="12532" xr:uid="{DD3DB33F-5102-42FC-B33E-3F6544CCC0E7}"/>
    <cellStyle name="Normal 8 3 3 3 3" xfId="5278" xr:uid="{00000000-0005-0000-0000-0000991D0000}"/>
    <cellStyle name="Normal 8 3 3 3 3 2" xfId="14604" xr:uid="{C29C5A38-F5F8-44A6-9791-8BA75B9D7287}"/>
    <cellStyle name="Normal 8 3 3 3 4" xfId="9302" xr:uid="{3985B908-2B56-4F9B-BEA3-8962926FD004}"/>
    <cellStyle name="Normal 8 3 3 3 5" xfId="10387" xr:uid="{2E1E5D87-6A23-49DB-8D6F-7D5A83368C8A}"/>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A3294145-15C7-4C1D-A8A7-BDCA974F2A81}"/>
    <cellStyle name="Normal 8 3 3 4 2 3" xfId="12945" xr:uid="{F87B7815-0A43-403A-B695-E34B6B69AF5D}"/>
    <cellStyle name="Normal 8 3 3 4 3" xfId="5691" xr:uid="{00000000-0005-0000-0000-00009D1D0000}"/>
    <cellStyle name="Normal 8 3 3 4 3 2" xfId="15017" xr:uid="{CFFDCA7A-D55B-4304-B4E2-CFA9502386C9}"/>
    <cellStyle name="Normal 8 3 3 4 4" xfId="10800" xr:uid="{FDCDBFA6-8A4A-4287-891A-7D6349B38816}"/>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60FA7FB3-4693-492C-A161-FDE597A068CC}"/>
    <cellStyle name="Normal 8 3 3 5 2 3" xfId="13358" xr:uid="{6120ED09-352B-4C00-85AC-B300A79FB2CE}"/>
    <cellStyle name="Normal 8 3 3 5 3" xfId="6104" xr:uid="{00000000-0005-0000-0000-0000A11D0000}"/>
    <cellStyle name="Normal 8 3 3 5 3 2" xfId="15430" xr:uid="{52FCC916-3194-4173-91A9-8AA269892F47}"/>
    <cellStyle name="Normal 8 3 3 5 4" xfId="11213" xr:uid="{5CBC5B75-210C-47D4-BFB7-27925AF34E87}"/>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08180787-D15B-4DD3-90B9-8A8E862BECAA}"/>
    <cellStyle name="Normal 8 3 3 6 2 3" xfId="13771" xr:uid="{8312626F-E0BC-4A6D-AF76-C694FBB409F1}"/>
    <cellStyle name="Normal 8 3 3 6 3" xfId="6517" xr:uid="{00000000-0005-0000-0000-0000A51D0000}"/>
    <cellStyle name="Normal 8 3 3 6 3 2" xfId="15843" xr:uid="{A952058E-B15A-4C4A-BE2E-1B3E97858BAC}"/>
    <cellStyle name="Normal 8 3 3 6 4" xfId="11626" xr:uid="{0B09522A-A29F-42AE-9407-7BE0FE7BB929}"/>
    <cellStyle name="Normal 8 3 3 7" xfId="2647" xr:uid="{00000000-0005-0000-0000-0000A61D0000}"/>
    <cellStyle name="Normal 8 3 3 7 2" xfId="6930" xr:uid="{00000000-0005-0000-0000-0000A71D0000}"/>
    <cellStyle name="Normal 8 3 3 7 2 2" xfId="16256" xr:uid="{73A0E2B0-0FA1-4E61-A1FD-F68B2BD0B250}"/>
    <cellStyle name="Normal 8 3 3 7 3" xfId="12039" xr:uid="{4C4E7103-FB16-4B39-9584-74C2E8471A27}"/>
    <cellStyle name="Normal 8 3 3 8" xfId="4865" xr:uid="{00000000-0005-0000-0000-0000A81D0000}"/>
    <cellStyle name="Normal 8 3 3 8 2" xfId="14191" xr:uid="{97B3EB6A-2053-4411-846D-EDD033230DA4}"/>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567426AD-E66A-4083-81ED-89319296B44E}"/>
    <cellStyle name="Normal 8 3 4 2 2 3" xfId="12534" xr:uid="{0FB7C36E-FAD4-43D5-BB06-982604E02D94}"/>
    <cellStyle name="Normal 8 3 4 2 3" xfId="5280" xr:uid="{00000000-0005-0000-0000-0000AD1D0000}"/>
    <cellStyle name="Normal 8 3 4 2 3 2" xfId="14606" xr:uid="{9EE0409F-4AFD-4698-B6C1-77A7661BE31F}"/>
    <cellStyle name="Normal 8 3 4 2 4" xfId="9406" xr:uid="{8751BE45-E47B-4A0A-B0DE-04C14FAEA88D}"/>
    <cellStyle name="Normal 8 3 4 2 5" xfId="10389" xr:uid="{72488E06-712B-4DAD-A046-BF47EAA60412}"/>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E9259BC2-959D-4EB3-8B21-2BD4BB9718BA}"/>
    <cellStyle name="Normal 8 3 4 3 2 3" xfId="12947" xr:uid="{E818C1C6-FAA2-4B41-8FDA-98EEFC97EB27}"/>
    <cellStyle name="Normal 8 3 4 3 3" xfId="5693" xr:uid="{00000000-0005-0000-0000-0000B11D0000}"/>
    <cellStyle name="Normal 8 3 4 3 3 2" xfId="15019" xr:uid="{1A08D5E5-D754-4319-A16F-5650FB623B78}"/>
    <cellStyle name="Normal 8 3 4 3 4" xfId="10802" xr:uid="{523D118C-C25E-4D00-A2A1-A2F37666D7EA}"/>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21AEA8EA-ED5E-40FA-948D-CC3EA183DDDF}"/>
    <cellStyle name="Normal 8 3 4 4 2 3" xfId="13360" xr:uid="{F6266EC6-92B6-4B94-BC80-56CEF1A4D6E3}"/>
    <cellStyle name="Normal 8 3 4 4 3" xfId="6106" xr:uid="{00000000-0005-0000-0000-0000B51D0000}"/>
    <cellStyle name="Normal 8 3 4 4 3 2" xfId="15432" xr:uid="{EA408A9B-6B8B-40F8-BD6A-8307BBD85EA3}"/>
    <cellStyle name="Normal 8 3 4 4 4" xfId="11215" xr:uid="{39BFA5BB-AE09-4031-BC04-65281BF147FB}"/>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0783C3D9-F11C-43AE-AD9B-9131C75B73D5}"/>
    <cellStyle name="Normal 8 3 4 5 2 3" xfId="13773" xr:uid="{76BF95C4-6A2E-4D12-8764-77162074D9B1}"/>
    <cellStyle name="Normal 8 3 4 5 3" xfId="6519" xr:uid="{00000000-0005-0000-0000-0000B91D0000}"/>
    <cellStyle name="Normal 8 3 4 5 3 2" xfId="15845" xr:uid="{25C782F2-CD6E-412F-9DBB-48BE064A9433}"/>
    <cellStyle name="Normal 8 3 4 5 4" xfId="11628" xr:uid="{1CE4DE32-489C-4E26-8EC9-3EC54A257E8E}"/>
    <cellStyle name="Normal 8 3 4 6" xfId="2649" xr:uid="{00000000-0005-0000-0000-0000BA1D0000}"/>
    <cellStyle name="Normal 8 3 4 6 2" xfId="6932" xr:uid="{00000000-0005-0000-0000-0000BB1D0000}"/>
    <cellStyle name="Normal 8 3 4 6 2 2" xfId="16258" xr:uid="{A0FC7AF7-E160-4EBD-81A0-32E516A5B93A}"/>
    <cellStyle name="Normal 8 3 4 6 3" xfId="12041" xr:uid="{FA36442B-6264-4506-B106-230815E826B2}"/>
    <cellStyle name="Normal 8 3 4 7" xfId="4867" xr:uid="{00000000-0005-0000-0000-0000BC1D0000}"/>
    <cellStyle name="Normal 8 3 4 7 2" xfId="14193" xr:uid="{AB47F166-5735-4590-ADC5-27385A1B1DA8}"/>
    <cellStyle name="Normal 8 3 4 8" xfId="8981" xr:uid="{BEE184E9-ECE6-4107-B29A-CC8BC7F28FA3}"/>
    <cellStyle name="Normal 8 3 4 9" xfId="9976" xr:uid="{770F7051-8B2E-4A1F-9703-284BFBB4F979}"/>
    <cellStyle name="Normal 8 3 5" xfId="962" xr:uid="{00000000-0005-0000-0000-0000BD1D0000}"/>
    <cellStyle name="Normal 8 3 5 2" xfId="3196" xr:uid="{00000000-0005-0000-0000-0000BE1D0000}"/>
    <cellStyle name="Normal 8 3 5 2 2" xfId="7418" xr:uid="{00000000-0005-0000-0000-0000BF1D0000}"/>
    <cellStyle name="Normal 8 3 5 2 2 2" xfId="16744" xr:uid="{4691BCA1-A172-4D4D-93A8-8D94CB6380D3}"/>
    <cellStyle name="Normal 8 3 5 2 3" xfId="12527" xr:uid="{CFBA1026-1518-40F2-BA44-9F4528C39847}"/>
    <cellStyle name="Normal 8 3 5 3" xfId="5273" xr:uid="{00000000-0005-0000-0000-0000C01D0000}"/>
    <cellStyle name="Normal 8 3 5 3 2" xfId="14599" xr:uid="{3AB0E500-9277-4B8A-A05F-7AB93C31F3E1}"/>
    <cellStyle name="Normal 8 3 5 4" xfId="9198" xr:uid="{FA5A5C79-C3AC-4E17-9344-90C4E411EE0B}"/>
    <cellStyle name="Normal 8 3 5 5" xfId="10382" xr:uid="{0DDD4FFA-EDCB-44A1-91E4-B8D36D2D3560}"/>
    <cellStyle name="Normal 8 3 6" xfId="1379" xr:uid="{00000000-0005-0000-0000-0000C11D0000}"/>
    <cellStyle name="Normal 8 3 6 2" xfId="3609" xr:uid="{00000000-0005-0000-0000-0000C21D0000}"/>
    <cellStyle name="Normal 8 3 6 2 2" xfId="7831" xr:uid="{00000000-0005-0000-0000-0000C31D0000}"/>
    <cellStyle name="Normal 8 3 6 2 2 2" xfId="17157" xr:uid="{5B9204B5-D7F6-4A54-B3A9-3CBD08A55D74}"/>
    <cellStyle name="Normal 8 3 6 2 3" xfId="12940" xr:uid="{9F254B59-BD7C-44C7-8F16-8BEE549BCF52}"/>
    <cellStyle name="Normal 8 3 6 3" xfId="5686" xr:uid="{00000000-0005-0000-0000-0000C41D0000}"/>
    <cellStyle name="Normal 8 3 6 3 2" xfId="15012" xr:uid="{974AE047-AE12-41AA-9B96-E81A57325FF3}"/>
    <cellStyle name="Normal 8 3 6 4" xfId="10795" xr:uid="{724DCB6F-5994-4C37-957D-1923A3E99343}"/>
    <cellStyle name="Normal 8 3 7" xfId="1792" xr:uid="{00000000-0005-0000-0000-0000C51D0000}"/>
    <cellStyle name="Normal 8 3 7 2" xfId="4022" xr:uid="{00000000-0005-0000-0000-0000C61D0000}"/>
    <cellStyle name="Normal 8 3 7 2 2" xfId="8244" xr:uid="{00000000-0005-0000-0000-0000C71D0000}"/>
    <cellStyle name="Normal 8 3 7 2 2 2" xfId="17570" xr:uid="{8E573102-FC14-4C35-BB94-9BC16E48C33D}"/>
    <cellStyle name="Normal 8 3 7 2 3" xfId="13353" xr:uid="{8AF94A03-83F1-472C-8D72-C0B4BD07F650}"/>
    <cellStyle name="Normal 8 3 7 3" xfId="6099" xr:uid="{00000000-0005-0000-0000-0000C81D0000}"/>
    <cellStyle name="Normal 8 3 7 3 2" xfId="15425" xr:uid="{F439BE93-360F-4A56-A65F-DED93CE600D0}"/>
    <cellStyle name="Normal 8 3 7 4" xfId="11208" xr:uid="{6B34D71E-6CAE-47D5-88E7-EDEDC96B07FA}"/>
    <cellStyle name="Normal 8 3 8" xfId="2206" xr:uid="{00000000-0005-0000-0000-0000C91D0000}"/>
    <cellStyle name="Normal 8 3 8 2" xfId="4435" xr:uid="{00000000-0005-0000-0000-0000CA1D0000}"/>
    <cellStyle name="Normal 8 3 8 2 2" xfId="8657" xr:uid="{00000000-0005-0000-0000-0000CB1D0000}"/>
    <cellStyle name="Normal 8 3 8 2 2 2" xfId="17983" xr:uid="{11A85477-2469-4DB4-96ED-C881FE67E68B}"/>
    <cellStyle name="Normal 8 3 8 2 3" xfId="13766" xr:uid="{D5E830DD-DBB4-4F1E-A76E-F3317A53966E}"/>
    <cellStyle name="Normal 8 3 8 3" xfId="6512" xr:uid="{00000000-0005-0000-0000-0000CC1D0000}"/>
    <cellStyle name="Normal 8 3 8 3 2" xfId="15838" xr:uid="{3E52475C-5FE9-4ABF-995D-F6A889E240EF}"/>
    <cellStyle name="Normal 8 3 8 4" xfId="11621" xr:uid="{455C2F30-811B-46DC-A6B9-A41FD52063A5}"/>
    <cellStyle name="Normal 8 3 9" xfId="2642" xr:uid="{00000000-0005-0000-0000-0000CD1D0000}"/>
    <cellStyle name="Normal 8 3 9 2" xfId="6925" xr:uid="{00000000-0005-0000-0000-0000CE1D0000}"/>
    <cellStyle name="Normal 8 3 9 2 2" xfId="16251" xr:uid="{B5354D6A-3D6F-4815-8AFA-53510306494A}"/>
    <cellStyle name="Normal 8 3 9 3" xfId="12034" xr:uid="{F45EFB76-F1A4-4E00-BA41-C5294BED43DE}"/>
    <cellStyle name="Normal 8 4" xfId="503" xr:uid="{00000000-0005-0000-0000-0000CF1D0000}"/>
    <cellStyle name="Normal 8 4 10" xfId="8834" xr:uid="{78848A4E-06FA-4050-B553-A3A7DEA1B047}"/>
    <cellStyle name="Normal 8 4 11" xfId="9977" xr:uid="{75EEBBF6-5C79-498F-8065-22B27599817D}"/>
    <cellStyle name="Normal 8 4 2" xfId="504" xr:uid="{00000000-0005-0000-0000-0000D01D0000}"/>
    <cellStyle name="Normal 8 4 2 10" xfId="9978" xr:uid="{752738F8-395B-4E49-82B7-F17EC2019334}"/>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782F799A-7D60-4E24-AFC7-943C3F28A9E5}"/>
    <cellStyle name="Normal 8 4 2 2 2 2 3" xfId="12537" xr:uid="{2976B970-DDD7-483B-AF87-AFAA925995F6}"/>
    <cellStyle name="Normal 8 4 2 2 2 3" xfId="5283" xr:uid="{00000000-0005-0000-0000-0000D51D0000}"/>
    <cellStyle name="Normal 8 4 2 2 2 3 2" xfId="14609" xr:uid="{CEE0220B-551D-43AD-991C-502CA630F894}"/>
    <cellStyle name="Normal 8 4 2 2 2 4" xfId="9569" xr:uid="{F21122F8-27BB-4D46-891E-281F736F5353}"/>
    <cellStyle name="Normal 8 4 2 2 2 5" xfId="10392" xr:uid="{B79DADCC-3EB0-448F-B170-3E33354FDB70}"/>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35EBD38C-4CFB-441A-861A-AC5D98F6CBAD}"/>
    <cellStyle name="Normal 8 4 2 2 3 2 3" xfId="12950" xr:uid="{FBB23E66-8D7F-42C2-A756-CC42FE50128C}"/>
    <cellStyle name="Normal 8 4 2 2 3 3" xfId="5696" xr:uid="{00000000-0005-0000-0000-0000D91D0000}"/>
    <cellStyle name="Normal 8 4 2 2 3 3 2" xfId="15022" xr:uid="{5190FA5D-F90D-4A9F-BFFA-B1161809E492}"/>
    <cellStyle name="Normal 8 4 2 2 3 4" xfId="10805" xr:uid="{5135C48F-32B1-4063-A44B-BCDB5608679A}"/>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D4C90CEE-56EB-493C-81B2-A3969EACB78C}"/>
    <cellStyle name="Normal 8 4 2 2 4 2 3" xfId="13363" xr:uid="{06910777-D454-4B50-90BB-17C1F2A00397}"/>
    <cellStyle name="Normal 8 4 2 2 4 3" xfId="6109" xr:uid="{00000000-0005-0000-0000-0000DD1D0000}"/>
    <cellStyle name="Normal 8 4 2 2 4 3 2" xfId="15435" xr:uid="{D9477977-C001-4E16-90B9-73EF9FEEBB3F}"/>
    <cellStyle name="Normal 8 4 2 2 4 4" xfId="11218" xr:uid="{19C1C8FC-C758-403E-B267-E2B1FFCC4C57}"/>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CB5E6960-9348-4476-8EB5-4AE794C1FC0D}"/>
    <cellStyle name="Normal 8 4 2 2 5 2 3" xfId="13776" xr:uid="{A6574DD4-EDB3-4DD5-84DB-AC1A6053AB00}"/>
    <cellStyle name="Normal 8 4 2 2 5 3" xfId="6522" xr:uid="{00000000-0005-0000-0000-0000E11D0000}"/>
    <cellStyle name="Normal 8 4 2 2 5 3 2" xfId="15848" xr:uid="{586DF410-ACE6-4E31-996C-DB896AAA8FE0}"/>
    <cellStyle name="Normal 8 4 2 2 5 4" xfId="11631" xr:uid="{16834AA9-CC3C-426E-AE5A-C4DAF7D7755F}"/>
    <cellStyle name="Normal 8 4 2 2 6" xfId="2652" xr:uid="{00000000-0005-0000-0000-0000E21D0000}"/>
    <cellStyle name="Normal 8 4 2 2 6 2" xfId="6935" xr:uid="{00000000-0005-0000-0000-0000E31D0000}"/>
    <cellStyle name="Normal 8 4 2 2 6 2 2" xfId="16261" xr:uid="{AB790D27-80CF-4B8E-A67C-A1AE2C0F6268}"/>
    <cellStyle name="Normal 8 4 2 2 6 3" xfId="12044" xr:uid="{E149A9F5-8340-4440-BC87-2383EB406C0F}"/>
    <cellStyle name="Normal 8 4 2 2 7" xfId="4870" xr:uid="{00000000-0005-0000-0000-0000E41D0000}"/>
    <cellStyle name="Normal 8 4 2 2 7 2" xfId="14196" xr:uid="{E4484D99-5B8A-4DDF-ACCB-8B76F0AF26AE}"/>
    <cellStyle name="Normal 8 4 2 2 8" xfId="9144" xr:uid="{EF6B0978-3DE8-47DC-990C-0B47AAC8F1DC}"/>
    <cellStyle name="Normal 8 4 2 2 9" xfId="9979" xr:uid="{66D74A9D-0382-448D-B4BD-6D092332E3F4}"/>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3A76579D-10BF-402E-B294-660F92FFF98E}"/>
    <cellStyle name="Normal 8 4 2 3 2 3" xfId="12536" xr:uid="{5A060429-3A87-4506-97F1-F7FFC5C4E618}"/>
    <cellStyle name="Normal 8 4 2 3 3" xfId="5282" xr:uid="{00000000-0005-0000-0000-0000E81D0000}"/>
    <cellStyle name="Normal 8 4 2 3 3 2" xfId="14608" xr:uid="{D0481D33-B65F-48A7-838A-566DBB786BCE}"/>
    <cellStyle name="Normal 8 4 2 3 4" xfId="9362" xr:uid="{206856BB-FDDB-4012-ABFE-5E991E477A14}"/>
    <cellStyle name="Normal 8 4 2 3 5" xfId="10391" xr:uid="{B7EF0EDD-1AA7-47A4-96B1-755F9A1F15DF}"/>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8F0DB46B-CC27-4C36-9540-71EE6E927009}"/>
    <cellStyle name="Normal 8 4 2 4 2 3" xfId="12949" xr:uid="{D45D0B99-4BA6-48DC-93A0-D25DF84DA916}"/>
    <cellStyle name="Normal 8 4 2 4 3" xfId="5695" xr:uid="{00000000-0005-0000-0000-0000EC1D0000}"/>
    <cellStyle name="Normal 8 4 2 4 3 2" xfId="15021" xr:uid="{A60794D9-EB95-4FC7-AF5F-410C7979ADCD}"/>
    <cellStyle name="Normal 8 4 2 4 4" xfId="10804" xr:uid="{2A4733CE-3CA8-4B29-A568-24E12D4109EE}"/>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064535A2-77E7-4B6A-A8A7-9C87D9829C10}"/>
    <cellStyle name="Normal 8 4 2 5 2 3" xfId="13362" xr:uid="{D6EC4E61-4552-4494-8149-E896CA9D78F4}"/>
    <cellStyle name="Normal 8 4 2 5 3" xfId="6108" xr:uid="{00000000-0005-0000-0000-0000F01D0000}"/>
    <cellStyle name="Normal 8 4 2 5 3 2" xfId="15434" xr:uid="{77C7F6EE-63B6-4B73-965E-294B39BA9133}"/>
    <cellStyle name="Normal 8 4 2 5 4" xfId="11217" xr:uid="{D3F9DB47-3EF0-4D2F-9C89-EC2C6F31B414}"/>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9DD507B2-45CD-4279-B1AC-B5539E05B4C1}"/>
    <cellStyle name="Normal 8 4 2 6 2 3" xfId="13775" xr:uid="{B4FE8ACF-62C4-4BDF-8F4B-3E094CD5F762}"/>
    <cellStyle name="Normal 8 4 2 6 3" xfId="6521" xr:uid="{00000000-0005-0000-0000-0000F41D0000}"/>
    <cellStyle name="Normal 8 4 2 6 3 2" xfId="15847" xr:uid="{554D407F-9181-49BB-8980-5AF2E2E4CEAC}"/>
    <cellStyle name="Normal 8 4 2 6 4" xfId="11630" xr:uid="{5D98AF5E-55CE-4775-9968-CFE07106AFA8}"/>
    <cellStyle name="Normal 8 4 2 7" xfId="2651" xr:uid="{00000000-0005-0000-0000-0000F51D0000}"/>
    <cellStyle name="Normal 8 4 2 7 2" xfId="6934" xr:uid="{00000000-0005-0000-0000-0000F61D0000}"/>
    <cellStyle name="Normal 8 4 2 7 2 2" xfId="16260" xr:uid="{B77BBFFE-5D25-4D86-8B81-9BD3DB83DCFF}"/>
    <cellStyle name="Normal 8 4 2 7 3" xfId="12043" xr:uid="{85E8F16D-15F3-47EE-9096-9D45DDC4C49F}"/>
    <cellStyle name="Normal 8 4 2 8" xfId="4869" xr:uid="{00000000-0005-0000-0000-0000F71D0000}"/>
    <cellStyle name="Normal 8 4 2 8 2" xfId="14195" xr:uid="{8158D36F-2648-491E-B326-6F3DEA07C1D6}"/>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B188A9A5-1F14-4A71-8CFF-3F3CC227D620}"/>
    <cellStyle name="Normal 8 4 3 2 2 3" xfId="12538" xr:uid="{4D4F491F-9084-4160-B2C5-F61FCD27CB15}"/>
    <cellStyle name="Normal 8 4 3 2 3" xfId="5284" xr:uid="{00000000-0005-0000-0000-0000FC1D0000}"/>
    <cellStyle name="Normal 8 4 3 2 3 2" xfId="14610" xr:uid="{A19AD06C-7EA3-4D72-B2F2-40CFAD087D48}"/>
    <cellStyle name="Normal 8 4 3 2 4" xfId="9466" xr:uid="{4C42748F-6D34-4D0D-8AE2-FFD5C0CBE26F}"/>
    <cellStyle name="Normal 8 4 3 2 5" xfId="10393" xr:uid="{EA2A082B-5B09-4D80-9D17-D8AC059A4209}"/>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76AD1E31-0C71-42F1-B646-8F839778184C}"/>
    <cellStyle name="Normal 8 4 3 3 2 3" xfId="12951" xr:uid="{9905515B-5690-467F-876C-CF236BBF4EB3}"/>
    <cellStyle name="Normal 8 4 3 3 3" xfId="5697" xr:uid="{00000000-0005-0000-0000-0000001E0000}"/>
    <cellStyle name="Normal 8 4 3 3 3 2" xfId="15023" xr:uid="{1128A337-A7AB-440D-A6E3-47E88F95936C}"/>
    <cellStyle name="Normal 8 4 3 3 4" xfId="10806" xr:uid="{9865A287-9A1A-4A77-8F1B-9C76C700823B}"/>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4EDF7911-C2BD-4AB1-AEA1-E6AABF44A2A5}"/>
    <cellStyle name="Normal 8 4 3 4 2 3" xfId="13364" xr:uid="{50CB24BA-6D74-4BFF-98C8-FCD1402B9C86}"/>
    <cellStyle name="Normal 8 4 3 4 3" xfId="6110" xr:uid="{00000000-0005-0000-0000-0000041E0000}"/>
    <cellStyle name="Normal 8 4 3 4 3 2" xfId="15436" xr:uid="{13F7AC2D-A6C6-47F1-BEFE-2A93B1F51FFC}"/>
    <cellStyle name="Normal 8 4 3 4 4" xfId="11219" xr:uid="{6292B231-943B-4CF6-A8E5-D7F95AEB15BC}"/>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71FFC4AF-14F0-4AB8-8ECF-1E0DB3E0F8E7}"/>
    <cellStyle name="Normal 8 4 3 5 2 3" xfId="13777" xr:uid="{4041B1AF-10DE-4B0A-A88C-F2932509918A}"/>
    <cellStyle name="Normal 8 4 3 5 3" xfId="6523" xr:uid="{00000000-0005-0000-0000-0000081E0000}"/>
    <cellStyle name="Normal 8 4 3 5 3 2" xfId="15849" xr:uid="{F41A88F9-BAAF-4094-A1E4-FEFDE565589C}"/>
    <cellStyle name="Normal 8 4 3 5 4" xfId="11632" xr:uid="{E614F3B1-6873-45B2-A9F1-29A20E1533D6}"/>
    <cellStyle name="Normal 8 4 3 6" xfId="2653" xr:uid="{00000000-0005-0000-0000-0000091E0000}"/>
    <cellStyle name="Normal 8 4 3 6 2" xfId="6936" xr:uid="{00000000-0005-0000-0000-00000A1E0000}"/>
    <cellStyle name="Normal 8 4 3 6 2 2" xfId="16262" xr:uid="{6360D114-420F-4940-B4AB-D3A4BCEAFEA0}"/>
    <cellStyle name="Normal 8 4 3 6 3" xfId="12045" xr:uid="{F75D37A3-8A00-40BB-ACB6-9068C6712091}"/>
    <cellStyle name="Normal 8 4 3 7" xfId="4871" xr:uid="{00000000-0005-0000-0000-00000B1E0000}"/>
    <cellStyle name="Normal 8 4 3 7 2" xfId="14197" xr:uid="{85338274-46B3-47D9-8CC9-054E1F7B4B80}"/>
    <cellStyle name="Normal 8 4 3 8" xfId="9041" xr:uid="{3EA15F1E-D38A-4BB8-BEC6-98D9A94BB79B}"/>
    <cellStyle name="Normal 8 4 3 9" xfId="9980" xr:uid="{C07C9BEE-7B2B-4456-80B9-91E09BB2DFA2}"/>
    <cellStyle name="Normal 8 4 4" xfId="970" xr:uid="{00000000-0005-0000-0000-00000C1E0000}"/>
    <cellStyle name="Normal 8 4 4 2" xfId="3204" xr:uid="{00000000-0005-0000-0000-00000D1E0000}"/>
    <cellStyle name="Normal 8 4 4 2 2" xfId="7426" xr:uid="{00000000-0005-0000-0000-00000E1E0000}"/>
    <cellStyle name="Normal 8 4 4 2 2 2" xfId="16752" xr:uid="{CCE4663E-1394-40D1-81B1-28255A84DA53}"/>
    <cellStyle name="Normal 8 4 4 2 3" xfId="12535" xr:uid="{9BDCDAC4-0C39-43DE-8E58-89D0CE3E9697}"/>
    <cellStyle name="Normal 8 4 4 3" xfId="5281" xr:uid="{00000000-0005-0000-0000-00000F1E0000}"/>
    <cellStyle name="Normal 8 4 4 3 2" xfId="14607" xr:uid="{75AF1352-D5C9-4763-90B8-14A34AEAF3CA}"/>
    <cellStyle name="Normal 8 4 4 4" xfId="9259" xr:uid="{45904BAA-3C39-482B-A2B6-0FB84C0B889C}"/>
    <cellStyle name="Normal 8 4 4 5" xfId="10390" xr:uid="{E87296CC-41F0-4C39-9C9F-3F1FF47B2420}"/>
    <cellStyle name="Normal 8 4 5" xfId="1387" xr:uid="{00000000-0005-0000-0000-0000101E0000}"/>
    <cellStyle name="Normal 8 4 5 2" xfId="3617" xr:uid="{00000000-0005-0000-0000-0000111E0000}"/>
    <cellStyle name="Normal 8 4 5 2 2" xfId="7839" xr:uid="{00000000-0005-0000-0000-0000121E0000}"/>
    <cellStyle name="Normal 8 4 5 2 2 2" xfId="17165" xr:uid="{67DA4AFF-B13F-4786-8D7E-D65E06A516A0}"/>
    <cellStyle name="Normal 8 4 5 2 3" xfId="12948" xr:uid="{64892E4F-98AC-467B-A210-A0A4D05F3B86}"/>
    <cellStyle name="Normal 8 4 5 3" xfId="5694" xr:uid="{00000000-0005-0000-0000-0000131E0000}"/>
    <cellStyle name="Normal 8 4 5 3 2" xfId="15020" xr:uid="{6B6DB016-2471-4C59-8D01-18E6C81BB8F3}"/>
    <cellStyle name="Normal 8 4 5 4" xfId="10803" xr:uid="{861F8FBD-163B-46C3-BA90-78D585464F68}"/>
    <cellStyle name="Normal 8 4 6" xfId="1800" xr:uid="{00000000-0005-0000-0000-0000141E0000}"/>
    <cellStyle name="Normal 8 4 6 2" xfId="4030" xr:uid="{00000000-0005-0000-0000-0000151E0000}"/>
    <cellStyle name="Normal 8 4 6 2 2" xfId="8252" xr:uid="{00000000-0005-0000-0000-0000161E0000}"/>
    <cellStyle name="Normal 8 4 6 2 2 2" xfId="17578" xr:uid="{1A53DF9D-C697-407E-86CC-C79259BE4283}"/>
    <cellStyle name="Normal 8 4 6 2 3" xfId="13361" xr:uid="{54C52177-888E-4D24-9D0E-0444EFA28F3A}"/>
    <cellStyle name="Normal 8 4 6 3" xfId="6107" xr:uid="{00000000-0005-0000-0000-0000171E0000}"/>
    <cellStyle name="Normal 8 4 6 3 2" xfId="15433" xr:uid="{5B4C7DF3-F295-499C-8CB5-BB20036A91A2}"/>
    <cellStyle name="Normal 8 4 6 4" xfId="11216" xr:uid="{BD741093-E8FB-470D-B05B-39C4C6696793}"/>
    <cellStyle name="Normal 8 4 7" xfId="2214" xr:uid="{00000000-0005-0000-0000-0000181E0000}"/>
    <cellStyle name="Normal 8 4 7 2" xfId="4443" xr:uid="{00000000-0005-0000-0000-0000191E0000}"/>
    <cellStyle name="Normal 8 4 7 2 2" xfId="8665" xr:uid="{00000000-0005-0000-0000-00001A1E0000}"/>
    <cellStyle name="Normal 8 4 7 2 2 2" xfId="17991" xr:uid="{9A021EC5-7498-47A3-B2F6-84B2C88F9220}"/>
    <cellStyle name="Normal 8 4 7 2 3" xfId="13774" xr:uid="{AB652DCF-8B27-4221-8CC0-3352F1A8881F}"/>
    <cellStyle name="Normal 8 4 7 3" xfId="6520" xr:uid="{00000000-0005-0000-0000-00001B1E0000}"/>
    <cellStyle name="Normal 8 4 7 3 2" xfId="15846" xr:uid="{96BAEDC8-6F9E-489F-9D76-99BC69953929}"/>
    <cellStyle name="Normal 8 4 7 4" xfId="11629" xr:uid="{EBCFC0C3-4A47-4897-A194-388AE3A18252}"/>
    <cellStyle name="Normal 8 4 8" xfId="2650" xr:uid="{00000000-0005-0000-0000-00001C1E0000}"/>
    <cellStyle name="Normal 8 4 8 2" xfId="6933" xr:uid="{00000000-0005-0000-0000-00001D1E0000}"/>
    <cellStyle name="Normal 8 4 8 2 2" xfId="16259" xr:uid="{13353678-FB21-46C1-AC43-90598464396F}"/>
    <cellStyle name="Normal 8 4 8 3" xfId="12042" xr:uid="{C4062D68-5210-4798-B782-2A9FB3C6905D}"/>
    <cellStyle name="Normal 8 4 9" xfId="4868" xr:uid="{00000000-0005-0000-0000-00001E1E0000}"/>
    <cellStyle name="Normal 8 4 9 2" xfId="14194" xr:uid="{0AFFF310-EB6E-405D-82B4-3AFA95770AEA}"/>
    <cellStyle name="Normal 8 5" xfId="507" xr:uid="{00000000-0005-0000-0000-00001F1E0000}"/>
    <cellStyle name="Normal 8 5 10" xfId="9981" xr:uid="{F8C3B8FB-C35A-4B33-A8B3-39C910FA8927}"/>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266A00B6-AADC-49CA-897F-F719800F30EB}"/>
    <cellStyle name="Normal 8 5 2 2 2 3" xfId="12540" xr:uid="{8254CA00-22A9-467C-A508-C3F6D5975B16}"/>
    <cellStyle name="Normal 8 5 2 2 3" xfId="5286" xr:uid="{00000000-0005-0000-0000-0000241E0000}"/>
    <cellStyle name="Normal 8 5 2 2 3 2" xfId="14612" xr:uid="{09E4B1F3-D24A-4AA3-B2F4-07E300CEB996}"/>
    <cellStyle name="Normal 8 5 2 2 4" xfId="9477" xr:uid="{62ED1F43-6081-4B0B-94C3-5999D37D11C7}"/>
    <cellStyle name="Normal 8 5 2 2 5" xfId="10395" xr:uid="{4A913030-80DA-4689-BA41-06001DF5B620}"/>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A114D191-AFC0-4DC0-85DE-EE4D2B55F453}"/>
    <cellStyle name="Normal 8 5 2 3 2 3" xfId="12953" xr:uid="{35998C2A-2F3F-4312-828C-CB2D3538E4B5}"/>
    <cellStyle name="Normal 8 5 2 3 3" xfId="5699" xr:uid="{00000000-0005-0000-0000-0000281E0000}"/>
    <cellStyle name="Normal 8 5 2 3 3 2" xfId="15025" xr:uid="{7A35B2F0-CEAE-4F6A-92F0-21B06565246E}"/>
    <cellStyle name="Normal 8 5 2 3 4" xfId="10808" xr:uid="{F67FCD69-2693-4458-80F7-90480BDB0B1C}"/>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0CE83A8D-B492-4598-AA4A-3F24B8BCBB35}"/>
    <cellStyle name="Normal 8 5 2 4 2 3" xfId="13366" xr:uid="{B6FE4927-FA31-4981-A00A-EDBA1B085AB4}"/>
    <cellStyle name="Normal 8 5 2 4 3" xfId="6112" xr:uid="{00000000-0005-0000-0000-00002C1E0000}"/>
    <cellStyle name="Normal 8 5 2 4 3 2" xfId="15438" xr:uid="{64E2EC94-A81F-49A5-B088-29A557CF1EB0}"/>
    <cellStyle name="Normal 8 5 2 4 4" xfId="11221" xr:uid="{42271BEE-0323-4B69-999F-D3A12046011A}"/>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6AC98070-9690-4769-B589-4B06AE17CDB0}"/>
    <cellStyle name="Normal 8 5 2 5 2 3" xfId="13779" xr:uid="{75AA0B1A-BC68-443F-BD73-0C15DA4C4470}"/>
    <cellStyle name="Normal 8 5 2 5 3" xfId="6525" xr:uid="{00000000-0005-0000-0000-0000301E0000}"/>
    <cellStyle name="Normal 8 5 2 5 3 2" xfId="15851" xr:uid="{D8EE5C7B-38E2-4F1D-BC6D-3B7D7035B86C}"/>
    <cellStyle name="Normal 8 5 2 5 4" xfId="11634" xr:uid="{BDE83ED4-703B-4AE1-A242-89712D082E5D}"/>
    <cellStyle name="Normal 8 5 2 6" xfId="2655" xr:uid="{00000000-0005-0000-0000-0000311E0000}"/>
    <cellStyle name="Normal 8 5 2 6 2" xfId="6938" xr:uid="{00000000-0005-0000-0000-0000321E0000}"/>
    <cellStyle name="Normal 8 5 2 6 2 2" xfId="16264" xr:uid="{38616D7D-4E8F-4CE8-929C-7F5FA1F1CC8A}"/>
    <cellStyle name="Normal 8 5 2 6 3" xfId="12047" xr:uid="{2EBC0177-17A4-49B7-A452-535E3387B53A}"/>
    <cellStyle name="Normal 8 5 2 7" xfId="4873" xr:uid="{00000000-0005-0000-0000-0000331E0000}"/>
    <cellStyle name="Normal 8 5 2 7 2" xfId="14199" xr:uid="{26A5D7FD-081B-4806-B474-DDF750D92FFF}"/>
    <cellStyle name="Normal 8 5 2 8" xfId="9052" xr:uid="{D754D15A-EECE-4975-9542-AF3C340304E3}"/>
    <cellStyle name="Normal 8 5 2 9" xfId="9982" xr:uid="{F7C1724F-8D85-47FF-BD31-43549E474CA6}"/>
    <cellStyle name="Normal 8 5 3" xfId="974" xr:uid="{00000000-0005-0000-0000-0000341E0000}"/>
    <cellStyle name="Normal 8 5 3 2" xfId="3208" xr:uid="{00000000-0005-0000-0000-0000351E0000}"/>
    <cellStyle name="Normal 8 5 3 2 2" xfId="7430" xr:uid="{00000000-0005-0000-0000-0000361E0000}"/>
    <cellStyle name="Normal 8 5 3 2 2 2" xfId="16756" xr:uid="{A1EDF925-C02D-412D-96C6-C33EFE563B36}"/>
    <cellStyle name="Normal 8 5 3 2 3" xfId="12539" xr:uid="{102ABDB2-F7A6-4F22-887B-AD7BEAA7B4FE}"/>
    <cellStyle name="Normal 8 5 3 3" xfId="5285" xr:uid="{00000000-0005-0000-0000-0000371E0000}"/>
    <cellStyle name="Normal 8 5 3 3 2" xfId="14611" xr:uid="{60419B77-47A9-4342-843A-3E3FC1A4862C}"/>
    <cellStyle name="Normal 8 5 3 4" xfId="9270" xr:uid="{88F9D262-71F2-4DD2-A7F6-B0DCE74ABD45}"/>
    <cellStyle name="Normal 8 5 3 5" xfId="10394" xr:uid="{13394123-54F3-45D5-AE0D-D8001078DB37}"/>
    <cellStyle name="Normal 8 5 4" xfId="1391" xr:uid="{00000000-0005-0000-0000-0000381E0000}"/>
    <cellStyle name="Normal 8 5 4 2" xfId="3621" xr:uid="{00000000-0005-0000-0000-0000391E0000}"/>
    <cellStyle name="Normal 8 5 4 2 2" xfId="7843" xr:uid="{00000000-0005-0000-0000-00003A1E0000}"/>
    <cellStyle name="Normal 8 5 4 2 2 2" xfId="17169" xr:uid="{D77F55DC-14F0-474E-9198-2C27935B527B}"/>
    <cellStyle name="Normal 8 5 4 2 3" xfId="12952" xr:uid="{A7A0B09D-4EC3-4E0A-93A0-22E811F245BF}"/>
    <cellStyle name="Normal 8 5 4 3" xfId="5698" xr:uid="{00000000-0005-0000-0000-00003B1E0000}"/>
    <cellStyle name="Normal 8 5 4 3 2" xfId="15024" xr:uid="{9EA760D4-EE0A-468D-BD1B-BDDCF3F0C65E}"/>
    <cellStyle name="Normal 8 5 4 4" xfId="10807" xr:uid="{916B84A8-48BB-4B2F-9C5B-A7AB6F396996}"/>
    <cellStyle name="Normal 8 5 5" xfId="1804" xr:uid="{00000000-0005-0000-0000-00003C1E0000}"/>
    <cellStyle name="Normal 8 5 5 2" xfId="4034" xr:uid="{00000000-0005-0000-0000-00003D1E0000}"/>
    <cellStyle name="Normal 8 5 5 2 2" xfId="8256" xr:uid="{00000000-0005-0000-0000-00003E1E0000}"/>
    <cellStyle name="Normal 8 5 5 2 2 2" xfId="17582" xr:uid="{6DEB4207-1723-4515-8756-A37631A34D60}"/>
    <cellStyle name="Normal 8 5 5 2 3" xfId="13365" xr:uid="{9FB13507-EFCF-4BE2-8B59-26278A1579F8}"/>
    <cellStyle name="Normal 8 5 5 3" xfId="6111" xr:uid="{00000000-0005-0000-0000-00003F1E0000}"/>
    <cellStyle name="Normal 8 5 5 3 2" xfId="15437" xr:uid="{716A779B-737D-4912-9E13-2D2888857150}"/>
    <cellStyle name="Normal 8 5 5 4" xfId="11220" xr:uid="{2AEC673B-2275-44E0-BFB2-DC0355191BB3}"/>
    <cellStyle name="Normal 8 5 6" xfId="2218" xr:uid="{00000000-0005-0000-0000-0000401E0000}"/>
    <cellStyle name="Normal 8 5 6 2" xfId="4447" xr:uid="{00000000-0005-0000-0000-0000411E0000}"/>
    <cellStyle name="Normal 8 5 6 2 2" xfId="8669" xr:uid="{00000000-0005-0000-0000-0000421E0000}"/>
    <cellStyle name="Normal 8 5 6 2 2 2" xfId="17995" xr:uid="{F6F88E46-01E8-4459-83A4-2827BD51BC52}"/>
    <cellStyle name="Normal 8 5 6 2 3" xfId="13778" xr:uid="{6B2A3602-AA24-4A24-B8D2-6BBA11CBD1A3}"/>
    <cellStyle name="Normal 8 5 6 3" xfId="6524" xr:uid="{00000000-0005-0000-0000-0000431E0000}"/>
    <cellStyle name="Normal 8 5 6 3 2" xfId="15850" xr:uid="{FF24EEFF-D745-4264-8AA6-08D58F4E04E5}"/>
    <cellStyle name="Normal 8 5 6 4" xfId="11633" xr:uid="{1EB6F7A0-BADD-407B-B604-A540D5D87BF3}"/>
    <cellStyle name="Normal 8 5 7" xfId="2654" xr:uid="{00000000-0005-0000-0000-0000441E0000}"/>
    <cellStyle name="Normal 8 5 7 2" xfId="6937" xr:uid="{00000000-0005-0000-0000-0000451E0000}"/>
    <cellStyle name="Normal 8 5 7 2 2" xfId="16263" xr:uid="{61F1E7B0-C49C-4062-A3E3-258B9F657F8A}"/>
    <cellStyle name="Normal 8 5 7 3" xfId="12046" xr:uid="{648D8E83-5DAC-4C41-BD2D-6C8FF31DA263}"/>
    <cellStyle name="Normal 8 5 8" xfId="4872" xr:uid="{00000000-0005-0000-0000-0000461E0000}"/>
    <cellStyle name="Normal 8 5 8 2" xfId="14198" xr:uid="{3DA08FFB-8A5E-4068-8FAF-E633AD8B71AE}"/>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F13E1A27-34C5-42B3-B045-D08C1B46E399}"/>
    <cellStyle name="Normal 8 6 2 2 3" xfId="12541" xr:uid="{480B799F-6A42-4B49-A81E-8EF68D32AF0E}"/>
    <cellStyle name="Normal 8 6 2 3" xfId="5287" xr:uid="{00000000-0005-0000-0000-00004B1E0000}"/>
    <cellStyle name="Normal 8 6 2 3 2" xfId="14613" xr:uid="{F4A23DE9-4FEB-4B7F-BA5B-9388590904FD}"/>
    <cellStyle name="Normal 8 6 2 4" xfId="9386" xr:uid="{45A5CE0D-B006-45BB-A53E-22B23F4367E3}"/>
    <cellStyle name="Normal 8 6 2 5" xfId="10396" xr:uid="{D9FAE09A-CD15-4384-9383-4ED55E6E40BA}"/>
    <cellStyle name="Normal 8 6 3" xfId="1393" xr:uid="{00000000-0005-0000-0000-00004C1E0000}"/>
    <cellStyle name="Normal 8 6 3 2" xfId="3623" xr:uid="{00000000-0005-0000-0000-00004D1E0000}"/>
    <cellStyle name="Normal 8 6 3 2 2" xfId="7845" xr:uid="{00000000-0005-0000-0000-00004E1E0000}"/>
    <cellStyle name="Normal 8 6 3 2 2 2" xfId="17171" xr:uid="{AFD9EBD8-7615-4A23-BF13-E3CE38B3790D}"/>
    <cellStyle name="Normal 8 6 3 2 3" xfId="12954" xr:uid="{19F93946-F625-48E8-AA53-99C4A9B5FA5E}"/>
    <cellStyle name="Normal 8 6 3 3" xfId="5700" xr:uid="{00000000-0005-0000-0000-00004F1E0000}"/>
    <cellStyle name="Normal 8 6 3 3 2" xfId="15026" xr:uid="{4C0B9B77-612F-42B8-8419-13C3BA5D582A}"/>
    <cellStyle name="Normal 8 6 3 4" xfId="10809" xr:uid="{D7D02048-ED18-49D3-9206-95E5250F2451}"/>
    <cellStyle name="Normal 8 6 4" xfId="1806" xr:uid="{00000000-0005-0000-0000-0000501E0000}"/>
    <cellStyle name="Normal 8 6 4 2" xfId="4036" xr:uid="{00000000-0005-0000-0000-0000511E0000}"/>
    <cellStyle name="Normal 8 6 4 2 2" xfId="8258" xr:uid="{00000000-0005-0000-0000-0000521E0000}"/>
    <cellStyle name="Normal 8 6 4 2 2 2" xfId="17584" xr:uid="{77449F41-E7C2-4E6C-A334-23C956A3E534}"/>
    <cellStyle name="Normal 8 6 4 2 3" xfId="13367" xr:uid="{5DBCD5DD-664F-4EC8-8926-D1041F7C128D}"/>
    <cellStyle name="Normal 8 6 4 3" xfId="6113" xr:uid="{00000000-0005-0000-0000-0000531E0000}"/>
    <cellStyle name="Normal 8 6 4 3 2" xfId="15439" xr:uid="{1F37D008-887C-4A95-9965-6814DF3D267F}"/>
    <cellStyle name="Normal 8 6 4 4" xfId="11222" xr:uid="{332D1C1B-825E-4DD4-8FCF-F6CF6B3D0EA9}"/>
    <cellStyle name="Normal 8 6 5" xfId="2220" xr:uid="{00000000-0005-0000-0000-0000541E0000}"/>
    <cellStyle name="Normal 8 6 5 2" xfId="4449" xr:uid="{00000000-0005-0000-0000-0000551E0000}"/>
    <cellStyle name="Normal 8 6 5 2 2" xfId="8671" xr:uid="{00000000-0005-0000-0000-0000561E0000}"/>
    <cellStyle name="Normal 8 6 5 2 2 2" xfId="17997" xr:uid="{345DD2CA-4F04-4EA9-9DA7-74E92C5BC6D5}"/>
    <cellStyle name="Normal 8 6 5 2 3" xfId="13780" xr:uid="{D71DFEF2-A3C6-4639-B3F2-AEF89F2632C2}"/>
    <cellStyle name="Normal 8 6 5 3" xfId="6526" xr:uid="{00000000-0005-0000-0000-0000571E0000}"/>
    <cellStyle name="Normal 8 6 5 3 2" xfId="15852" xr:uid="{8704E887-20B0-4D2D-A099-E37B02E461E6}"/>
    <cellStyle name="Normal 8 6 5 4" xfId="11635" xr:uid="{B7C2B0ED-06F1-4917-AC17-5994F17CC104}"/>
    <cellStyle name="Normal 8 6 6" xfId="2656" xr:uid="{00000000-0005-0000-0000-0000581E0000}"/>
    <cellStyle name="Normal 8 6 6 2" xfId="6939" xr:uid="{00000000-0005-0000-0000-0000591E0000}"/>
    <cellStyle name="Normal 8 6 6 2 2" xfId="16265" xr:uid="{14A824E5-1172-486E-917E-075D0DF514ED}"/>
    <cellStyle name="Normal 8 6 6 3" xfId="12048" xr:uid="{A741576B-4559-4A87-A53F-83CC49CB4603}"/>
    <cellStyle name="Normal 8 6 7" xfId="4874" xr:uid="{00000000-0005-0000-0000-00005A1E0000}"/>
    <cellStyle name="Normal 8 6 7 2" xfId="14200" xr:uid="{03E34438-0A41-4BFB-A92B-481F6BC9690F}"/>
    <cellStyle name="Normal 8 6 8" xfId="8961" xr:uid="{36060843-7B38-46C3-B2F1-7172ECB11EEE}"/>
    <cellStyle name="Normal 8 6 9" xfId="9983" xr:uid="{379A46A9-B738-4D80-A606-E47E3A7DB225}"/>
    <cellStyle name="Normal 8 7" xfId="945" xr:uid="{00000000-0005-0000-0000-00005B1E0000}"/>
    <cellStyle name="Normal 8 7 2" xfId="3179" xr:uid="{00000000-0005-0000-0000-00005C1E0000}"/>
    <cellStyle name="Normal 8 7 2 2" xfId="7401" xr:uid="{00000000-0005-0000-0000-00005D1E0000}"/>
    <cellStyle name="Normal 8 7 2 2 2" xfId="16727" xr:uid="{2603A644-362D-456B-B076-92D9A9D775D5}"/>
    <cellStyle name="Normal 8 7 2 3" xfId="12510" xr:uid="{ADA04133-15CF-4914-BE8C-8AD477BAF07C}"/>
    <cellStyle name="Normal 8 7 3" xfId="5256" xr:uid="{00000000-0005-0000-0000-00005E1E0000}"/>
    <cellStyle name="Normal 8 7 3 2" xfId="14582" xr:uid="{53443DA1-CFCF-4C05-93B3-8EC0D8E0DBC5}"/>
    <cellStyle name="Normal 8 7 4" xfId="9164" xr:uid="{EA2ADDDA-E9AC-4FF8-B08B-61B1D6489A46}"/>
    <cellStyle name="Normal 8 7 5" xfId="10365" xr:uid="{EB45AE88-CC36-4CA6-9F23-3CB8C6E0B5A5}"/>
    <cellStyle name="Normal 8 8" xfId="1362" xr:uid="{00000000-0005-0000-0000-00005F1E0000}"/>
    <cellStyle name="Normal 8 8 2" xfId="3592" xr:uid="{00000000-0005-0000-0000-0000601E0000}"/>
    <cellStyle name="Normal 8 8 2 2" xfId="7814" xr:uid="{00000000-0005-0000-0000-0000611E0000}"/>
    <cellStyle name="Normal 8 8 2 2 2" xfId="17140" xr:uid="{13C8488B-38A6-418F-B410-9C89FEDFBCD9}"/>
    <cellStyle name="Normal 8 8 2 3" xfId="12923" xr:uid="{09734783-D427-41A0-90DB-5ADFBCED46E3}"/>
    <cellStyle name="Normal 8 8 3" xfId="5669" xr:uid="{00000000-0005-0000-0000-0000621E0000}"/>
    <cellStyle name="Normal 8 8 3 2" xfId="14995" xr:uid="{346C0F51-B8AB-468B-A57F-BD994F8A5B68}"/>
    <cellStyle name="Normal 8 8 4" xfId="10778" xr:uid="{4BE7E77A-4043-43B3-9474-40F47C161A70}"/>
    <cellStyle name="Normal 8 9" xfId="1775" xr:uid="{00000000-0005-0000-0000-0000631E0000}"/>
    <cellStyle name="Normal 8 9 2" xfId="4005" xr:uid="{00000000-0005-0000-0000-0000641E0000}"/>
    <cellStyle name="Normal 8 9 2 2" xfId="8227" xr:uid="{00000000-0005-0000-0000-0000651E0000}"/>
    <cellStyle name="Normal 8 9 2 2 2" xfId="17553" xr:uid="{DB919BF6-EAAF-4B36-A4BF-DFC72A879343}"/>
    <cellStyle name="Normal 8 9 2 3" xfId="13336" xr:uid="{E7F45E81-6F9E-41BD-8E71-52F5AC1347B2}"/>
    <cellStyle name="Normal 8 9 3" xfId="6082" xr:uid="{00000000-0005-0000-0000-0000661E0000}"/>
    <cellStyle name="Normal 8 9 3 2" xfId="15408" xr:uid="{55381875-08D7-4F27-819D-B66E0A76F67E}"/>
    <cellStyle name="Normal 8 9 4" xfId="11191" xr:uid="{73B2A508-C23D-4195-8C0B-2ECA323ABFA9}"/>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CDC1FFC1-F81C-4648-9A8F-ED94025883EA}"/>
    <cellStyle name="Normal 9 2 10 3" xfId="12049" xr:uid="{961F3CA8-E1C2-4234-88A3-A9C9CBF5AEC5}"/>
    <cellStyle name="Normal 9 2 11" xfId="4875" xr:uid="{00000000-0005-0000-0000-00006B1E0000}"/>
    <cellStyle name="Normal 9 2 11 2" xfId="14201" xr:uid="{02CDA5F4-BC10-46E8-A0B3-30F68DAFECD8}"/>
    <cellStyle name="Normal 9 2 12" xfId="8754" xr:uid="{9024D06A-4C5F-4C89-BCDB-29B8C924FF52}"/>
    <cellStyle name="Normal 9 2 13" xfId="9984" xr:uid="{47A2EEBA-E013-490D-8E6D-CA883FD15CFC}"/>
    <cellStyle name="Normal 9 2 2" xfId="512" xr:uid="{00000000-0005-0000-0000-00006C1E0000}"/>
    <cellStyle name="Normal 9 2 2 10" xfId="4876" xr:uid="{00000000-0005-0000-0000-00006D1E0000}"/>
    <cellStyle name="Normal 9 2 2 10 2" xfId="14202" xr:uid="{CD383E1D-DCCB-40FA-8C5E-A15F7091E521}"/>
    <cellStyle name="Normal 9 2 2 11" xfId="8785" xr:uid="{3048542E-ED39-45ED-9C91-0140D2CF60D9}"/>
    <cellStyle name="Normal 9 2 2 12" xfId="9985" xr:uid="{3CD1FF03-FDA7-49C2-86C0-643D61B9ECCE}"/>
    <cellStyle name="Normal 9 2 2 2" xfId="513" xr:uid="{00000000-0005-0000-0000-00006E1E0000}"/>
    <cellStyle name="Normal 9 2 2 2 10" xfId="8839" xr:uid="{3B2DC7F4-4F49-4AE2-9279-EFD4857A149B}"/>
    <cellStyle name="Normal 9 2 2 2 11" xfId="9986" xr:uid="{1575F574-9CFF-41E7-A05D-C8C9C9B53D5D}"/>
    <cellStyle name="Normal 9 2 2 2 2" xfId="514" xr:uid="{00000000-0005-0000-0000-00006F1E0000}"/>
    <cellStyle name="Normal 9 2 2 2 2 10" xfId="9987" xr:uid="{83F77523-29F9-4A7D-AD8A-E83D16D4FCC4}"/>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7D443CFB-F796-42BB-904E-643079DDA6E8}"/>
    <cellStyle name="Normal 9 2 2 2 2 2 2 2 3" xfId="12546" xr:uid="{1C94C7DA-4B3B-4F81-B2C2-FBC48B5CD171}"/>
    <cellStyle name="Normal 9 2 2 2 2 2 2 3" xfId="5292" xr:uid="{00000000-0005-0000-0000-0000741E0000}"/>
    <cellStyle name="Normal 9 2 2 2 2 2 2 3 2" xfId="14618" xr:uid="{A8663C52-4528-41E3-ACAC-79F815F8AF97}"/>
    <cellStyle name="Normal 9 2 2 2 2 2 2 4" xfId="9574" xr:uid="{00EB170D-8A20-4280-B781-E452C3590555}"/>
    <cellStyle name="Normal 9 2 2 2 2 2 2 5" xfId="10401" xr:uid="{01447A14-C8D2-44AF-93DC-026B41EF9BC6}"/>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F0CD2819-A35C-4E7E-A095-95EEB5C57824}"/>
    <cellStyle name="Normal 9 2 2 2 2 2 3 2 3" xfId="12959" xr:uid="{40FA94CF-BB1B-4277-8C64-7B2222FE2F84}"/>
    <cellStyle name="Normal 9 2 2 2 2 2 3 3" xfId="5705" xr:uid="{00000000-0005-0000-0000-0000781E0000}"/>
    <cellStyle name="Normal 9 2 2 2 2 2 3 3 2" xfId="15031" xr:uid="{D497F371-798A-4E8B-9981-8F094278985A}"/>
    <cellStyle name="Normal 9 2 2 2 2 2 3 4" xfId="10814" xr:uid="{EF23C856-DBAF-41CD-A8F9-06362DA20BCB}"/>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022A73BD-EA76-4C09-B4E2-19377F326FA7}"/>
    <cellStyle name="Normal 9 2 2 2 2 2 4 2 3" xfId="13372" xr:uid="{B5A5044F-D2C8-4D89-833B-F9B9D86408F2}"/>
    <cellStyle name="Normal 9 2 2 2 2 2 4 3" xfId="6118" xr:uid="{00000000-0005-0000-0000-00007C1E0000}"/>
    <cellStyle name="Normal 9 2 2 2 2 2 4 3 2" xfId="15444" xr:uid="{269DF1A1-9318-429B-821B-D1F0F433FE45}"/>
    <cellStyle name="Normal 9 2 2 2 2 2 4 4" xfId="11227" xr:uid="{FB9E14CE-2977-4098-B85D-540A0363BCD5}"/>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5B59472F-3E85-45E4-A05D-DD82B305555E}"/>
    <cellStyle name="Normal 9 2 2 2 2 2 5 2 3" xfId="13785" xr:uid="{CE3806AF-D9DA-4AD3-A31C-F60A0BB876AE}"/>
    <cellStyle name="Normal 9 2 2 2 2 2 5 3" xfId="6531" xr:uid="{00000000-0005-0000-0000-0000801E0000}"/>
    <cellStyle name="Normal 9 2 2 2 2 2 5 3 2" xfId="15857" xr:uid="{361A4A62-21E5-4114-959B-190D2686E7D7}"/>
    <cellStyle name="Normal 9 2 2 2 2 2 5 4" xfId="11640" xr:uid="{E06E44C4-3D64-4B21-87E6-6C11F47A0E19}"/>
    <cellStyle name="Normal 9 2 2 2 2 2 6" xfId="2661" xr:uid="{00000000-0005-0000-0000-0000811E0000}"/>
    <cellStyle name="Normal 9 2 2 2 2 2 6 2" xfId="6944" xr:uid="{00000000-0005-0000-0000-0000821E0000}"/>
    <cellStyle name="Normal 9 2 2 2 2 2 6 2 2" xfId="16270" xr:uid="{F14978F5-9986-420C-BA52-E1FF105630EE}"/>
    <cellStyle name="Normal 9 2 2 2 2 2 6 3" xfId="12053" xr:uid="{E3467A52-B5C6-4F56-A0EF-8766A894C98F}"/>
    <cellStyle name="Normal 9 2 2 2 2 2 7" xfId="4879" xr:uid="{00000000-0005-0000-0000-0000831E0000}"/>
    <cellStyle name="Normal 9 2 2 2 2 2 7 2" xfId="14205" xr:uid="{33145FD5-9868-49A8-A51D-088F9B7DD8A3}"/>
    <cellStyle name="Normal 9 2 2 2 2 2 8" xfId="9149" xr:uid="{6C0BEC1E-EE3B-4956-830C-8775C93DB46A}"/>
    <cellStyle name="Normal 9 2 2 2 2 2 9" xfId="9988" xr:uid="{95401BCA-A277-4CA2-B22F-A68780314CA5}"/>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8EE0929A-5194-4906-9B8D-521649BD2D23}"/>
    <cellStyle name="Normal 9 2 2 2 2 3 2 3" xfId="12545" xr:uid="{46058786-CF8A-4591-8713-2FA4D0FF1987}"/>
    <cellStyle name="Normal 9 2 2 2 2 3 3" xfId="5291" xr:uid="{00000000-0005-0000-0000-0000871E0000}"/>
    <cellStyle name="Normal 9 2 2 2 2 3 3 2" xfId="14617" xr:uid="{925638F1-E41F-40F5-8291-3918172CA629}"/>
    <cellStyle name="Normal 9 2 2 2 2 3 4" xfId="9367" xr:uid="{4A654E22-020A-4B0F-8753-639C44EA908A}"/>
    <cellStyle name="Normal 9 2 2 2 2 3 5" xfId="10400" xr:uid="{B4F552F7-83D4-434E-A889-639C306E2EE9}"/>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24660888-B6AC-4A7D-BDAE-70D51289E9F9}"/>
    <cellStyle name="Normal 9 2 2 2 2 4 2 3" xfId="12958" xr:uid="{FF7AC386-24C2-43F3-8F90-8CD64BC8B9D2}"/>
    <cellStyle name="Normal 9 2 2 2 2 4 3" xfId="5704" xr:uid="{00000000-0005-0000-0000-00008B1E0000}"/>
    <cellStyle name="Normal 9 2 2 2 2 4 3 2" xfId="15030" xr:uid="{3BD44ACF-80A5-4E8A-BA43-B3FA72B07AB3}"/>
    <cellStyle name="Normal 9 2 2 2 2 4 4" xfId="10813" xr:uid="{CC7AA3B7-22A3-4CFF-90A1-DC7C498AE115}"/>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0684127E-FF4A-435A-9B43-30ABFE208400}"/>
    <cellStyle name="Normal 9 2 2 2 2 5 2 3" xfId="13371" xr:uid="{660299B6-6566-4556-8A28-D40C3687CF08}"/>
    <cellStyle name="Normal 9 2 2 2 2 5 3" xfId="6117" xr:uid="{00000000-0005-0000-0000-00008F1E0000}"/>
    <cellStyle name="Normal 9 2 2 2 2 5 3 2" xfId="15443" xr:uid="{B17FC118-833B-491A-8619-7589B0BE30C4}"/>
    <cellStyle name="Normal 9 2 2 2 2 5 4" xfId="11226" xr:uid="{6B569444-39D8-4DAB-A117-001E7ACAB00F}"/>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FF8D3031-4E3D-4FC6-8023-8CFCCB1A1F3B}"/>
    <cellStyle name="Normal 9 2 2 2 2 6 2 3" xfId="13784" xr:uid="{952887D8-A44D-49B6-940B-1A02B625F337}"/>
    <cellStyle name="Normal 9 2 2 2 2 6 3" xfId="6530" xr:uid="{00000000-0005-0000-0000-0000931E0000}"/>
    <cellStyle name="Normal 9 2 2 2 2 6 3 2" xfId="15856" xr:uid="{55B01A6A-A7D7-447C-B9C3-97B29228FD83}"/>
    <cellStyle name="Normal 9 2 2 2 2 6 4" xfId="11639" xr:uid="{F6048036-CC2C-4D7C-AE97-BAA9073290BA}"/>
    <cellStyle name="Normal 9 2 2 2 2 7" xfId="2660" xr:uid="{00000000-0005-0000-0000-0000941E0000}"/>
    <cellStyle name="Normal 9 2 2 2 2 7 2" xfId="6943" xr:uid="{00000000-0005-0000-0000-0000951E0000}"/>
    <cellStyle name="Normal 9 2 2 2 2 7 2 2" xfId="16269" xr:uid="{625BFB24-A80F-4D18-B4E1-66A526355007}"/>
    <cellStyle name="Normal 9 2 2 2 2 7 3" xfId="12052" xr:uid="{31DDC3B1-EDC9-4A96-9DAD-FA327C6D58FD}"/>
    <cellStyle name="Normal 9 2 2 2 2 8" xfId="4878" xr:uid="{00000000-0005-0000-0000-0000961E0000}"/>
    <cellStyle name="Normal 9 2 2 2 2 8 2" xfId="14204" xr:uid="{33ED36AE-C34A-4DE5-91EF-FFD7CEB39601}"/>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4C6F2482-2AB6-4314-A80A-8313416787BA}"/>
    <cellStyle name="Normal 9 2 2 2 3 2 2 3" xfId="12547" xr:uid="{BC67FF0D-A384-4361-857C-3A77233EF498}"/>
    <cellStyle name="Normal 9 2 2 2 3 2 3" xfId="5293" xr:uid="{00000000-0005-0000-0000-00009B1E0000}"/>
    <cellStyle name="Normal 9 2 2 2 3 2 3 2" xfId="14619" xr:uid="{2E5954FF-082F-4EAE-8607-5456D6EC117C}"/>
    <cellStyle name="Normal 9 2 2 2 3 2 4" xfId="9471" xr:uid="{E472D827-532E-42C0-B781-9E63FEBCFCF5}"/>
    <cellStyle name="Normal 9 2 2 2 3 2 5" xfId="10402" xr:uid="{8EE30E20-4BD2-4E56-AEB2-E0F3D224AC53}"/>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2E24C385-5B73-4B6F-ADBA-60B440EFD1EA}"/>
    <cellStyle name="Normal 9 2 2 2 3 3 2 3" xfId="12960" xr:uid="{A6B0B1F1-3BAD-4674-80D5-BBC7617D2618}"/>
    <cellStyle name="Normal 9 2 2 2 3 3 3" xfId="5706" xr:uid="{00000000-0005-0000-0000-00009F1E0000}"/>
    <cellStyle name="Normal 9 2 2 2 3 3 3 2" xfId="15032" xr:uid="{2FB7C692-5D64-4914-B36F-ACB566DFD792}"/>
    <cellStyle name="Normal 9 2 2 2 3 3 4" xfId="10815" xr:uid="{4364185A-7968-43BB-9661-2556BFBA10A5}"/>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B0AF1D14-AEEC-4965-AB29-B3887C9D6E7D}"/>
    <cellStyle name="Normal 9 2 2 2 3 4 2 3" xfId="13373" xr:uid="{E56EA762-2EA0-46F3-998D-CFEC501D9373}"/>
    <cellStyle name="Normal 9 2 2 2 3 4 3" xfId="6119" xr:uid="{00000000-0005-0000-0000-0000A31E0000}"/>
    <cellStyle name="Normal 9 2 2 2 3 4 3 2" xfId="15445" xr:uid="{F17BC457-A62B-4FD4-A45D-723C703CB7A5}"/>
    <cellStyle name="Normal 9 2 2 2 3 4 4" xfId="11228" xr:uid="{DB5B8B22-5311-40E7-AC5D-5A7C744C5B42}"/>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7B0239C0-BDF4-408E-9F6D-C608FDF7F5CF}"/>
    <cellStyle name="Normal 9 2 2 2 3 5 2 3" xfId="13786" xr:uid="{4C1BB022-4134-485D-AE4A-EEE4B770ECD6}"/>
    <cellStyle name="Normal 9 2 2 2 3 5 3" xfId="6532" xr:uid="{00000000-0005-0000-0000-0000A71E0000}"/>
    <cellStyle name="Normal 9 2 2 2 3 5 3 2" xfId="15858" xr:uid="{13B5751C-A05D-4DEB-986B-C86DB9859B85}"/>
    <cellStyle name="Normal 9 2 2 2 3 5 4" xfId="11641" xr:uid="{47EDC630-9A5A-42E1-857D-C5ECC93378F6}"/>
    <cellStyle name="Normal 9 2 2 2 3 6" xfId="2662" xr:uid="{00000000-0005-0000-0000-0000A81E0000}"/>
    <cellStyle name="Normal 9 2 2 2 3 6 2" xfId="6945" xr:uid="{00000000-0005-0000-0000-0000A91E0000}"/>
    <cellStyle name="Normal 9 2 2 2 3 6 2 2" xfId="16271" xr:uid="{F340D0D5-027C-47F4-8E26-4820F3658B26}"/>
    <cellStyle name="Normal 9 2 2 2 3 6 3" xfId="12054" xr:uid="{9E2242AA-B34A-4EB6-B5CD-A50C440A4D34}"/>
    <cellStyle name="Normal 9 2 2 2 3 7" xfId="4880" xr:uid="{00000000-0005-0000-0000-0000AA1E0000}"/>
    <cellStyle name="Normal 9 2 2 2 3 7 2" xfId="14206" xr:uid="{324E7871-5BC5-410D-8777-663B6FC9A601}"/>
    <cellStyle name="Normal 9 2 2 2 3 8" xfId="9046" xr:uid="{6B7E07C7-E90B-4AE9-8FE8-76EF28E8FC85}"/>
    <cellStyle name="Normal 9 2 2 2 3 9" xfId="9989" xr:uid="{B74E1343-03C3-418D-83EB-CDB81B2319FC}"/>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424E91D5-DC2F-4E2E-ABC8-FAEBCBE5835E}"/>
    <cellStyle name="Normal 9 2 2 2 4 2 3" xfId="12544" xr:uid="{4569D841-90D6-4564-9D30-F4717B57CE81}"/>
    <cellStyle name="Normal 9 2 2 2 4 3" xfId="5290" xr:uid="{00000000-0005-0000-0000-0000AE1E0000}"/>
    <cellStyle name="Normal 9 2 2 2 4 3 2" xfId="14616" xr:uid="{49D378FF-DD37-49B8-8E6E-9D0219C70B26}"/>
    <cellStyle name="Normal 9 2 2 2 4 4" xfId="9264" xr:uid="{0137E036-48D9-4B3B-9B73-0002A19DDE9E}"/>
    <cellStyle name="Normal 9 2 2 2 4 5" xfId="10399" xr:uid="{3D436B0F-35C1-4F02-8218-D85B20860E71}"/>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5127A7BD-7490-4C19-892A-87C6BFE008D9}"/>
    <cellStyle name="Normal 9 2 2 2 5 2 3" xfId="12957" xr:uid="{4682360C-366E-4B8F-8509-C3D68BDA48C4}"/>
    <cellStyle name="Normal 9 2 2 2 5 3" xfId="5703" xr:uid="{00000000-0005-0000-0000-0000B21E0000}"/>
    <cellStyle name="Normal 9 2 2 2 5 3 2" xfId="15029" xr:uid="{322B4993-2D71-438B-92C5-F2F18DE37161}"/>
    <cellStyle name="Normal 9 2 2 2 5 4" xfId="10812" xr:uid="{65DE09D9-0E89-49A9-9FB6-792784F584E0}"/>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8DDFD3B4-52C3-447E-B97C-C7DA36CF0F11}"/>
    <cellStyle name="Normal 9 2 2 2 6 2 3" xfId="13370" xr:uid="{8FF2DC5B-DD1B-4A2E-BE08-525EA49916AB}"/>
    <cellStyle name="Normal 9 2 2 2 6 3" xfId="6116" xr:uid="{00000000-0005-0000-0000-0000B61E0000}"/>
    <cellStyle name="Normal 9 2 2 2 6 3 2" xfId="15442" xr:uid="{4399CC70-561A-4029-AE45-513111A7040C}"/>
    <cellStyle name="Normal 9 2 2 2 6 4" xfId="11225" xr:uid="{C4FA36F1-C935-4ECB-8C75-88198E4D9784}"/>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7CFCF12A-EC23-4FB0-A3E7-7C314EAE93D1}"/>
    <cellStyle name="Normal 9 2 2 2 7 2 3" xfId="13783" xr:uid="{30B28DFC-7CA8-4887-98C5-5758F5A35FC6}"/>
    <cellStyle name="Normal 9 2 2 2 7 3" xfId="6529" xr:uid="{00000000-0005-0000-0000-0000BA1E0000}"/>
    <cellStyle name="Normal 9 2 2 2 7 3 2" xfId="15855" xr:uid="{FBB55276-EBF2-4BF0-A919-5E652D434C8C}"/>
    <cellStyle name="Normal 9 2 2 2 7 4" xfId="11638" xr:uid="{9CCD9729-7A87-4897-B737-DE326335012F}"/>
    <cellStyle name="Normal 9 2 2 2 8" xfId="2659" xr:uid="{00000000-0005-0000-0000-0000BB1E0000}"/>
    <cellStyle name="Normal 9 2 2 2 8 2" xfId="6942" xr:uid="{00000000-0005-0000-0000-0000BC1E0000}"/>
    <cellStyle name="Normal 9 2 2 2 8 2 2" xfId="16268" xr:uid="{CE848FF6-1242-4DDE-9097-DD7612104307}"/>
    <cellStyle name="Normal 9 2 2 2 8 3" xfId="12051" xr:uid="{3BBF0DF0-528F-4C59-8452-C721AE48B45F}"/>
    <cellStyle name="Normal 9 2 2 2 9" xfId="4877" xr:uid="{00000000-0005-0000-0000-0000BD1E0000}"/>
    <cellStyle name="Normal 9 2 2 2 9 2" xfId="14203" xr:uid="{89E69458-DE97-497F-AEAD-D53280223FB6}"/>
    <cellStyle name="Normal 9 2 2 3" xfId="517" xr:uid="{00000000-0005-0000-0000-0000BE1E0000}"/>
    <cellStyle name="Normal 9 2 2 3 10" xfId="9990" xr:uid="{B2E90E74-B472-42CC-A45D-2B1D51C8E936}"/>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54318335-2C52-47ED-B56C-45D03CD09E18}"/>
    <cellStyle name="Normal 9 2 2 3 2 2 2 3" xfId="12549" xr:uid="{2343023D-0B15-428F-9B79-EEE5D803B293}"/>
    <cellStyle name="Normal 9 2 2 3 2 2 3" xfId="5295" xr:uid="{00000000-0005-0000-0000-0000C31E0000}"/>
    <cellStyle name="Normal 9 2 2 3 2 2 3 2" xfId="14621" xr:uid="{94D8AB61-1D28-4D99-AFCC-8FCCAF4EBC76}"/>
    <cellStyle name="Normal 9 2 2 3 2 2 4" xfId="9520" xr:uid="{57CFBD10-691F-4DF8-8020-B75E98FF60DD}"/>
    <cellStyle name="Normal 9 2 2 3 2 2 5" xfId="10404" xr:uid="{71A0824E-B96C-4EE1-B286-209D0C84AC21}"/>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AC628943-2122-46A2-ACA9-1114C69E0DE6}"/>
    <cellStyle name="Normal 9 2 2 3 2 3 2 3" xfId="12962" xr:uid="{0E69D3FA-464B-45C0-956B-0789D2EE73BA}"/>
    <cellStyle name="Normal 9 2 2 3 2 3 3" xfId="5708" xr:uid="{00000000-0005-0000-0000-0000C71E0000}"/>
    <cellStyle name="Normal 9 2 2 3 2 3 3 2" xfId="15034" xr:uid="{6E8BB790-E4EF-4B95-A4D8-68997FB98294}"/>
    <cellStyle name="Normal 9 2 2 3 2 3 4" xfId="10817" xr:uid="{B3011209-C750-4E98-8D4B-7ED3A4D04D3F}"/>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7FD9B3BE-595C-40B8-8064-E279F4C96DB6}"/>
    <cellStyle name="Normal 9 2 2 3 2 4 2 3" xfId="13375" xr:uid="{03D45D0B-0359-4C19-8871-4F25CF2E92AF}"/>
    <cellStyle name="Normal 9 2 2 3 2 4 3" xfId="6121" xr:uid="{00000000-0005-0000-0000-0000CB1E0000}"/>
    <cellStyle name="Normal 9 2 2 3 2 4 3 2" xfId="15447" xr:uid="{3BA82716-D71F-42B8-8BDF-C21F29862E6C}"/>
    <cellStyle name="Normal 9 2 2 3 2 4 4" xfId="11230" xr:uid="{E2F09618-AE42-4911-AA1C-325934260F13}"/>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0269E36B-8173-4999-91D3-39529C170745}"/>
    <cellStyle name="Normal 9 2 2 3 2 5 2 3" xfId="13788" xr:uid="{FE68BFE5-2ACB-4104-A9E2-ED519CDC7F86}"/>
    <cellStyle name="Normal 9 2 2 3 2 5 3" xfId="6534" xr:uid="{00000000-0005-0000-0000-0000CF1E0000}"/>
    <cellStyle name="Normal 9 2 2 3 2 5 3 2" xfId="15860" xr:uid="{16295039-37E7-45A2-A5E3-56C21A47901C}"/>
    <cellStyle name="Normal 9 2 2 3 2 5 4" xfId="11643" xr:uid="{F7B99952-4F03-461B-9C01-644C6A4D37ED}"/>
    <cellStyle name="Normal 9 2 2 3 2 6" xfId="2664" xr:uid="{00000000-0005-0000-0000-0000D01E0000}"/>
    <cellStyle name="Normal 9 2 2 3 2 6 2" xfId="6947" xr:uid="{00000000-0005-0000-0000-0000D11E0000}"/>
    <cellStyle name="Normal 9 2 2 3 2 6 2 2" xfId="16273" xr:uid="{894CF735-975E-4972-880C-F283F275E8FF}"/>
    <cellStyle name="Normal 9 2 2 3 2 6 3" xfId="12056" xr:uid="{6880583B-B32D-42C8-8271-8E4D5D893BA6}"/>
    <cellStyle name="Normal 9 2 2 3 2 7" xfId="4882" xr:uid="{00000000-0005-0000-0000-0000D21E0000}"/>
    <cellStyle name="Normal 9 2 2 3 2 7 2" xfId="14208" xr:uid="{6BD826CB-FB9E-42E7-B51F-47D9F3D80BEF}"/>
    <cellStyle name="Normal 9 2 2 3 2 8" xfId="9095" xr:uid="{D95088B7-D227-4E97-A9B9-DA61436DD386}"/>
    <cellStyle name="Normal 9 2 2 3 2 9" xfId="9991" xr:uid="{059FADEC-437D-4F52-A5D5-126DA9D5C3BD}"/>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941845F0-6FA9-4DE9-861C-13BA83207CF1}"/>
    <cellStyle name="Normal 9 2 2 3 3 2 3" xfId="12548" xr:uid="{7C002B71-2708-4F15-9BEA-6D28C7C51656}"/>
    <cellStyle name="Normal 9 2 2 3 3 3" xfId="5294" xr:uid="{00000000-0005-0000-0000-0000D61E0000}"/>
    <cellStyle name="Normal 9 2 2 3 3 3 2" xfId="14620" xr:uid="{D58AA167-330F-4893-B4C2-E28EB8DD955B}"/>
    <cellStyle name="Normal 9 2 2 3 3 4" xfId="9313" xr:uid="{FDDC600D-FDDD-4FFC-9820-DFD7E0768F33}"/>
    <cellStyle name="Normal 9 2 2 3 3 5" xfId="10403" xr:uid="{5F28BC9E-9FA1-4D45-9480-592FBFC6B4AD}"/>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9B7E31E7-F583-4686-B0A6-2BCF732C7B7D}"/>
    <cellStyle name="Normal 9 2 2 3 4 2 3" xfId="12961" xr:uid="{D3945066-DA7D-4735-8E65-9FE8E1D604CA}"/>
    <cellStyle name="Normal 9 2 2 3 4 3" xfId="5707" xr:uid="{00000000-0005-0000-0000-0000DA1E0000}"/>
    <cellStyle name="Normal 9 2 2 3 4 3 2" xfId="15033" xr:uid="{4FF8F019-67BE-4C37-A0D6-A784F7C1CC2A}"/>
    <cellStyle name="Normal 9 2 2 3 4 4" xfId="10816" xr:uid="{8BFF4D49-E6D0-4BFE-A083-263B74245658}"/>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5831C140-9DCF-4B00-8FC8-12CCED30D863}"/>
    <cellStyle name="Normal 9 2 2 3 5 2 3" xfId="13374" xr:uid="{854A70F7-AC85-4BD9-A9B8-D9B06E47714A}"/>
    <cellStyle name="Normal 9 2 2 3 5 3" xfId="6120" xr:uid="{00000000-0005-0000-0000-0000DE1E0000}"/>
    <cellStyle name="Normal 9 2 2 3 5 3 2" xfId="15446" xr:uid="{11B5817E-5A56-4353-B5B8-C3F34B1BDAEF}"/>
    <cellStyle name="Normal 9 2 2 3 5 4" xfId="11229" xr:uid="{7626F242-7E8D-4A9E-9EED-6830E924526D}"/>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AFECE821-D04A-4B4A-8C83-57E06A05AE08}"/>
    <cellStyle name="Normal 9 2 2 3 6 2 3" xfId="13787" xr:uid="{00BE5392-2C4C-41AA-9F37-3F17910FB569}"/>
    <cellStyle name="Normal 9 2 2 3 6 3" xfId="6533" xr:uid="{00000000-0005-0000-0000-0000E21E0000}"/>
    <cellStyle name="Normal 9 2 2 3 6 3 2" xfId="15859" xr:uid="{5D26646A-1C4C-46EA-A5C2-724BB54D6288}"/>
    <cellStyle name="Normal 9 2 2 3 6 4" xfId="11642" xr:uid="{836F71E1-E4A9-49F7-98A0-94CCEFC1EF2E}"/>
    <cellStyle name="Normal 9 2 2 3 7" xfId="2663" xr:uid="{00000000-0005-0000-0000-0000E31E0000}"/>
    <cellStyle name="Normal 9 2 2 3 7 2" xfId="6946" xr:uid="{00000000-0005-0000-0000-0000E41E0000}"/>
    <cellStyle name="Normal 9 2 2 3 7 2 2" xfId="16272" xr:uid="{3CCB3035-FD0E-4A25-8A23-DC341533FB0B}"/>
    <cellStyle name="Normal 9 2 2 3 7 3" xfId="12055" xr:uid="{203774F0-7FAB-4FBA-9043-183183315399}"/>
    <cellStyle name="Normal 9 2 2 3 8" xfId="4881" xr:uid="{00000000-0005-0000-0000-0000E51E0000}"/>
    <cellStyle name="Normal 9 2 2 3 8 2" xfId="14207" xr:uid="{DE5128E6-69EE-4C58-99E0-FF8603F00367}"/>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0F80ABBD-4BFF-42BE-93F7-35277EAE298D}"/>
    <cellStyle name="Normal 9 2 2 4 2 2 3" xfId="12550" xr:uid="{7BE4C1E9-D1A4-4C1E-85D5-A1462B1A3951}"/>
    <cellStyle name="Normal 9 2 2 4 2 3" xfId="5296" xr:uid="{00000000-0005-0000-0000-0000EA1E0000}"/>
    <cellStyle name="Normal 9 2 2 4 2 3 2" xfId="14622" xr:uid="{13DD97C2-689F-4440-858C-8EFEB43F8BD9}"/>
    <cellStyle name="Normal 9 2 2 4 2 4" xfId="9417" xr:uid="{FDB8A679-B5B8-4E9B-808D-E68F6CA01958}"/>
    <cellStyle name="Normal 9 2 2 4 2 5" xfId="10405" xr:uid="{C0EB1A5C-E9D0-49B1-ADC3-550426DB9B77}"/>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DB8C30BF-7C19-49F7-B152-9DEBBF66EAB8}"/>
    <cellStyle name="Normal 9 2 2 4 3 2 3" xfId="12963" xr:uid="{A8E9A63B-897C-4586-BD09-87987F2E1531}"/>
    <cellStyle name="Normal 9 2 2 4 3 3" xfId="5709" xr:uid="{00000000-0005-0000-0000-0000EE1E0000}"/>
    <cellStyle name="Normal 9 2 2 4 3 3 2" xfId="15035" xr:uid="{7F386FA9-7AED-4C64-9176-14D1CA0614D9}"/>
    <cellStyle name="Normal 9 2 2 4 3 4" xfId="10818" xr:uid="{6250814F-46E0-4F90-B17D-CF863517B4BA}"/>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22825D94-60F7-4598-9B53-6731ABE138B3}"/>
    <cellStyle name="Normal 9 2 2 4 4 2 3" xfId="13376" xr:uid="{6F0A7F73-183A-413C-998F-1689909D7EA1}"/>
    <cellStyle name="Normal 9 2 2 4 4 3" xfId="6122" xr:uid="{00000000-0005-0000-0000-0000F21E0000}"/>
    <cellStyle name="Normal 9 2 2 4 4 3 2" xfId="15448" xr:uid="{3EF39671-8EE1-45CF-B830-8B16EC7BD4D4}"/>
    <cellStyle name="Normal 9 2 2 4 4 4" xfId="11231" xr:uid="{6BE2B993-4D19-4368-9EC4-CB62EC0CD327}"/>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3070327E-911D-4FBE-909E-EF3EBE7D39FE}"/>
    <cellStyle name="Normal 9 2 2 4 5 2 3" xfId="13789" xr:uid="{89BCA6F7-3099-4CA2-93A2-793CCDBA7FC8}"/>
    <cellStyle name="Normal 9 2 2 4 5 3" xfId="6535" xr:uid="{00000000-0005-0000-0000-0000F61E0000}"/>
    <cellStyle name="Normal 9 2 2 4 5 3 2" xfId="15861" xr:uid="{AD0FD47B-554A-47ED-B650-47AD8C99B189}"/>
    <cellStyle name="Normal 9 2 2 4 5 4" xfId="11644" xr:uid="{5C484AF8-AF28-4C56-8FE6-1BCB8D30EAEF}"/>
    <cellStyle name="Normal 9 2 2 4 6" xfId="2665" xr:uid="{00000000-0005-0000-0000-0000F71E0000}"/>
    <cellStyle name="Normal 9 2 2 4 6 2" xfId="6948" xr:uid="{00000000-0005-0000-0000-0000F81E0000}"/>
    <cellStyle name="Normal 9 2 2 4 6 2 2" xfId="16274" xr:uid="{8BBED30D-69D7-4FEF-A8D1-875F5EFE825B}"/>
    <cellStyle name="Normal 9 2 2 4 6 3" xfId="12057" xr:uid="{26ADD37D-6C80-47D4-9814-C97594141087}"/>
    <cellStyle name="Normal 9 2 2 4 7" xfId="4883" xr:uid="{00000000-0005-0000-0000-0000F91E0000}"/>
    <cellStyle name="Normal 9 2 2 4 7 2" xfId="14209" xr:uid="{3B942AE1-A456-4A17-B49C-163F3418EAD7}"/>
    <cellStyle name="Normal 9 2 2 4 8" xfId="8992" xr:uid="{8AFFF8AD-8552-4B33-AAFF-7DACAE25085E}"/>
    <cellStyle name="Normal 9 2 2 4 9" xfId="9992" xr:uid="{4B5C88F9-1AA0-47B6-86C8-AAB36787A153}"/>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717E1C5B-E360-4E7E-B2DE-C65D1E890EB5}"/>
    <cellStyle name="Normal 9 2 2 5 2 3" xfId="12543" xr:uid="{59EB68D5-00D4-4D19-9379-72B3FB4A8C8B}"/>
    <cellStyle name="Normal 9 2 2 5 3" xfId="5289" xr:uid="{00000000-0005-0000-0000-0000FD1E0000}"/>
    <cellStyle name="Normal 9 2 2 5 3 2" xfId="14615" xr:uid="{3806C584-0DC1-484A-942E-C7A48D27D520}"/>
    <cellStyle name="Normal 9 2 2 5 4" xfId="9209" xr:uid="{66E66B93-842C-41D8-A807-A065C03CFEBD}"/>
    <cellStyle name="Normal 9 2 2 5 5" xfId="10398" xr:uid="{3C66ECF7-46F7-42A6-995D-C47E26C614AF}"/>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644F540B-E4E2-47D9-9121-BE75D621E505}"/>
    <cellStyle name="Normal 9 2 2 6 2 3" xfId="12956" xr:uid="{2A83F8C3-89B3-4B38-B51A-BE2C2935355A}"/>
    <cellStyle name="Normal 9 2 2 6 3" xfId="5702" xr:uid="{00000000-0005-0000-0000-0000011F0000}"/>
    <cellStyle name="Normal 9 2 2 6 3 2" xfId="15028" xr:uid="{BB7881F5-BF60-4C2E-AE4B-3D2DAB485A6E}"/>
    <cellStyle name="Normal 9 2 2 6 4" xfId="10811" xr:uid="{D5715202-DFCD-4885-8269-C137A8D9DCE7}"/>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4490D0BD-8059-45E4-925E-F72DD286DA1A}"/>
    <cellStyle name="Normal 9 2 2 7 2 3" xfId="13369" xr:uid="{0CBC46D9-7BBE-48BC-93B3-FDEA5CA64C3D}"/>
    <cellStyle name="Normal 9 2 2 7 3" xfId="6115" xr:uid="{00000000-0005-0000-0000-0000051F0000}"/>
    <cellStyle name="Normal 9 2 2 7 3 2" xfId="15441" xr:uid="{72322993-0353-4EC4-B4D1-A0033F6DF2F2}"/>
    <cellStyle name="Normal 9 2 2 7 4" xfId="11224" xr:uid="{0CDFF65B-2178-46B9-A337-41E1B5524736}"/>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C1692DF3-BE07-4A52-B168-BA9BF0605C09}"/>
    <cellStyle name="Normal 9 2 2 8 2 3" xfId="13782" xr:uid="{34E5EAAA-2135-46E9-BA90-4131109D34B2}"/>
    <cellStyle name="Normal 9 2 2 8 3" xfId="6528" xr:uid="{00000000-0005-0000-0000-0000091F0000}"/>
    <cellStyle name="Normal 9 2 2 8 3 2" xfId="15854" xr:uid="{34C05381-3B02-4EDF-B841-634F575AB6CC}"/>
    <cellStyle name="Normal 9 2 2 8 4" xfId="11637" xr:uid="{448E0046-43ED-4B84-A4DF-BCF19A33B4A9}"/>
    <cellStyle name="Normal 9 2 2 9" xfId="2658" xr:uid="{00000000-0005-0000-0000-00000A1F0000}"/>
    <cellStyle name="Normal 9 2 2 9 2" xfId="6941" xr:uid="{00000000-0005-0000-0000-00000B1F0000}"/>
    <cellStyle name="Normal 9 2 2 9 2 2" xfId="16267" xr:uid="{8CAC01B2-22D6-43AE-83E8-AD87131D797F}"/>
    <cellStyle name="Normal 9 2 2 9 3" xfId="12050" xr:uid="{2404E2BB-EA6C-4424-B28C-2F7DF21CCBEC}"/>
    <cellStyle name="Normal 9 2 3" xfId="520" xr:uid="{00000000-0005-0000-0000-00000C1F0000}"/>
    <cellStyle name="Normal 9 2 3 10" xfId="8838" xr:uid="{3F59BADF-95CF-4831-9CE1-8ACBDD585DF1}"/>
    <cellStyle name="Normal 9 2 3 11" xfId="9993" xr:uid="{E2F66027-EFD6-43C6-97A4-C64C1E299111}"/>
    <cellStyle name="Normal 9 2 3 2" xfId="521" xr:uid="{00000000-0005-0000-0000-00000D1F0000}"/>
    <cellStyle name="Normal 9 2 3 2 10" xfId="9994" xr:uid="{818B8ABC-E04B-4DA1-8DDD-AAFB937F4B93}"/>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0F4F3F49-4879-4D58-BA3F-5F6CF9CBC1A2}"/>
    <cellStyle name="Normal 9 2 3 2 2 2 2 3" xfId="12553" xr:uid="{688E4BE5-B692-4044-BCBA-A97DBB67E7FE}"/>
    <cellStyle name="Normal 9 2 3 2 2 2 3" xfId="5299" xr:uid="{00000000-0005-0000-0000-0000121F0000}"/>
    <cellStyle name="Normal 9 2 3 2 2 2 3 2" xfId="14625" xr:uid="{A7E7A56A-4942-44D0-9837-CC07D78C3639}"/>
    <cellStyle name="Normal 9 2 3 2 2 2 4" xfId="9573" xr:uid="{376F8566-2407-40B8-9531-D3E757BE7A23}"/>
    <cellStyle name="Normal 9 2 3 2 2 2 5" xfId="10408" xr:uid="{DCF61D80-3EFF-4D96-BE0C-E9B0C283256A}"/>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681745E0-86AE-49BF-92C7-989E1F3E6FCB}"/>
    <cellStyle name="Normal 9 2 3 2 2 3 2 3" xfId="12966" xr:uid="{2F4FF2B7-E1B3-400F-8FA8-FDAD5D9D751D}"/>
    <cellStyle name="Normal 9 2 3 2 2 3 3" xfId="5712" xr:uid="{00000000-0005-0000-0000-0000161F0000}"/>
    <cellStyle name="Normal 9 2 3 2 2 3 3 2" xfId="15038" xr:uid="{4538ED4A-29CD-4F0A-AC5C-5F4D1ABF78C5}"/>
    <cellStyle name="Normal 9 2 3 2 2 3 4" xfId="10821" xr:uid="{1C0A6B21-9726-4D09-814E-3F060B163EE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6202D92E-8987-47BC-882A-C879FD502468}"/>
    <cellStyle name="Normal 9 2 3 2 2 4 2 3" xfId="13379" xr:uid="{AB93E636-8561-4268-B2BB-B1B3295ADF00}"/>
    <cellStyle name="Normal 9 2 3 2 2 4 3" xfId="6125" xr:uid="{00000000-0005-0000-0000-00001A1F0000}"/>
    <cellStyle name="Normal 9 2 3 2 2 4 3 2" xfId="15451" xr:uid="{E062E565-8E86-4335-905E-E702799D3CFE}"/>
    <cellStyle name="Normal 9 2 3 2 2 4 4" xfId="11234" xr:uid="{E729F3F7-C1B9-4B94-8E9A-5C3268D210F2}"/>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D285789F-C7CE-4F27-9599-A14DFA255B0F}"/>
    <cellStyle name="Normal 9 2 3 2 2 5 2 3" xfId="13792" xr:uid="{1342637C-BAF8-466C-BEB1-D17483AFBF80}"/>
    <cellStyle name="Normal 9 2 3 2 2 5 3" xfId="6538" xr:uid="{00000000-0005-0000-0000-00001E1F0000}"/>
    <cellStyle name="Normal 9 2 3 2 2 5 3 2" xfId="15864" xr:uid="{B665C237-A3A7-40E0-B9E9-403CF92BCB82}"/>
    <cellStyle name="Normal 9 2 3 2 2 5 4" xfId="11647" xr:uid="{1B9DACDC-0EE6-4EC7-B9F4-BE0AEAB57B1D}"/>
    <cellStyle name="Normal 9 2 3 2 2 6" xfId="2668" xr:uid="{00000000-0005-0000-0000-00001F1F0000}"/>
    <cellStyle name="Normal 9 2 3 2 2 6 2" xfId="6951" xr:uid="{00000000-0005-0000-0000-0000201F0000}"/>
    <cellStyle name="Normal 9 2 3 2 2 6 2 2" xfId="16277" xr:uid="{AEF3D4D5-C2F2-448A-8E65-57178B4EC743}"/>
    <cellStyle name="Normal 9 2 3 2 2 6 3" xfId="12060" xr:uid="{E3D55623-03BE-4B9C-8597-5394A4499609}"/>
    <cellStyle name="Normal 9 2 3 2 2 7" xfId="4886" xr:uid="{00000000-0005-0000-0000-0000211F0000}"/>
    <cellStyle name="Normal 9 2 3 2 2 7 2" xfId="14212" xr:uid="{7A1C938D-C4F3-4192-A765-039F3729AEDA}"/>
    <cellStyle name="Normal 9 2 3 2 2 8" xfId="9148" xr:uid="{E1A2F3F0-C8EA-47FA-BB37-18F117041A87}"/>
    <cellStyle name="Normal 9 2 3 2 2 9" xfId="9995" xr:uid="{42946C68-6448-4135-AD93-90C8DBE5AAE4}"/>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0BC3D581-F1C4-4D1C-9AA8-7C63B33F9686}"/>
    <cellStyle name="Normal 9 2 3 2 3 2 3" xfId="12552" xr:uid="{34E0319B-4D4C-4DFA-A4E3-4C62839A1C38}"/>
    <cellStyle name="Normal 9 2 3 2 3 3" xfId="5298" xr:uid="{00000000-0005-0000-0000-0000251F0000}"/>
    <cellStyle name="Normal 9 2 3 2 3 3 2" xfId="14624" xr:uid="{42E7A359-702A-45AE-A71E-2BE7A1D917D7}"/>
    <cellStyle name="Normal 9 2 3 2 3 4" xfId="9366" xr:uid="{136A6B94-9CAA-4F6C-B09D-7385900FCA38}"/>
    <cellStyle name="Normal 9 2 3 2 3 5" xfId="10407" xr:uid="{B090E11E-AA72-46E9-B10A-9F0C679B7940}"/>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D0386372-CD52-4969-AB60-8A5CF168D4F3}"/>
    <cellStyle name="Normal 9 2 3 2 4 2 3" xfId="12965" xr:uid="{AED895BD-F23F-4A36-AEE6-D4640246E310}"/>
    <cellStyle name="Normal 9 2 3 2 4 3" xfId="5711" xr:uid="{00000000-0005-0000-0000-0000291F0000}"/>
    <cellStyle name="Normal 9 2 3 2 4 3 2" xfId="15037" xr:uid="{31B8593B-A785-4EC0-8239-F31F4A75F0C3}"/>
    <cellStyle name="Normal 9 2 3 2 4 4" xfId="10820" xr:uid="{B72FED05-FF35-4A12-97EF-710C386C5D43}"/>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F9179BDC-1B08-44B0-A6E9-442D61EE7137}"/>
    <cellStyle name="Normal 9 2 3 2 5 2 3" xfId="13378" xr:uid="{185D22FB-EFD8-4910-BF0E-B87EFBDBB3AC}"/>
    <cellStyle name="Normal 9 2 3 2 5 3" xfId="6124" xr:uid="{00000000-0005-0000-0000-00002D1F0000}"/>
    <cellStyle name="Normal 9 2 3 2 5 3 2" xfId="15450" xr:uid="{26A46189-EA1F-4A80-ADA2-3F270467E144}"/>
    <cellStyle name="Normal 9 2 3 2 5 4" xfId="11233" xr:uid="{6C6B5DBF-C184-4E1F-9C69-17EFBF370F2A}"/>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AA6998E2-D7E6-486A-B6CF-79702D036689}"/>
    <cellStyle name="Normal 9 2 3 2 6 2 3" xfId="13791" xr:uid="{5A055F60-AEA3-4EBF-90B6-3530B987E3B5}"/>
    <cellStyle name="Normal 9 2 3 2 6 3" xfId="6537" xr:uid="{00000000-0005-0000-0000-0000311F0000}"/>
    <cellStyle name="Normal 9 2 3 2 6 3 2" xfId="15863" xr:uid="{783A18B2-AF3D-4860-98BD-4DB3CC67B88B}"/>
    <cellStyle name="Normal 9 2 3 2 6 4" xfId="11646" xr:uid="{86F32B11-A16F-4F7A-91C0-FC9556EBBBA0}"/>
    <cellStyle name="Normal 9 2 3 2 7" xfId="2667" xr:uid="{00000000-0005-0000-0000-0000321F0000}"/>
    <cellStyle name="Normal 9 2 3 2 7 2" xfId="6950" xr:uid="{00000000-0005-0000-0000-0000331F0000}"/>
    <cellStyle name="Normal 9 2 3 2 7 2 2" xfId="16276" xr:uid="{D6D7F7EB-6AB4-4BE1-9A9B-3E58F6090F7A}"/>
    <cellStyle name="Normal 9 2 3 2 7 3" xfId="12059" xr:uid="{024C3275-61F4-4697-B281-6095C41FFDCC}"/>
    <cellStyle name="Normal 9 2 3 2 8" xfId="4885" xr:uid="{00000000-0005-0000-0000-0000341F0000}"/>
    <cellStyle name="Normal 9 2 3 2 8 2" xfId="14211" xr:uid="{A0B698DF-9095-4BEE-B28B-061E54DBE327}"/>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48C08E29-06F3-48EA-8E02-603083B66290}"/>
    <cellStyle name="Normal 9 2 3 3 2 2 3" xfId="12554" xr:uid="{4CEB89F6-E8C0-4C25-9F36-D4B0366618DB}"/>
    <cellStyle name="Normal 9 2 3 3 2 3" xfId="5300" xr:uid="{00000000-0005-0000-0000-0000391F0000}"/>
    <cellStyle name="Normal 9 2 3 3 2 3 2" xfId="14626" xr:uid="{52DBA08C-474F-4308-B9E0-158CBC710652}"/>
    <cellStyle name="Normal 9 2 3 3 2 4" xfId="9470" xr:uid="{B46EA5E7-4A9D-405A-94B0-2C155F0DE1F1}"/>
    <cellStyle name="Normal 9 2 3 3 2 5" xfId="10409" xr:uid="{BC5CBED5-643E-4CA6-A3EF-E4CA65FBE5F7}"/>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D7CE8963-3E40-480C-89EC-1616C17507E3}"/>
    <cellStyle name="Normal 9 2 3 3 3 2 3" xfId="12967" xr:uid="{A33549CA-02DC-45A4-B9B1-3C09A161D9DF}"/>
    <cellStyle name="Normal 9 2 3 3 3 3" xfId="5713" xr:uid="{00000000-0005-0000-0000-00003D1F0000}"/>
    <cellStyle name="Normal 9 2 3 3 3 3 2" xfId="15039" xr:uid="{FA4C66E7-0C1E-46FD-9012-8BEF21896AA6}"/>
    <cellStyle name="Normal 9 2 3 3 3 4" xfId="10822" xr:uid="{21D80A87-DF99-42FB-8E3D-7E47B3A6F6A6}"/>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5FDED351-83BF-4BB8-A77B-ACD8CC328E7F}"/>
    <cellStyle name="Normal 9 2 3 3 4 2 3" xfId="13380" xr:uid="{3716605A-4312-4091-8D85-492C7F18B155}"/>
    <cellStyle name="Normal 9 2 3 3 4 3" xfId="6126" xr:uid="{00000000-0005-0000-0000-0000411F0000}"/>
    <cellStyle name="Normal 9 2 3 3 4 3 2" xfId="15452" xr:uid="{74E9F418-C539-42F8-ABCF-E7E297F41C20}"/>
    <cellStyle name="Normal 9 2 3 3 4 4" xfId="11235" xr:uid="{F14D86AF-FE6E-45AF-AEF2-1B904AF6AD67}"/>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66F49F55-C5F6-438A-85DD-EF4AC12D3255}"/>
    <cellStyle name="Normal 9 2 3 3 5 2 3" xfId="13793" xr:uid="{39215FB6-820C-4FD4-BDF5-12F5235A42E2}"/>
    <cellStyle name="Normal 9 2 3 3 5 3" xfId="6539" xr:uid="{00000000-0005-0000-0000-0000451F0000}"/>
    <cellStyle name="Normal 9 2 3 3 5 3 2" xfId="15865" xr:uid="{36B5CD60-84E5-4C81-A8EF-2EF40444B90B}"/>
    <cellStyle name="Normal 9 2 3 3 5 4" xfId="11648" xr:uid="{D44D8FA2-E5DD-4E3F-B805-890407C0DFD0}"/>
    <cellStyle name="Normal 9 2 3 3 6" xfId="2669" xr:uid="{00000000-0005-0000-0000-0000461F0000}"/>
    <cellStyle name="Normal 9 2 3 3 6 2" xfId="6952" xr:uid="{00000000-0005-0000-0000-0000471F0000}"/>
    <cellStyle name="Normal 9 2 3 3 6 2 2" xfId="16278" xr:uid="{D2F34E80-1FD0-482F-B5B5-2320C7EA2285}"/>
    <cellStyle name="Normal 9 2 3 3 6 3" xfId="12061" xr:uid="{DA5CEC63-2AA4-44CB-9A0F-7F751D5157EA}"/>
    <cellStyle name="Normal 9 2 3 3 7" xfId="4887" xr:uid="{00000000-0005-0000-0000-0000481F0000}"/>
    <cellStyle name="Normal 9 2 3 3 7 2" xfId="14213" xr:uid="{F957A1B6-67C2-482E-8BB4-AB725A5B20DA}"/>
    <cellStyle name="Normal 9 2 3 3 8" xfId="9045" xr:uid="{CD23D75F-FCE1-471A-A55A-DAC6FB15D069}"/>
    <cellStyle name="Normal 9 2 3 3 9" xfId="9996" xr:uid="{1EC21F1A-91FA-4110-B105-B29E921D2310}"/>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F09B8B7C-3A38-4FC7-930F-850F6EBA8BE2}"/>
    <cellStyle name="Normal 9 2 3 4 2 3" xfId="12551" xr:uid="{66A7C6C0-9C5A-414B-B5F3-1C4283849279}"/>
    <cellStyle name="Normal 9 2 3 4 3" xfId="5297" xr:uid="{00000000-0005-0000-0000-00004C1F0000}"/>
    <cellStyle name="Normal 9 2 3 4 3 2" xfId="14623" xr:uid="{BF9B4652-D451-4303-A7A6-11ADFB36D411}"/>
    <cellStyle name="Normal 9 2 3 4 4" xfId="9263" xr:uid="{8E7B719A-F76B-4A2B-A5A7-1A883FD6976F}"/>
    <cellStyle name="Normal 9 2 3 4 5" xfId="10406" xr:uid="{9897BB44-E2EF-4019-B7BE-0A1993A60CF5}"/>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4E19ECFD-C8C1-4063-AFC3-D16350FDE0EE}"/>
    <cellStyle name="Normal 9 2 3 5 2 3" xfId="12964" xr:uid="{64BFDA8F-42D6-4EC0-850F-163AF087AD7C}"/>
    <cellStyle name="Normal 9 2 3 5 3" xfId="5710" xr:uid="{00000000-0005-0000-0000-0000501F0000}"/>
    <cellStyle name="Normal 9 2 3 5 3 2" xfId="15036" xr:uid="{052C9629-CFBD-458E-9AB8-87965E984741}"/>
    <cellStyle name="Normal 9 2 3 5 4" xfId="10819" xr:uid="{6E76D881-A03C-4879-BD8B-F2FC42087D81}"/>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92BDFCBF-52B4-4691-885B-2DF5C3690333}"/>
    <cellStyle name="Normal 9 2 3 6 2 3" xfId="13377" xr:uid="{9335CF65-5F64-4691-9575-94AD6A5B8639}"/>
    <cellStyle name="Normal 9 2 3 6 3" xfId="6123" xr:uid="{00000000-0005-0000-0000-0000541F0000}"/>
    <cellStyle name="Normal 9 2 3 6 3 2" xfId="15449" xr:uid="{37089298-D23A-444F-B1A7-343C877B8A82}"/>
    <cellStyle name="Normal 9 2 3 6 4" xfId="11232" xr:uid="{0E86EAE6-5496-45CE-9A4D-376228D475C7}"/>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36B25B63-9D03-40BD-8048-16073857E1F5}"/>
    <cellStyle name="Normal 9 2 3 7 2 3" xfId="13790" xr:uid="{5CE5F38A-04E1-4E3A-8028-294602E6EC45}"/>
    <cellStyle name="Normal 9 2 3 7 3" xfId="6536" xr:uid="{00000000-0005-0000-0000-0000581F0000}"/>
    <cellStyle name="Normal 9 2 3 7 3 2" xfId="15862" xr:uid="{FF34B877-F79D-47EA-93DC-D5E164082757}"/>
    <cellStyle name="Normal 9 2 3 7 4" xfId="11645" xr:uid="{EF4022FF-A968-493D-A964-7EE10A498764}"/>
    <cellStyle name="Normal 9 2 3 8" xfId="2666" xr:uid="{00000000-0005-0000-0000-0000591F0000}"/>
    <cellStyle name="Normal 9 2 3 8 2" xfId="6949" xr:uid="{00000000-0005-0000-0000-00005A1F0000}"/>
    <cellStyle name="Normal 9 2 3 8 2 2" xfId="16275" xr:uid="{CF69B334-2212-441A-9E09-49215A2DB6D6}"/>
    <cellStyle name="Normal 9 2 3 8 3" xfId="12058" xr:uid="{EE9B1237-6E00-4379-BD39-BB27EFB78376}"/>
    <cellStyle name="Normal 9 2 3 9" xfId="4884" xr:uid="{00000000-0005-0000-0000-00005B1F0000}"/>
    <cellStyle name="Normal 9 2 3 9 2" xfId="14210" xr:uid="{C7575F69-B838-4AAA-A15E-6C8FE52CC546}"/>
    <cellStyle name="Normal 9 2 4" xfId="524" xr:uid="{00000000-0005-0000-0000-00005C1F0000}"/>
    <cellStyle name="Normal 9 2 4 10" xfId="9997" xr:uid="{EA0E974B-7359-488B-96FA-EC40809FF392}"/>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B1039629-AFE5-401A-9706-A0FA5E3FB576}"/>
    <cellStyle name="Normal 9 2 4 2 2 2 3" xfId="12556" xr:uid="{4DE7274C-7CF5-4616-90B5-78070F0CB387}"/>
    <cellStyle name="Normal 9 2 4 2 2 3" xfId="5302" xr:uid="{00000000-0005-0000-0000-0000611F0000}"/>
    <cellStyle name="Normal 9 2 4 2 2 3 2" xfId="14628" xr:uid="{F614DA2C-FB1B-4924-BBBB-45933916B1DB}"/>
    <cellStyle name="Normal 9 2 4 2 2 4" xfId="9489" xr:uid="{4BA9DC16-58A7-4D6B-90A6-6BB0C51A0279}"/>
    <cellStyle name="Normal 9 2 4 2 2 5" xfId="10411" xr:uid="{3F2A9476-021E-4804-9C08-B64635B05048}"/>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7FBAD757-63E4-4C82-9301-678BD000D4DF}"/>
    <cellStyle name="Normal 9 2 4 2 3 2 3" xfId="12969" xr:uid="{79B96A77-98D6-4C6C-8152-8E5375B56B0E}"/>
    <cellStyle name="Normal 9 2 4 2 3 3" xfId="5715" xr:uid="{00000000-0005-0000-0000-0000651F0000}"/>
    <cellStyle name="Normal 9 2 4 2 3 3 2" xfId="15041" xr:uid="{F8587A38-1E73-45F5-AAA2-2686D539638B}"/>
    <cellStyle name="Normal 9 2 4 2 3 4" xfId="10824" xr:uid="{DF937611-6283-41A8-BDC9-4541227EEB04}"/>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F343F631-B1B8-4ABA-ABD2-B80A601B9C52}"/>
    <cellStyle name="Normal 9 2 4 2 4 2 3" xfId="13382" xr:uid="{A6C29AC9-92B6-407A-A735-6490BFF9F12C}"/>
    <cellStyle name="Normal 9 2 4 2 4 3" xfId="6128" xr:uid="{00000000-0005-0000-0000-0000691F0000}"/>
    <cellStyle name="Normal 9 2 4 2 4 3 2" xfId="15454" xr:uid="{70438644-174C-4A95-BEC4-0BBB6D79E19A}"/>
    <cellStyle name="Normal 9 2 4 2 4 4" xfId="11237" xr:uid="{92B461F1-5EE4-48E2-AF16-CB83C06F1DC2}"/>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B8A8570C-3632-497B-BFB3-32CBCBCF4205}"/>
    <cellStyle name="Normal 9 2 4 2 5 2 3" xfId="13795" xr:uid="{BD4F5968-2AA7-4822-A618-F149A36926D4}"/>
    <cellStyle name="Normal 9 2 4 2 5 3" xfId="6541" xr:uid="{00000000-0005-0000-0000-00006D1F0000}"/>
    <cellStyle name="Normal 9 2 4 2 5 3 2" xfId="15867" xr:uid="{F2174429-8347-4BEB-83DA-F7F4B2769355}"/>
    <cellStyle name="Normal 9 2 4 2 5 4" xfId="11650" xr:uid="{4E054D4B-7767-410D-B796-DF074FC35CA4}"/>
    <cellStyle name="Normal 9 2 4 2 6" xfId="2671" xr:uid="{00000000-0005-0000-0000-00006E1F0000}"/>
    <cellStyle name="Normal 9 2 4 2 6 2" xfId="6954" xr:uid="{00000000-0005-0000-0000-00006F1F0000}"/>
    <cellStyle name="Normal 9 2 4 2 6 2 2" xfId="16280" xr:uid="{775D1F56-8571-4721-80BB-00CAA50EF3BE}"/>
    <cellStyle name="Normal 9 2 4 2 6 3" xfId="12063" xr:uid="{E2C3E53C-192B-4AED-99FA-4D316CBFEA81}"/>
    <cellStyle name="Normal 9 2 4 2 7" xfId="4889" xr:uid="{00000000-0005-0000-0000-0000701F0000}"/>
    <cellStyle name="Normal 9 2 4 2 7 2" xfId="14215" xr:uid="{1922644D-3ECE-4FFB-9BC9-51D4CAA55D08}"/>
    <cellStyle name="Normal 9 2 4 2 8" xfId="9064" xr:uid="{7D4090C3-C767-4FFF-8A1F-282B2C8BAE68}"/>
    <cellStyle name="Normal 9 2 4 2 9" xfId="9998" xr:uid="{9539739C-3AAB-4AE9-879E-AB76AE6CB050}"/>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407D0E2A-77CD-485D-8DFA-10F4F71711E8}"/>
    <cellStyle name="Normal 9 2 4 3 2 3" xfId="12555" xr:uid="{C65EEEE6-A199-4C71-BE09-548ACAA8D52D}"/>
    <cellStyle name="Normal 9 2 4 3 3" xfId="5301" xr:uid="{00000000-0005-0000-0000-0000741F0000}"/>
    <cellStyle name="Normal 9 2 4 3 3 2" xfId="14627" xr:uid="{AFD8293E-21FF-4D1D-9618-85F40AF1B6E6}"/>
    <cellStyle name="Normal 9 2 4 3 4" xfId="9282" xr:uid="{2471E5AC-3D06-4E90-9462-C54FACA9B22B}"/>
    <cellStyle name="Normal 9 2 4 3 5" xfId="10410" xr:uid="{CD71AA12-3493-4EFC-A13C-F4B3CFBA68F1}"/>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156FF2D8-79FB-45C0-82B2-CF4F52BF8883}"/>
    <cellStyle name="Normal 9 2 4 4 2 3" xfId="12968" xr:uid="{FC108660-5B21-45DE-80CB-4C3F138EC80B}"/>
    <cellStyle name="Normal 9 2 4 4 3" xfId="5714" xr:uid="{00000000-0005-0000-0000-0000781F0000}"/>
    <cellStyle name="Normal 9 2 4 4 3 2" xfId="15040" xr:uid="{F1EC037F-092B-4512-ABE5-2C5E55509CCE}"/>
    <cellStyle name="Normal 9 2 4 4 4" xfId="10823" xr:uid="{F885050F-DA0C-499F-8E27-B24EBCFC7F1A}"/>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DD7FF141-DC64-4D69-AF36-B8DC9BFECE0C}"/>
    <cellStyle name="Normal 9 2 4 5 2 3" xfId="13381" xr:uid="{2A224D97-15A5-4FC4-AE22-7F14B6FC7184}"/>
    <cellStyle name="Normal 9 2 4 5 3" xfId="6127" xr:uid="{00000000-0005-0000-0000-00007C1F0000}"/>
    <cellStyle name="Normal 9 2 4 5 3 2" xfId="15453" xr:uid="{80100EAF-06E2-4787-9562-325A3D168FD3}"/>
    <cellStyle name="Normal 9 2 4 5 4" xfId="11236" xr:uid="{CB0A84E3-255A-42CE-A560-6A7A84220311}"/>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7E6D8983-F970-4932-9C98-5F632DB5CD13}"/>
    <cellStyle name="Normal 9 2 4 6 2 3" xfId="13794" xr:uid="{474DD8CC-FECE-417A-8D37-83049B6CB727}"/>
    <cellStyle name="Normal 9 2 4 6 3" xfId="6540" xr:uid="{00000000-0005-0000-0000-0000801F0000}"/>
    <cellStyle name="Normal 9 2 4 6 3 2" xfId="15866" xr:uid="{05632F52-E79A-4F1C-AFE9-FAC6C1AD29FE}"/>
    <cellStyle name="Normal 9 2 4 6 4" xfId="11649" xr:uid="{1B7EBAD7-7181-4DB7-BA0C-25D598AB60F0}"/>
    <cellStyle name="Normal 9 2 4 7" xfId="2670" xr:uid="{00000000-0005-0000-0000-0000811F0000}"/>
    <cellStyle name="Normal 9 2 4 7 2" xfId="6953" xr:uid="{00000000-0005-0000-0000-0000821F0000}"/>
    <cellStyle name="Normal 9 2 4 7 2 2" xfId="16279" xr:uid="{A14BB9BD-D46F-469A-A7AD-F131667E0EBB}"/>
    <cellStyle name="Normal 9 2 4 7 3" xfId="12062" xr:uid="{F50F4A78-C415-48AD-A486-28A10F051579}"/>
    <cellStyle name="Normal 9 2 4 8" xfId="4888" xr:uid="{00000000-0005-0000-0000-0000831F0000}"/>
    <cellStyle name="Normal 9 2 4 8 2" xfId="14214" xr:uid="{F63B49C2-7A4E-452F-8274-B9BD230F816E}"/>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A72C70C9-8ED7-4B0D-91B4-DA61E6D3321E}"/>
    <cellStyle name="Normal 9 2 5 2 2 3" xfId="12557" xr:uid="{3B8FE60B-431B-4181-86F8-2FEBC32F2D07}"/>
    <cellStyle name="Normal 9 2 5 2 3" xfId="5303" xr:uid="{00000000-0005-0000-0000-0000881F0000}"/>
    <cellStyle name="Normal 9 2 5 2 3 2" xfId="14629" xr:uid="{4371E561-F12A-49BD-B475-54DACB31ADD7}"/>
    <cellStyle name="Normal 9 2 5 2 4" xfId="9398" xr:uid="{5B2A416E-986C-4898-8893-9EAFDDDBCDD4}"/>
    <cellStyle name="Normal 9 2 5 2 5" xfId="10412" xr:uid="{7568FD60-1614-4CE1-89DF-DE2063BF8EA1}"/>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28EC3B9A-9C5C-499E-8273-33285220ABC8}"/>
    <cellStyle name="Normal 9 2 5 3 2 3" xfId="12970" xr:uid="{24E13BFF-C25B-4FED-A585-8351A7058858}"/>
    <cellStyle name="Normal 9 2 5 3 3" xfId="5716" xr:uid="{00000000-0005-0000-0000-00008C1F0000}"/>
    <cellStyle name="Normal 9 2 5 3 3 2" xfId="15042" xr:uid="{7DFB5F59-66FE-4559-AF3D-8CC896F5DD10}"/>
    <cellStyle name="Normal 9 2 5 3 4" xfId="10825" xr:uid="{67408177-DBF1-49CE-A8A8-6FFF0BD7311A}"/>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F0F1B9E4-2511-469C-8782-B0B7F6625CE2}"/>
    <cellStyle name="Normal 9 2 5 4 2 3" xfId="13383" xr:uid="{5B6C9F78-83A6-487B-80D6-CD857BAE6E1D}"/>
    <cellStyle name="Normal 9 2 5 4 3" xfId="6129" xr:uid="{00000000-0005-0000-0000-0000901F0000}"/>
    <cellStyle name="Normal 9 2 5 4 3 2" xfId="15455" xr:uid="{715BA68D-9AD9-4C37-91D4-4EC8062E63C9}"/>
    <cellStyle name="Normal 9 2 5 4 4" xfId="11238" xr:uid="{5FAA3482-5324-4A17-ABBD-AC36D746C460}"/>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241905BA-9824-428B-A8E1-709C7FB9583F}"/>
    <cellStyle name="Normal 9 2 5 5 2 3" xfId="13796" xr:uid="{0C040D2D-B139-4BE0-80EC-1407A94C2ABA}"/>
    <cellStyle name="Normal 9 2 5 5 3" xfId="6542" xr:uid="{00000000-0005-0000-0000-0000941F0000}"/>
    <cellStyle name="Normal 9 2 5 5 3 2" xfId="15868" xr:uid="{5C8BEFE9-CED8-4B95-9017-21EF4B8D4440}"/>
    <cellStyle name="Normal 9 2 5 5 4" xfId="11651" xr:uid="{06420285-2E85-41CC-80C5-2370BD4C1048}"/>
    <cellStyle name="Normal 9 2 5 6" xfId="2672" xr:uid="{00000000-0005-0000-0000-0000951F0000}"/>
    <cellStyle name="Normal 9 2 5 6 2" xfId="6955" xr:uid="{00000000-0005-0000-0000-0000961F0000}"/>
    <cellStyle name="Normal 9 2 5 6 2 2" xfId="16281" xr:uid="{CA790927-ABC0-4A64-AF9E-BE1334CD673D}"/>
    <cellStyle name="Normal 9 2 5 6 3" xfId="12064" xr:uid="{50BA02DD-CFCE-4DEB-8366-6C9A44735EDA}"/>
    <cellStyle name="Normal 9 2 5 7" xfId="4890" xr:uid="{00000000-0005-0000-0000-0000971F0000}"/>
    <cellStyle name="Normal 9 2 5 7 2" xfId="14216" xr:uid="{61AE098B-1F1E-43CE-8E42-2FBAAB23FF46}"/>
    <cellStyle name="Normal 9 2 5 8" xfId="8973" xr:uid="{BA9464C2-72F7-4B38-B1BD-6986FFA433D9}"/>
    <cellStyle name="Normal 9 2 5 9" xfId="9999" xr:uid="{3D2652BA-1E9F-42E8-A67E-864235CE7DB2}"/>
    <cellStyle name="Normal 9 2 6" xfId="978" xr:uid="{00000000-0005-0000-0000-0000981F0000}"/>
    <cellStyle name="Normal 9 2 6 2" xfId="3211" xr:uid="{00000000-0005-0000-0000-0000991F0000}"/>
    <cellStyle name="Normal 9 2 6 2 2" xfId="7433" xr:uid="{00000000-0005-0000-0000-00009A1F0000}"/>
    <cellStyle name="Normal 9 2 6 2 2 2" xfId="16759" xr:uid="{4E06160E-999C-4BE1-8D79-594A47840265}"/>
    <cellStyle name="Normal 9 2 6 2 3" xfId="12542" xr:uid="{03DD0ABA-AEC3-4C30-96A0-A7222D1E424B}"/>
    <cellStyle name="Normal 9 2 6 3" xfId="5288" xr:uid="{00000000-0005-0000-0000-00009B1F0000}"/>
    <cellStyle name="Normal 9 2 6 3 2" xfId="14614" xr:uid="{7751B89A-3826-48BE-8510-01665BBC9342}"/>
    <cellStyle name="Normal 9 2 6 4" xfId="9176" xr:uid="{F3933A08-5B20-47C9-B0FC-7B73F4B0BA7D}"/>
    <cellStyle name="Normal 9 2 6 5" xfId="10397" xr:uid="{338A8A60-E174-4228-B910-FC127CF1B4F5}"/>
    <cellStyle name="Normal 9 2 7" xfId="1394" xr:uid="{00000000-0005-0000-0000-00009C1F0000}"/>
    <cellStyle name="Normal 9 2 7 2" xfId="3624" xr:uid="{00000000-0005-0000-0000-00009D1F0000}"/>
    <cellStyle name="Normal 9 2 7 2 2" xfId="7846" xr:uid="{00000000-0005-0000-0000-00009E1F0000}"/>
    <cellStyle name="Normal 9 2 7 2 2 2" xfId="17172" xr:uid="{B1E5AE10-35AF-4892-BEDD-B8626E544B12}"/>
    <cellStyle name="Normal 9 2 7 2 3" xfId="12955" xr:uid="{289E8ACF-3096-4C3E-B31E-B891AB76D69E}"/>
    <cellStyle name="Normal 9 2 7 3" xfId="5701" xr:uid="{00000000-0005-0000-0000-00009F1F0000}"/>
    <cellStyle name="Normal 9 2 7 3 2" xfId="15027" xr:uid="{952C5565-4D00-48CC-8F56-D32B60C0F0B2}"/>
    <cellStyle name="Normal 9 2 7 4" xfId="10810" xr:uid="{BB7937CC-EFCD-4D4B-8172-42205D5A0368}"/>
    <cellStyle name="Normal 9 2 8" xfId="1807" xr:uid="{00000000-0005-0000-0000-0000A01F0000}"/>
    <cellStyle name="Normal 9 2 8 2" xfId="4037" xr:uid="{00000000-0005-0000-0000-0000A11F0000}"/>
    <cellStyle name="Normal 9 2 8 2 2" xfId="8259" xr:uid="{00000000-0005-0000-0000-0000A21F0000}"/>
    <cellStyle name="Normal 9 2 8 2 2 2" xfId="17585" xr:uid="{DA078812-8418-48EE-BF37-4F36E1D73443}"/>
    <cellStyle name="Normal 9 2 8 2 3" xfId="13368" xr:uid="{D8ED8095-3F1A-491A-9990-F1B7ABC73BC7}"/>
    <cellStyle name="Normal 9 2 8 3" xfId="6114" xr:uid="{00000000-0005-0000-0000-0000A31F0000}"/>
    <cellStyle name="Normal 9 2 8 3 2" xfId="15440" xr:uid="{0D44B290-E963-4993-BCFF-1A69563F93B8}"/>
    <cellStyle name="Normal 9 2 8 4" xfId="11223" xr:uid="{42386A72-2608-46FF-BDBE-3FAD61A557B4}"/>
    <cellStyle name="Normal 9 2 9" xfId="2221" xr:uid="{00000000-0005-0000-0000-0000A41F0000}"/>
    <cellStyle name="Normal 9 2 9 2" xfId="4450" xr:uid="{00000000-0005-0000-0000-0000A51F0000}"/>
    <cellStyle name="Normal 9 2 9 2 2" xfId="8672" xr:uid="{00000000-0005-0000-0000-0000A61F0000}"/>
    <cellStyle name="Normal 9 2 9 2 2 2" xfId="17998" xr:uid="{31227BF1-4475-4FF4-BA0A-E747B0BC3DC3}"/>
    <cellStyle name="Normal 9 2 9 2 3" xfId="13781" xr:uid="{BBE9365B-8356-401A-9053-F792EB87AFF7}"/>
    <cellStyle name="Normal 9 2 9 3" xfId="6527" xr:uid="{00000000-0005-0000-0000-0000A71F0000}"/>
    <cellStyle name="Normal 9 2 9 3 2" xfId="15853" xr:uid="{9EF82BF5-C9E3-4D0F-B37F-00BEBA646831}"/>
    <cellStyle name="Normal 9 2 9 4" xfId="11636" xr:uid="{736162E2-6601-4CA8-9D60-2D5B2ACF4068}"/>
    <cellStyle name="Normal 9 3" xfId="527" xr:uid="{00000000-0005-0000-0000-0000A81F0000}"/>
    <cellStyle name="Normal 9 3 10" xfId="4891" xr:uid="{00000000-0005-0000-0000-0000A91F0000}"/>
    <cellStyle name="Normal 9 3 10 2" xfId="14217" xr:uid="{D4E6EE0A-4B57-4DF6-B74D-DEA27F283256}"/>
    <cellStyle name="Normal 9 3 11" xfId="8777" xr:uid="{1F3D7E21-FC22-4F0C-9371-3D8250746BB7}"/>
    <cellStyle name="Normal 9 3 12" xfId="10000" xr:uid="{95A2EB1C-CC38-417A-A099-0892896C8A32}"/>
    <cellStyle name="Normal 9 3 2" xfId="528" xr:uid="{00000000-0005-0000-0000-0000AA1F0000}"/>
    <cellStyle name="Normal 9 3 2 10" xfId="8840" xr:uid="{94797BE2-1721-4871-A768-79D4D45F48BB}"/>
    <cellStyle name="Normal 9 3 2 11" xfId="10001" xr:uid="{52BA48F2-B173-4891-8452-64F8344C49BF}"/>
    <cellStyle name="Normal 9 3 2 2" xfId="529" xr:uid="{00000000-0005-0000-0000-0000AB1F0000}"/>
    <cellStyle name="Normal 9 3 2 2 10" xfId="10002" xr:uid="{90517380-D6A5-4248-9728-F6E903D3866A}"/>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346D2354-86FA-4ADA-91F3-A704CAFD03AC}"/>
    <cellStyle name="Normal 9 3 2 2 2 2 2 3" xfId="12561" xr:uid="{D0169337-789D-4747-83CE-8B8A002726AD}"/>
    <cellStyle name="Normal 9 3 2 2 2 2 3" xfId="5307" xr:uid="{00000000-0005-0000-0000-0000B01F0000}"/>
    <cellStyle name="Normal 9 3 2 2 2 2 3 2" xfId="14633" xr:uid="{1135FF55-FEFD-46D7-A5B8-84F398CB1DA6}"/>
    <cellStyle name="Normal 9 3 2 2 2 2 4" xfId="9575" xr:uid="{DA05DE06-1987-4B8E-8439-C692853FF296}"/>
    <cellStyle name="Normal 9 3 2 2 2 2 5" xfId="10416" xr:uid="{0753BAFA-2B0A-4719-9E98-1DBC757D9CF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48CB68CF-7075-4FD1-A2D9-BFF00998C020}"/>
    <cellStyle name="Normal 9 3 2 2 2 3 2 3" xfId="12974" xr:uid="{D85131CB-0AB8-4EC9-BC92-FFB4FBFD7513}"/>
    <cellStyle name="Normal 9 3 2 2 2 3 3" xfId="5720" xr:uid="{00000000-0005-0000-0000-0000B41F0000}"/>
    <cellStyle name="Normal 9 3 2 2 2 3 3 2" xfId="15046" xr:uid="{66FEFD91-02D4-4082-9602-4321CEBC68FC}"/>
    <cellStyle name="Normal 9 3 2 2 2 3 4" xfId="10829" xr:uid="{2135C554-9AD4-4C0E-B810-F5A1BC86FFBE}"/>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8E2C217F-1E84-4C41-97C6-C9F6D383FFC0}"/>
    <cellStyle name="Normal 9 3 2 2 2 4 2 3" xfId="13387" xr:uid="{79A39575-6079-4530-907E-28D25DA6FDE6}"/>
    <cellStyle name="Normal 9 3 2 2 2 4 3" xfId="6133" xr:uid="{00000000-0005-0000-0000-0000B81F0000}"/>
    <cellStyle name="Normal 9 3 2 2 2 4 3 2" xfId="15459" xr:uid="{DF8293A5-35BC-45C5-8ADD-721BFF6A8962}"/>
    <cellStyle name="Normal 9 3 2 2 2 4 4" xfId="11242" xr:uid="{BE775899-0155-407D-A1DA-457E15A9D28D}"/>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AB28C6EA-F33D-4444-AC6C-17D1D1F19921}"/>
    <cellStyle name="Normal 9 3 2 2 2 5 2 3" xfId="13800" xr:uid="{43B13C0C-AAA1-4129-8013-82D646A84119}"/>
    <cellStyle name="Normal 9 3 2 2 2 5 3" xfId="6546" xr:uid="{00000000-0005-0000-0000-0000BC1F0000}"/>
    <cellStyle name="Normal 9 3 2 2 2 5 3 2" xfId="15872" xr:uid="{CBAE44E0-AD39-4ABE-A2CA-22B38A0D4F0D}"/>
    <cellStyle name="Normal 9 3 2 2 2 5 4" xfId="11655" xr:uid="{2EBF5AB9-32A0-4E27-BAA6-D49A7CD700DA}"/>
    <cellStyle name="Normal 9 3 2 2 2 6" xfId="2676" xr:uid="{00000000-0005-0000-0000-0000BD1F0000}"/>
    <cellStyle name="Normal 9 3 2 2 2 6 2" xfId="6959" xr:uid="{00000000-0005-0000-0000-0000BE1F0000}"/>
    <cellStyle name="Normal 9 3 2 2 2 6 2 2" xfId="16285" xr:uid="{02F84834-FBE2-4315-BC12-3F46C2EDCBB9}"/>
    <cellStyle name="Normal 9 3 2 2 2 6 3" xfId="12068" xr:uid="{9306A33A-CF6A-47BD-8AFE-91EACA593CAB}"/>
    <cellStyle name="Normal 9 3 2 2 2 7" xfId="4894" xr:uid="{00000000-0005-0000-0000-0000BF1F0000}"/>
    <cellStyle name="Normal 9 3 2 2 2 7 2" xfId="14220" xr:uid="{D62D971E-ADE1-4B36-8C1B-179EC1CE384D}"/>
    <cellStyle name="Normal 9 3 2 2 2 8" xfId="9150" xr:uid="{F54F74BE-A583-4C94-A198-8E0D27AD7F4F}"/>
    <cellStyle name="Normal 9 3 2 2 2 9" xfId="10003" xr:uid="{1BB76F0B-B10A-49F1-9187-49168B9DFCE1}"/>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79050E0A-758D-4A47-81DA-60EBDEFAD680}"/>
    <cellStyle name="Normal 9 3 2 2 3 2 3" xfId="12560" xr:uid="{A83DBC0A-1794-400F-91D5-4C102C0CB577}"/>
    <cellStyle name="Normal 9 3 2 2 3 3" xfId="5306" xr:uid="{00000000-0005-0000-0000-0000C31F0000}"/>
    <cellStyle name="Normal 9 3 2 2 3 3 2" xfId="14632" xr:uid="{D5AF2918-C5CA-49A3-A0ED-B19651FBE127}"/>
    <cellStyle name="Normal 9 3 2 2 3 4" xfId="9368" xr:uid="{B3189122-1774-442D-BD5B-8DA329618536}"/>
    <cellStyle name="Normal 9 3 2 2 3 5" xfId="10415" xr:uid="{30721506-CBC8-4E36-B96B-8700194D90F8}"/>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367B667D-62F4-4D1E-9519-8B86ECE35E2F}"/>
    <cellStyle name="Normal 9 3 2 2 4 2 3" xfId="12973" xr:uid="{680D1D65-CCCB-434D-ACAD-2A33A28EF1DB}"/>
    <cellStyle name="Normal 9 3 2 2 4 3" xfId="5719" xr:uid="{00000000-0005-0000-0000-0000C71F0000}"/>
    <cellStyle name="Normal 9 3 2 2 4 3 2" xfId="15045" xr:uid="{94901DB1-853B-4D44-8505-EA9D6930E899}"/>
    <cellStyle name="Normal 9 3 2 2 4 4" xfId="10828" xr:uid="{ECDD97F6-F18C-4B8A-9575-4AD76F9EB382}"/>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4BCED5DC-D47D-46CA-B6FA-62FB96FA2D03}"/>
    <cellStyle name="Normal 9 3 2 2 5 2 3" xfId="13386" xr:uid="{6F748352-847D-4A34-940F-316AAF0091C2}"/>
    <cellStyle name="Normal 9 3 2 2 5 3" xfId="6132" xr:uid="{00000000-0005-0000-0000-0000CB1F0000}"/>
    <cellStyle name="Normal 9 3 2 2 5 3 2" xfId="15458" xr:uid="{668592EE-6968-4AD7-B3E3-67F8CFD9932E}"/>
    <cellStyle name="Normal 9 3 2 2 5 4" xfId="11241" xr:uid="{13D13E58-9E21-4CE2-A062-5E16AE71C39A}"/>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06D7F458-AF51-427F-BC36-1BDDEDC97F40}"/>
    <cellStyle name="Normal 9 3 2 2 6 2 3" xfId="13799" xr:uid="{92439942-395E-4C77-BBC5-D1BE8CCA4F8A}"/>
    <cellStyle name="Normal 9 3 2 2 6 3" xfId="6545" xr:uid="{00000000-0005-0000-0000-0000CF1F0000}"/>
    <cellStyle name="Normal 9 3 2 2 6 3 2" xfId="15871" xr:uid="{5322E735-4621-4CDB-BF55-3AEFE1331A0B}"/>
    <cellStyle name="Normal 9 3 2 2 6 4" xfId="11654" xr:uid="{B37D612E-A597-4CC3-85DC-EAF0E51E6CA2}"/>
    <cellStyle name="Normal 9 3 2 2 7" xfId="2675" xr:uid="{00000000-0005-0000-0000-0000D01F0000}"/>
    <cellStyle name="Normal 9 3 2 2 7 2" xfId="6958" xr:uid="{00000000-0005-0000-0000-0000D11F0000}"/>
    <cellStyle name="Normal 9 3 2 2 7 2 2" xfId="16284" xr:uid="{9275FE3E-79C1-476B-8F97-725F23CA9C3B}"/>
    <cellStyle name="Normal 9 3 2 2 7 3" xfId="12067" xr:uid="{372272A3-DB34-4633-BC3D-EFAE1EDAF602}"/>
    <cellStyle name="Normal 9 3 2 2 8" xfId="4893" xr:uid="{00000000-0005-0000-0000-0000D21F0000}"/>
    <cellStyle name="Normal 9 3 2 2 8 2" xfId="14219" xr:uid="{E7A242FF-EF8F-4579-97C6-1C8A25FF5621}"/>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AAC4F6F5-0D9F-4E01-B875-833A3E15412E}"/>
    <cellStyle name="Normal 9 3 2 3 2 2 3" xfId="12562" xr:uid="{E0F2564F-41F4-4141-877E-1BA0677B91D9}"/>
    <cellStyle name="Normal 9 3 2 3 2 3" xfId="5308" xr:uid="{00000000-0005-0000-0000-0000D71F0000}"/>
    <cellStyle name="Normal 9 3 2 3 2 3 2" xfId="14634" xr:uid="{0C04729F-5693-4254-8ADC-E91F7B362E70}"/>
    <cellStyle name="Normal 9 3 2 3 2 4" xfId="9472" xr:uid="{427A8E71-9BC4-47C0-A855-6886AF96C97E}"/>
    <cellStyle name="Normal 9 3 2 3 2 5" xfId="10417" xr:uid="{75EE0EAD-635F-4133-A9E7-DB2C7C0D3F1F}"/>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C00F948D-32E9-4BD6-B444-48B9D9149C65}"/>
    <cellStyle name="Normal 9 3 2 3 3 2 3" xfId="12975" xr:uid="{EB308551-793E-4583-8012-705E3CEDBF86}"/>
    <cellStyle name="Normal 9 3 2 3 3 3" xfId="5721" xr:uid="{00000000-0005-0000-0000-0000DB1F0000}"/>
    <cellStyle name="Normal 9 3 2 3 3 3 2" xfId="15047" xr:uid="{35B6CA7F-975D-43E5-8077-0FA6E9E30A57}"/>
    <cellStyle name="Normal 9 3 2 3 3 4" xfId="10830" xr:uid="{2BF18047-2AF2-4D2D-95CA-E2FF73100210}"/>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BE58AC4A-A3FB-462A-8F62-D14E70A37252}"/>
    <cellStyle name="Normal 9 3 2 3 4 2 3" xfId="13388" xr:uid="{F75109B4-424C-4C39-B94D-CE407DBF7BD7}"/>
    <cellStyle name="Normal 9 3 2 3 4 3" xfId="6134" xr:uid="{00000000-0005-0000-0000-0000DF1F0000}"/>
    <cellStyle name="Normal 9 3 2 3 4 3 2" xfId="15460" xr:uid="{E4FE807E-6351-4543-8981-86DAE70D8B39}"/>
    <cellStyle name="Normal 9 3 2 3 4 4" xfId="11243" xr:uid="{D9FF7EF0-415A-4826-855D-ABEEE01768AD}"/>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022247F5-630B-42B3-B471-B5382616509D}"/>
    <cellStyle name="Normal 9 3 2 3 5 2 3" xfId="13801" xr:uid="{030C3C98-64D8-443A-A40F-76AE1D366540}"/>
    <cellStyle name="Normal 9 3 2 3 5 3" xfId="6547" xr:uid="{00000000-0005-0000-0000-0000E31F0000}"/>
    <cellStyle name="Normal 9 3 2 3 5 3 2" xfId="15873" xr:uid="{137619E4-5CF8-4461-9B0F-7F0F1FD91D97}"/>
    <cellStyle name="Normal 9 3 2 3 5 4" xfId="11656" xr:uid="{9F1587EB-C00C-42EF-9B77-54287D31F76E}"/>
    <cellStyle name="Normal 9 3 2 3 6" xfId="2677" xr:uid="{00000000-0005-0000-0000-0000E41F0000}"/>
    <cellStyle name="Normal 9 3 2 3 6 2" xfId="6960" xr:uid="{00000000-0005-0000-0000-0000E51F0000}"/>
    <cellStyle name="Normal 9 3 2 3 6 2 2" xfId="16286" xr:uid="{5691A9C2-9428-4F1C-A47B-C0459EE23F4B}"/>
    <cellStyle name="Normal 9 3 2 3 6 3" xfId="12069" xr:uid="{12BA389A-4FE4-4601-86A6-48FA46653374}"/>
    <cellStyle name="Normal 9 3 2 3 7" xfId="4895" xr:uid="{00000000-0005-0000-0000-0000E61F0000}"/>
    <cellStyle name="Normal 9 3 2 3 7 2" xfId="14221" xr:uid="{F9A2FF7A-73E5-4B35-9948-06D3D933429A}"/>
    <cellStyle name="Normal 9 3 2 3 8" xfId="9047" xr:uid="{4CBBBE80-D24B-484D-910E-0072EA0E95DD}"/>
    <cellStyle name="Normal 9 3 2 3 9" xfId="10004" xr:uid="{E8E2C479-8026-48E6-9587-84E099D0E8AA}"/>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844AE364-3A3E-4077-8837-36B8DB141D47}"/>
    <cellStyle name="Normal 9 3 2 4 2 3" xfId="12559" xr:uid="{74121553-F903-401D-9D37-F920B018EB8E}"/>
    <cellStyle name="Normal 9 3 2 4 3" xfId="5305" xr:uid="{00000000-0005-0000-0000-0000EA1F0000}"/>
    <cellStyle name="Normal 9 3 2 4 3 2" xfId="14631" xr:uid="{DB16F69C-3766-4346-92C4-96EB3CC7AA5D}"/>
    <cellStyle name="Normal 9 3 2 4 4" xfId="9265" xr:uid="{BF00A9B8-67BA-48F6-8D48-0E4380D60577}"/>
    <cellStyle name="Normal 9 3 2 4 5" xfId="10414" xr:uid="{33AD385F-E64D-47F7-B2C0-6D02C8DEA3A9}"/>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A30FC08C-7CF7-4275-BAB3-ADDC47642983}"/>
    <cellStyle name="Normal 9 3 2 5 2 3" xfId="12972" xr:uid="{E3C67C4E-5AAF-43AA-B1F7-9043A1175275}"/>
    <cellStyle name="Normal 9 3 2 5 3" xfId="5718" xr:uid="{00000000-0005-0000-0000-0000EE1F0000}"/>
    <cellStyle name="Normal 9 3 2 5 3 2" xfId="15044" xr:uid="{39A4A3F1-93D5-4696-87DB-6B7CD3F83126}"/>
    <cellStyle name="Normal 9 3 2 5 4" xfId="10827" xr:uid="{AA502E1A-849F-414A-9DA3-8610E49DB029}"/>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0F6C2CC9-9026-4085-A457-165D6F453EAB}"/>
    <cellStyle name="Normal 9 3 2 6 2 3" xfId="13385" xr:uid="{02B89920-A363-4121-9E48-A166A8AC4135}"/>
    <cellStyle name="Normal 9 3 2 6 3" xfId="6131" xr:uid="{00000000-0005-0000-0000-0000F21F0000}"/>
    <cellStyle name="Normal 9 3 2 6 3 2" xfId="15457" xr:uid="{4AC63078-846E-4411-8EA2-0F2BF60D3221}"/>
    <cellStyle name="Normal 9 3 2 6 4" xfId="11240" xr:uid="{D8E9D680-FF0E-45E7-A543-F0FDCCE44820}"/>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AC80D99B-7DFB-4B88-9DC7-D717386AA037}"/>
    <cellStyle name="Normal 9 3 2 7 2 3" xfId="13798" xr:uid="{2EC89B36-16B8-4D12-A1D3-2DFC58F9B6AB}"/>
    <cellStyle name="Normal 9 3 2 7 3" xfId="6544" xr:uid="{00000000-0005-0000-0000-0000F61F0000}"/>
    <cellStyle name="Normal 9 3 2 7 3 2" xfId="15870" xr:uid="{3B329AE5-ABEF-4057-8A15-03D041AF77F1}"/>
    <cellStyle name="Normal 9 3 2 7 4" xfId="11653" xr:uid="{11F02223-62A1-4629-9C77-76252D0F1C54}"/>
    <cellStyle name="Normal 9 3 2 8" xfId="2674" xr:uid="{00000000-0005-0000-0000-0000F71F0000}"/>
    <cellStyle name="Normal 9 3 2 8 2" xfId="6957" xr:uid="{00000000-0005-0000-0000-0000F81F0000}"/>
    <cellStyle name="Normal 9 3 2 8 2 2" xfId="16283" xr:uid="{A070573B-C5F5-476A-B33F-36D4BFB1A0AE}"/>
    <cellStyle name="Normal 9 3 2 8 3" xfId="12066" xr:uid="{2DD1C17A-350B-424A-B658-40007E49FE94}"/>
    <cellStyle name="Normal 9 3 2 9" xfId="4892" xr:uid="{00000000-0005-0000-0000-0000F91F0000}"/>
    <cellStyle name="Normal 9 3 2 9 2" xfId="14218" xr:uid="{8866E1C5-9C1E-48F2-8D62-2AC34180DACC}"/>
    <cellStyle name="Normal 9 3 3" xfId="532" xr:uid="{00000000-0005-0000-0000-0000FA1F0000}"/>
    <cellStyle name="Normal 9 3 3 10" xfId="10005" xr:uid="{C2551DC1-D0B4-4C80-A771-B917CE79C561}"/>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6D6B57C7-75B8-49A4-9DBA-163935F83A6B}"/>
    <cellStyle name="Normal 9 3 3 2 2 2 3" xfId="12564" xr:uid="{111B47D0-3DE2-4673-8EDC-8F88A50E5225}"/>
    <cellStyle name="Normal 9 3 3 2 2 3" xfId="5310" xr:uid="{00000000-0005-0000-0000-0000FF1F0000}"/>
    <cellStyle name="Normal 9 3 3 2 2 3 2" xfId="14636" xr:uid="{B12224AA-8C1D-4B15-BF13-0841F9255933}"/>
    <cellStyle name="Normal 9 3 3 2 2 4" xfId="9512" xr:uid="{2D87B26D-94B2-43FF-B3AD-59DF0A117D21}"/>
    <cellStyle name="Normal 9 3 3 2 2 5" xfId="10419" xr:uid="{B6BFBBFF-80CF-4CB4-9D2D-CE0F705E9929}"/>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BCB1799C-7204-491B-96FC-1C71D925F79D}"/>
    <cellStyle name="Normal 9 3 3 2 3 2 3" xfId="12977" xr:uid="{A4B2311F-41C8-4B0F-A5D2-49B28DD0A5F5}"/>
    <cellStyle name="Normal 9 3 3 2 3 3" xfId="5723" xr:uid="{00000000-0005-0000-0000-000003200000}"/>
    <cellStyle name="Normal 9 3 3 2 3 3 2" xfId="15049" xr:uid="{BE4075DF-CAE2-4D73-9557-17C2E7F0503E}"/>
    <cellStyle name="Normal 9 3 3 2 3 4" xfId="10832" xr:uid="{EE37B549-B63A-4F6A-B55C-74DD973A246E}"/>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A376E6B0-FDDF-443B-9852-3FEB807B0419}"/>
    <cellStyle name="Normal 9 3 3 2 4 2 3" xfId="13390" xr:uid="{301FB5FC-A9A5-4833-9B29-35467407AE2D}"/>
    <cellStyle name="Normal 9 3 3 2 4 3" xfId="6136" xr:uid="{00000000-0005-0000-0000-000007200000}"/>
    <cellStyle name="Normal 9 3 3 2 4 3 2" xfId="15462" xr:uid="{58CD26CB-99E2-4571-B7A1-34B274060DEC}"/>
    <cellStyle name="Normal 9 3 3 2 4 4" xfId="11245" xr:uid="{E48A4509-5F2E-45FF-8AC4-280C58C2B6CA}"/>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21CBC6FC-A453-45BF-9F04-B80D47EE50B3}"/>
    <cellStyle name="Normal 9 3 3 2 5 2 3" xfId="13803" xr:uid="{0D5C9854-7447-4B23-A52F-6163C8EBBC76}"/>
    <cellStyle name="Normal 9 3 3 2 5 3" xfId="6549" xr:uid="{00000000-0005-0000-0000-00000B200000}"/>
    <cellStyle name="Normal 9 3 3 2 5 3 2" xfId="15875" xr:uid="{E01AF40B-1A61-45B2-B702-EA3D74224EE5}"/>
    <cellStyle name="Normal 9 3 3 2 5 4" xfId="11658" xr:uid="{ACC92F0E-E7D0-4D58-831C-92EEAB7074E5}"/>
    <cellStyle name="Normal 9 3 3 2 6" xfId="2679" xr:uid="{00000000-0005-0000-0000-00000C200000}"/>
    <cellStyle name="Normal 9 3 3 2 6 2" xfId="6962" xr:uid="{00000000-0005-0000-0000-00000D200000}"/>
    <cellStyle name="Normal 9 3 3 2 6 2 2" xfId="16288" xr:uid="{1FFCF7A8-6DA7-4F95-A6E8-4D58468DF36E}"/>
    <cellStyle name="Normal 9 3 3 2 6 3" xfId="12071" xr:uid="{9105DF4E-FFB5-4862-A7F3-4B224BA50262}"/>
    <cellStyle name="Normal 9 3 3 2 7" xfId="4897" xr:uid="{00000000-0005-0000-0000-00000E200000}"/>
    <cellStyle name="Normal 9 3 3 2 7 2" xfId="14223" xr:uid="{5F242502-B0FF-4C71-8E53-E97C0EE61EFD}"/>
    <cellStyle name="Normal 9 3 3 2 8" xfId="9087" xr:uid="{B1C8DB1F-59B6-4D6A-B3E7-0CFC4D29D9A9}"/>
    <cellStyle name="Normal 9 3 3 2 9" xfId="10006" xr:uid="{C296A126-CB4D-40E6-8A65-59BDD8FF99C9}"/>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9EF0DF56-B825-460B-8270-832848FA95A7}"/>
    <cellStyle name="Normal 9 3 3 3 2 3" xfId="12563" xr:uid="{6A9DAEED-5797-4C30-9813-0D3CF3A80130}"/>
    <cellStyle name="Normal 9 3 3 3 3" xfId="5309" xr:uid="{00000000-0005-0000-0000-000012200000}"/>
    <cellStyle name="Normal 9 3 3 3 3 2" xfId="14635" xr:uid="{90FC0C8E-41D1-44BD-AC6D-6DACE95D8384}"/>
    <cellStyle name="Normal 9 3 3 3 4" xfId="9305" xr:uid="{F54F3A88-B268-4905-B4D1-34B996B920C6}"/>
    <cellStyle name="Normal 9 3 3 3 5" xfId="10418" xr:uid="{6B04A658-2313-4D95-B330-34A57BD53BC6}"/>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B9848149-92A3-4770-B20D-8D920CAD70AF}"/>
    <cellStyle name="Normal 9 3 3 4 2 3" xfId="12976" xr:uid="{423ABD04-733F-4CEE-99B2-E6E6619F7C72}"/>
    <cellStyle name="Normal 9 3 3 4 3" xfId="5722" xr:uid="{00000000-0005-0000-0000-000016200000}"/>
    <cellStyle name="Normal 9 3 3 4 3 2" xfId="15048" xr:uid="{5173496C-3782-4272-A6A0-068D72164B97}"/>
    <cellStyle name="Normal 9 3 3 4 4" xfId="10831" xr:uid="{525A2302-9E80-43E6-A6BA-A75AF958584E}"/>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254A5406-6AAE-49DB-BEB2-40D5564FFB54}"/>
    <cellStyle name="Normal 9 3 3 5 2 3" xfId="13389" xr:uid="{AD04E5A6-F39A-48E2-8B42-661041BCE852}"/>
    <cellStyle name="Normal 9 3 3 5 3" xfId="6135" xr:uid="{00000000-0005-0000-0000-00001A200000}"/>
    <cellStyle name="Normal 9 3 3 5 3 2" xfId="15461" xr:uid="{BB796BD9-822C-42DE-B5EB-CC8245DCA9F6}"/>
    <cellStyle name="Normal 9 3 3 5 4" xfId="11244" xr:uid="{0622D67C-C973-40B6-B02A-33E85ABC1A88}"/>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17B0639F-B07B-4E9F-8772-BEC5EC7BE213}"/>
    <cellStyle name="Normal 9 3 3 6 2 3" xfId="13802" xr:uid="{792832AA-E52E-485E-9A4D-28B49603FB38}"/>
    <cellStyle name="Normal 9 3 3 6 3" xfId="6548" xr:uid="{00000000-0005-0000-0000-00001E200000}"/>
    <cellStyle name="Normal 9 3 3 6 3 2" xfId="15874" xr:uid="{A77EF531-B63A-4A66-B284-6FC1FBF3CC29}"/>
    <cellStyle name="Normal 9 3 3 6 4" xfId="11657" xr:uid="{C20F8768-B76B-4753-B76B-AC9AE0EDC5F1}"/>
    <cellStyle name="Normal 9 3 3 7" xfId="2678" xr:uid="{00000000-0005-0000-0000-00001F200000}"/>
    <cellStyle name="Normal 9 3 3 7 2" xfId="6961" xr:uid="{00000000-0005-0000-0000-000020200000}"/>
    <cellStyle name="Normal 9 3 3 7 2 2" xfId="16287" xr:uid="{943E9672-4AEC-47A2-8E83-D60F822B5D16}"/>
    <cellStyle name="Normal 9 3 3 7 3" xfId="12070" xr:uid="{C453688B-64C3-4CD3-B996-33A687EC3086}"/>
    <cellStyle name="Normal 9 3 3 8" xfId="4896" xr:uid="{00000000-0005-0000-0000-000021200000}"/>
    <cellStyle name="Normal 9 3 3 8 2" xfId="14222" xr:uid="{31251FF2-359E-4325-A4CF-E090FBF83251}"/>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315AABE5-1904-4115-B920-25F9F21EE2C7}"/>
    <cellStyle name="Normal 9 3 4 2 2 3" xfId="12565" xr:uid="{49E41ADC-5D0D-4723-BD8E-91B998625A96}"/>
    <cellStyle name="Normal 9 3 4 2 3" xfId="5311" xr:uid="{00000000-0005-0000-0000-000026200000}"/>
    <cellStyle name="Normal 9 3 4 2 3 2" xfId="14637" xr:uid="{F6734EC2-0200-4CD0-8A54-00DBF28FBE5E}"/>
    <cellStyle name="Normal 9 3 4 2 4" xfId="9409" xr:uid="{F8EFC02C-357C-44AD-9BF7-6459F3C595DA}"/>
    <cellStyle name="Normal 9 3 4 2 5" xfId="10420" xr:uid="{D52F789A-A495-498D-B381-EEAB7567F517}"/>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55290055-F6E0-45F4-B4DA-57026D4689F4}"/>
    <cellStyle name="Normal 9 3 4 3 2 3" xfId="12978" xr:uid="{0FCAFFF2-131E-409B-9204-7FBBB68FC812}"/>
    <cellStyle name="Normal 9 3 4 3 3" xfId="5724" xr:uid="{00000000-0005-0000-0000-00002A200000}"/>
    <cellStyle name="Normal 9 3 4 3 3 2" xfId="15050" xr:uid="{59D1D12D-6CBE-4400-AFD3-6AC30E1CED09}"/>
    <cellStyle name="Normal 9 3 4 3 4" xfId="10833" xr:uid="{15D1E00B-A9AA-491F-9964-C71E7FD54FD7}"/>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F951EDA7-15A3-40FE-AEC0-A196788ADAA5}"/>
    <cellStyle name="Normal 9 3 4 4 2 3" xfId="13391" xr:uid="{B6A24024-267B-47EC-A579-45525A02D52C}"/>
    <cellStyle name="Normal 9 3 4 4 3" xfId="6137" xr:uid="{00000000-0005-0000-0000-00002E200000}"/>
    <cellStyle name="Normal 9 3 4 4 3 2" xfId="15463" xr:uid="{53F72FE1-4AA4-4554-9550-CF4CA768CF2A}"/>
    <cellStyle name="Normal 9 3 4 4 4" xfId="11246" xr:uid="{ACF4F3E5-7300-433A-9946-A31E1A2EFC2E}"/>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980EFEF9-5D83-4B48-B3DD-D31B0730533B}"/>
    <cellStyle name="Normal 9 3 4 5 2 3" xfId="13804" xr:uid="{9404D313-52A0-4198-A8DE-BC633C323511}"/>
    <cellStyle name="Normal 9 3 4 5 3" xfId="6550" xr:uid="{00000000-0005-0000-0000-000032200000}"/>
    <cellStyle name="Normal 9 3 4 5 3 2" xfId="15876" xr:uid="{DF1E7172-AE19-430E-B812-8C56F00FBD6C}"/>
    <cellStyle name="Normal 9 3 4 5 4" xfId="11659" xr:uid="{871B107E-C497-4B87-B364-82B5367EB8EA}"/>
    <cellStyle name="Normal 9 3 4 6" xfId="2680" xr:uid="{00000000-0005-0000-0000-000033200000}"/>
    <cellStyle name="Normal 9 3 4 6 2" xfId="6963" xr:uid="{00000000-0005-0000-0000-000034200000}"/>
    <cellStyle name="Normal 9 3 4 6 2 2" xfId="16289" xr:uid="{E49D7135-DEB5-4831-BAB5-DE345ECC0662}"/>
    <cellStyle name="Normal 9 3 4 6 3" xfId="12072" xr:uid="{4CFF4D57-BCEC-4C0A-89E7-CCCAA97941B1}"/>
    <cellStyle name="Normal 9 3 4 7" xfId="4898" xr:uid="{00000000-0005-0000-0000-000035200000}"/>
    <cellStyle name="Normal 9 3 4 7 2" xfId="14224" xr:uid="{6402BE42-166F-48BA-B634-D52A445CC67E}"/>
    <cellStyle name="Normal 9 3 4 8" xfId="8984" xr:uid="{A39B104A-EAEF-4D5B-B504-6104111E924B}"/>
    <cellStyle name="Normal 9 3 4 9" xfId="10007" xr:uid="{B0AEA019-F8FD-46FF-83EF-AAAB250BD9FF}"/>
    <cellStyle name="Normal 9 3 5" xfId="994" xr:uid="{00000000-0005-0000-0000-000036200000}"/>
    <cellStyle name="Normal 9 3 5 2" xfId="3227" xr:uid="{00000000-0005-0000-0000-000037200000}"/>
    <cellStyle name="Normal 9 3 5 2 2" xfId="7449" xr:uid="{00000000-0005-0000-0000-000038200000}"/>
    <cellStyle name="Normal 9 3 5 2 2 2" xfId="16775" xr:uid="{73974262-D9E3-43DB-9E03-A87A221D23C0}"/>
    <cellStyle name="Normal 9 3 5 2 3" xfId="12558" xr:uid="{5E84F82A-7B6D-401E-9BE2-776EE9137027}"/>
    <cellStyle name="Normal 9 3 5 3" xfId="5304" xr:uid="{00000000-0005-0000-0000-000039200000}"/>
    <cellStyle name="Normal 9 3 5 3 2" xfId="14630" xr:uid="{04FA2B09-0901-47DE-953D-F5B70934CF75}"/>
    <cellStyle name="Normal 9 3 5 4" xfId="9201" xr:uid="{46D523D7-8DEB-46FB-8F1C-8CE8C2FC3AD3}"/>
    <cellStyle name="Normal 9 3 5 5" xfId="10413" xr:uid="{EAC244B8-6350-409C-8D47-246D1D8922AC}"/>
    <cellStyle name="Normal 9 3 6" xfId="1410" xr:uid="{00000000-0005-0000-0000-00003A200000}"/>
    <cellStyle name="Normal 9 3 6 2" xfId="3640" xr:uid="{00000000-0005-0000-0000-00003B200000}"/>
    <cellStyle name="Normal 9 3 6 2 2" xfId="7862" xr:uid="{00000000-0005-0000-0000-00003C200000}"/>
    <cellStyle name="Normal 9 3 6 2 2 2" xfId="17188" xr:uid="{A230429D-87D8-449F-8FE8-A9BB6541A428}"/>
    <cellStyle name="Normal 9 3 6 2 3" xfId="12971" xr:uid="{9521397D-309E-4B4E-882F-313760824F58}"/>
    <cellStyle name="Normal 9 3 6 3" xfId="5717" xr:uid="{00000000-0005-0000-0000-00003D200000}"/>
    <cellStyle name="Normal 9 3 6 3 2" xfId="15043" xr:uid="{C479B7FE-18D3-4460-B5D9-73C791C6436F}"/>
    <cellStyle name="Normal 9 3 6 4" xfId="10826" xr:uid="{EC017ACB-5384-4CE4-B30D-D68D75AD6369}"/>
    <cellStyle name="Normal 9 3 7" xfId="1823" xr:uid="{00000000-0005-0000-0000-00003E200000}"/>
    <cellStyle name="Normal 9 3 7 2" xfId="4053" xr:uid="{00000000-0005-0000-0000-00003F200000}"/>
    <cellStyle name="Normal 9 3 7 2 2" xfId="8275" xr:uid="{00000000-0005-0000-0000-000040200000}"/>
    <cellStyle name="Normal 9 3 7 2 2 2" xfId="17601" xr:uid="{7827944B-5393-4878-98B6-3ECDD3A6A164}"/>
    <cellStyle name="Normal 9 3 7 2 3" xfId="13384" xr:uid="{A9069805-E2B1-454E-ADE2-71781A662882}"/>
    <cellStyle name="Normal 9 3 7 3" xfId="6130" xr:uid="{00000000-0005-0000-0000-000041200000}"/>
    <cellStyle name="Normal 9 3 7 3 2" xfId="15456" xr:uid="{2E2919D5-B3C6-4CE3-8E88-9731022E170F}"/>
    <cellStyle name="Normal 9 3 7 4" xfId="11239" xr:uid="{F17DC1AE-B2EE-40D6-A279-8C8C6163524E}"/>
    <cellStyle name="Normal 9 3 8" xfId="2237" xr:uid="{00000000-0005-0000-0000-000042200000}"/>
    <cellStyle name="Normal 9 3 8 2" xfId="4466" xr:uid="{00000000-0005-0000-0000-000043200000}"/>
    <cellStyle name="Normal 9 3 8 2 2" xfId="8688" xr:uid="{00000000-0005-0000-0000-000044200000}"/>
    <cellStyle name="Normal 9 3 8 2 2 2" xfId="18014" xr:uid="{15661946-58F3-4B8E-A809-AF5D1F46BAC1}"/>
    <cellStyle name="Normal 9 3 8 2 3" xfId="13797" xr:uid="{56C76376-2AA9-4929-9DEB-A859BA61854F}"/>
    <cellStyle name="Normal 9 3 8 3" xfId="6543" xr:uid="{00000000-0005-0000-0000-000045200000}"/>
    <cellStyle name="Normal 9 3 8 3 2" xfId="15869" xr:uid="{62B4A796-A343-46D9-8013-8D82ACD27187}"/>
    <cellStyle name="Normal 9 3 8 4" xfId="11652" xr:uid="{C1D3BC65-D0C9-45F8-8007-B2B5888D215A}"/>
    <cellStyle name="Normal 9 3 9" xfId="2673" xr:uid="{00000000-0005-0000-0000-000046200000}"/>
    <cellStyle name="Normal 9 3 9 2" xfId="6956" xr:uid="{00000000-0005-0000-0000-000047200000}"/>
    <cellStyle name="Normal 9 3 9 2 2" xfId="16282" xr:uid="{10EE8F3A-90C0-4BBE-94DB-FF75FDC9B8A9}"/>
    <cellStyle name="Normal 9 3 9 3" xfId="12065" xr:uid="{B7A94354-7308-492E-8766-7E8EEA63F1BD}"/>
    <cellStyle name="Normal 9 4" xfId="535" xr:uid="{00000000-0005-0000-0000-000048200000}"/>
    <cellStyle name="Normal 9 4 2" xfId="1002" xr:uid="{00000000-0005-0000-0000-000049200000}"/>
    <cellStyle name="Normal 9 5" xfId="536" xr:uid="{00000000-0005-0000-0000-00004A200000}"/>
    <cellStyle name="Normal 9 5 10" xfId="10008" xr:uid="{DBAF1883-6456-4BE4-87E8-64A51533C6AE}"/>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7A5A77D4-17B7-46F3-81BD-09CA9184A67F}"/>
    <cellStyle name="Normal 9 5 2 2 2 3" xfId="12567" xr:uid="{44FA02A3-9693-4D5D-8E15-2BB4EC5398ED}"/>
    <cellStyle name="Normal 9 5 2 2 3" xfId="5313" xr:uid="{00000000-0005-0000-0000-00004F200000}"/>
    <cellStyle name="Normal 9 5 2 2 3 2" xfId="14639" xr:uid="{E97316D8-8950-41EF-B9FE-3B58DE6398B1}"/>
    <cellStyle name="Normal 9 5 2 2 4" xfId="9480" xr:uid="{BC9702BE-C2B3-450A-99DF-6FFE7C7A82FD}"/>
    <cellStyle name="Normal 9 5 2 2 5" xfId="10422" xr:uid="{91D4EAF0-E463-45E5-B84E-79DABE9FEFB7}"/>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2EAC4867-74F2-4536-A108-BD04496D1BFC}"/>
    <cellStyle name="Normal 9 5 2 3 2 3" xfId="12980" xr:uid="{5902F1AA-EC9B-4AD8-B1D2-3A874EC8358D}"/>
    <cellStyle name="Normal 9 5 2 3 3" xfId="5726" xr:uid="{00000000-0005-0000-0000-000053200000}"/>
    <cellStyle name="Normal 9 5 2 3 3 2" xfId="15052" xr:uid="{8686D6F4-48C5-450C-A3DF-DB5D3BB76FA4}"/>
    <cellStyle name="Normal 9 5 2 3 4" xfId="10835" xr:uid="{9972766C-3053-44DC-93F1-F32EAD7580FB}"/>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3D89E441-2A6F-45B9-936D-25640055B9C2}"/>
    <cellStyle name="Normal 9 5 2 4 2 3" xfId="13393" xr:uid="{780B1F31-B726-410D-B34D-86603F5B23DE}"/>
    <cellStyle name="Normal 9 5 2 4 3" xfId="6139" xr:uid="{00000000-0005-0000-0000-000057200000}"/>
    <cellStyle name="Normal 9 5 2 4 3 2" xfId="15465" xr:uid="{7A97F38F-01D8-42E0-846B-CE5426EB3F3D}"/>
    <cellStyle name="Normal 9 5 2 4 4" xfId="11248" xr:uid="{1972D401-F4C7-4697-84F7-241C68E9035E}"/>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D47B4C62-144C-4097-8953-E69EB5CF2C1B}"/>
    <cellStyle name="Normal 9 5 2 5 2 3" xfId="13806" xr:uid="{5F712CAA-DBDD-4322-9FCF-24EA41C10EAD}"/>
    <cellStyle name="Normal 9 5 2 5 3" xfId="6552" xr:uid="{00000000-0005-0000-0000-00005B200000}"/>
    <cellStyle name="Normal 9 5 2 5 3 2" xfId="15878" xr:uid="{C1FC8059-A79C-4FA3-A51B-26FF2A245E40}"/>
    <cellStyle name="Normal 9 5 2 5 4" xfId="11661" xr:uid="{FE0ACCF4-00C0-44D3-82DE-457BF6D3363D}"/>
    <cellStyle name="Normal 9 5 2 6" xfId="2682" xr:uid="{00000000-0005-0000-0000-00005C200000}"/>
    <cellStyle name="Normal 9 5 2 6 2" xfId="6965" xr:uid="{00000000-0005-0000-0000-00005D200000}"/>
    <cellStyle name="Normal 9 5 2 6 2 2" xfId="16291" xr:uid="{BD3A9349-A59B-4E38-B32A-5D768096CCEB}"/>
    <cellStyle name="Normal 9 5 2 6 3" xfId="12074" xr:uid="{EEDF3AC2-BA41-4635-9247-E3263186133D}"/>
    <cellStyle name="Normal 9 5 2 7" xfId="4900" xr:uid="{00000000-0005-0000-0000-00005E200000}"/>
    <cellStyle name="Normal 9 5 2 7 2" xfId="14226" xr:uid="{39B13302-723E-47E4-BFA5-548F6B184D6E}"/>
    <cellStyle name="Normal 9 5 2 8" xfId="9055" xr:uid="{3DD071E2-A4B3-45E3-9F20-3C2D5AEE5CB2}"/>
    <cellStyle name="Normal 9 5 2 9" xfId="10009" xr:uid="{ABA7A39E-113F-48AE-8141-03A9E35983DC}"/>
    <cellStyle name="Normal 9 5 3" xfId="1003" xr:uid="{00000000-0005-0000-0000-00005F200000}"/>
    <cellStyle name="Normal 9 5 3 2" xfId="3235" xr:uid="{00000000-0005-0000-0000-000060200000}"/>
    <cellStyle name="Normal 9 5 3 2 2" xfId="7457" xr:uid="{00000000-0005-0000-0000-000061200000}"/>
    <cellStyle name="Normal 9 5 3 2 2 2" xfId="16783" xr:uid="{2E76442D-4790-4CAA-B7FD-2B0BC24D72E3}"/>
    <cellStyle name="Normal 9 5 3 2 3" xfId="12566" xr:uid="{5793A61C-6DDB-4D07-B41C-0CF174C7F941}"/>
    <cellStyle name="Normal 9 5 3 3" xfId="5312" xr:uid="{00000000-0005-0000-0000-000062200000}"/>
    <cellStyle name="Normal 9 5 3 3 2" xfId="14638" xr:uid="{EC249542-0693-44FF-93C9-865496C8ABBA}"/>
    <cellStyle name="Normal 9 5 3 4" xfId="9273" xr:uid="{AE6CB61B-02C5-436E-A328-3B2AC8AC9E53}"/>
    <cellStyle name="Normal 9 5 3 5" xfId="10421" xr:uid="{4364F6FF-4324-4007-A03B-9A73AD3A2234}"/>
    <cellStyle name="Normal 9 5 4" xfId="1418" xr:uid="{00000000-0005-0000-0000-000063200000}"/>
    <cellStyle name="Normal 9 5 4 2" xfId="3648" xr:uid="{00000000-0005-0000-0000-000064200000}"/>
    <cellStyle name="Normal 9 5 4 2 2" xfId="7870" xr:uid="{00000000-0005-0000-0000-000065200000}"/>
    <cellStyle name="Normal 9 5 4 2 2 2" xfId="17196" xr:uid="{6CDD2386-2875-4722-8CBB-6A817CD23CA7}"/>
    <cellStyle name="Normal 9 5 4 2 3" xfId="12979" xr:uid="{D7F12D08-01BF-4CD3-A4BC-39F5316E56FA}"/>
    <cellStyle name="Normal 9 5 4 3" xfId="5725" xr:uid="{00000000-0005-0000-0000-000066200000}"/>
    <cellStyle name="Normal 9 5 4 3 2" xfId="15051" xr:uid="{8C234846-4434-49A1-B295-5D315214CBE2}"/>
    <cellStyle name="Normal 9 5 4 4" xfId="10834" xr:uid="{FE3FA6E7-EC04-46B0-9B1D-2D8BB432712C}"/>
    <cellStyle name="Normal 9 5 5" xfId="1831" xr:uid="{00000000-0005-0000-0000-000067200000}"/>
    <cellStyle name="Normal 9 5 5 2" xfId="4061" xr:uid="{00000000-0005-0000-0000-000068200000}"/>
    <cellStyle name="Normal 9 5 5 2 2" xfId="8283" xr:uid="{00000000-0005-0000-0000-000069200000}"/>
    <cellStyle name="Normal 9 5 5 2 2 2" xfId="17609" xr:uid="{E5933DA9-5150-4909-ABC4-73DB7211E424}"/>
    <cellStyle name="Normal 9 5 5 2 3" xfId="13392" xr:uid="{430B96EA-767A-4ECD-B55C-120D5DEE0E3F}"/>
    <cellStyle name="Normal 9 5 5 3" xfId="6138" xr:uid="{00000000-0005-0000-0000-00006A200000}"/>
    <cellStyle name="Normal 9 5 5 3 2" xfId="15464" xr:uid="{E261888B-AFD6-4606-9ABB-BB545BCF6319}"/>
    <cellStyle name="Normal 9 5 5 4" xfId="11247" xr:uid="{AE00DE4E-F9C9-470C-8544-76D67353CE4B}"/>
    <cellStyle name="Normal 9 5 6" xfId="2245" xr:uid="{00000000-0005-0000-0000-00006B200000}"/>
    <cellStyle name="Normal 9 5 6 2" xfId="4474" xr:uid="{00000000-0005-0000-0000-00006C200000}"/>
    <cellStyle name="Normal 9 5 6 2 2" xfId="8696" xr:uid="{00000000-0005-0000-0000-00006D200000}"/>
    <cellStyle name="Normal 9 5 6 2 2 2" xfId="18022" xr:uid="{89E4E361-1963-4865-A587-BAAF7577EA8E}"/>
    <cellStyle name="Normal 9 5 6 2 3" xfId="13805" xr:uid="{14EE1F4B-E8E6-431F-AAAD-65A74849375B}"/>
    <cellStyle name="Normal 9 5 6 3" xfId="6551" xr:uid="{00000000-0005-0000-0000-00006E200000}"/>
    <cellStyle name="Normal 9 5 6 3 2" xfId="15877" xr:uid="{75F8816A-D10A-49C8-B0B5-08321814F78B}"/>
    <cellStyle name="Normal 9 5 6 4" xfId="11660" xr:uid="{25F5B05D-BE05-4DD5-8425-EF917036D501}"/>
    <cellStyle name="Normal 9 5 7" xfId="2681" xr:uid="{00000000-0005-0000-0000-00006F200000}"/>
    <cellStyle name="Normal 9 5 7 2" xfId="6964" xr:uid="{00000000-0005-0000-0000-000070200000}"/>
    <cellStyle name="Normal 9 5 7 2 2" xfId="16290" xr:uid="{564D5DC9-B19A-4B9E-AC92-1532F9082786}"/>
    <cellStyle name="Normal 9 5 7 3" xfId="12073" xr:uid="{68F16B00-943C-44BC-B484-4624009B5770}"/>
    <cellStyle name="Normal 9 5 8" xfId="4899" xr:uid="{00000000-0005-0000-0000-000071200000}"/>
    <cellStyle name="Normal 9 5 8 2" xfId="14225" xr:uid="{56AC6463-1251-45A1-A772-1138BD200A11}"/>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7ED922D6-914F-47CC-B0AB-9A068BC50C5A}"/>
    <cellStyle name="Normal 9 6 2 2 3" xfId="12568" xr:uid="{D0AD0121-1628-4890-A17F-0C90513CA4F1}"/>
    <cellStyle name="Normal 9 6 2 3" xfId="5314" xr:uid="{00000000-0005-0000-0000-000076200000}"/>
    <cellStyle name="Normal 9 6 2 3 2" xfId="14640" xr:uid="{D78C2249-96FD-4C61-B81D-3D62CD9F9910}"/>
    <cellStyle name="Normal 9 6 2 4" xfId="9389" xr:uid="{2A0458F6-466A-4C3B-BA39-FF09FD770FDD}"/>
    <cellStyle name="Normal 9 6 2 5" xfId="10423" xr:uid="{7BE2FFAA-51F1-4491-BFAE-90319E34A7FB}"/>
    <cellStyle name="Normal 9 6 3" xfId="1420" xr:uid="{00000000-0005-0000-0000-000077200000}"/>
    <cellStyle name="Normal 9 6 3 2" xfId="3650" xr:uid="{00000000-0005-0000-0000-000078200000}"/>
    <cellStyle name="Normal 9 6 3 2 2" xfId="7872" xr:uid="{00000000-0005-0000-0000-000079200000}"/>
    <cellStyle name="Normal 9 6 3 2 2 2" xfId="17198" xr:uid="{8DF9D6A6-36AF-4B00-A680-A5A4F82436BF}"/>
    <cellStyle name="Normal 9 6 3 2 3" xfId="12981" xr:uid="{63235809-3232-4CA7-845B-F8367281C7E0}"/>
    <cellStyle name="Normal 9 6 3 3" xfId="5727" xr:uid="{00000000-0005-0000-0000-00007A200000}"/>
    <cellStyle name="Normal 9 6 3 3 2" xfId="15053" xr:uid="{1F7CCFFD-D70A-4817-9884-F4D3ADAA6ECB}"/>
    <cellStyle name="Normal 9 6 3 4" xfId="10836" xr:uid="{95896D63-C198-4CC6-BBA7-BCD0B75852D2}"/>
    <cellStyle name="Normal 9 6 4" xfId="1833" xr:uid="{00000000-0005-0000-0000-00007B200000}"/>
    <cellStyle name="Normal 9 6 4 2" xfId="4063" xr:uid="{00000000-0005-0000-0000-00007C200000}"/>
    <cellStyle name="Normal 9 6 4 2 2" xfId="8285" xr:uid="{00000000-0005-0000-0000-00007D200000}"/>
    <cellStyle name="Normal 9 6 4 2 2 2" xfId="17611" xr:uid="{493F9715-ED64-47CD-BC57-ADD225E31DEA}"/>
    <cellStyle name="Normal 9 6 4 2 3" xfId="13394" xr:uid="{3382CAE9-5D70-4007-BDBD-D610A306603C}"/>
    <cellStyle name="Normal 9 6 4 3" xfId="6140" xr:uid="{00000000-0005-0000-0000-00007E200000}"/>
    <cellStyle name="Normal 9 6 4 3 2" xfId="15466" xr:uid="{CA002911-1E31-410D-BA10-AFE258B4AA87}"/>
    <cellStyle name="Normal 9 6 4 4" xfId="11249" xr:uid="{9CB73323-2045-444A-9C44-09E1FAAAE0BC}"/>
    <cellStyle name="Normal 9 6 5" xfId="2247" xr:uid="{00000000-0005-0000-0000-00007F200000}"/>
    <cellStyle name="Normal 9 6 5 2" xfId="4476" xr:uid="{00000000-0005-0000-0000-000080200000}"/>
    <cellStyle name="Normal 9 6 5 2 2" xfId="8698" xr:uid="{00000000-0005-0000-0000-000081200000}"/>
    <cellStyle name="Normal 9 6 5 2 2 2" xfId="18024" xr:uid="{C6768BB2-20FD-4793-ADDE-F8BD87795624}"/>
    <cellStyle name="Normal 9 6 5 2 3" xfId="13807" xr:uid="{F850D9C3-17E5-4736-B735-577DBF3BD581}"/>
    <cellStyle name="Normal 9 6 5 3" xfId="6553" xr:uid="{00000000-0005-0000-0000-000082200000}"/>
    <cellStyle name="Normal 9 6 5 3 2" xfId="15879" xr:uid="{46EA6055-38DF-4FAC-BB3C-38454F840C98}"/>
    <cellStyle name="Normal 9 6 5 4" xfId="11662" xr:uid="{44B8CA68-6616-44B2-940D-321D73F1E0C1}"/>
    <cellStyle name="Normal 9 6 6" xfId="2683" xr:uid="{00000000-0005-0000-0000-000083200000}"/>
    <cellStyle name="Normal 9 6 6 2" xfId="6966" xr:uid="{00000000-0005-0000-0000-000084200000}"/>
    <cellStyle name="Normal 9 6 6 2 2" xfId="16292" xr:uid="{0C2020C6-F8D8-44E1-AD8B-BE83669EF77D}"/>
    <cellStyle name="Normal 9 6 6 3" xfId="12075" xr:uid="{A04EBCBD-2D1B-4165-981E-86933F5C71F5}"/>
    <cellStyle name="Normal 9 6 7" xfId="4901" xr:uid="{00000000-0005-0000-0000-000085200000}"/>
    <cellStyle name="Normal 9 6 7 2" xfId="14227" xr:uid="{6C66FFD2-1863-444E-A674-8CC14CC05605}"/>
    <cellStyle name="Normal 9 6 8" xfId="8964" xr:uid="{9BBC9C46-7A3A-4BC9-9542-DC33DFA165C2}"/>
    <cellStyle name="Normal 9 6 9" xfId="10010" xr:uid="{4C87676E-16AA-4802-951D-EEA968ED35C4}"/>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41BB0AB7-3C38-4B45-8ACA-8BEF9685E8E1}"/>
    <cellStyle name="Note 2 2 10 3" xfId="12156" xr:uid="{EEB07DF0-975F-43A3-AD25-CA5220BCE0FB}"/>
    <cellStyle name="Note 2 2 11" xfId="4902" xr:uid="{00000000-0005-0000-0000-000094200000}"/>
    <cellStyle name="Note 2 2 11 2" xfId="14228" xr:uid="{F64C256B-4EC9-4AFD-B9EE-6683B98F8B9F}"/>
    <cellStyle name="Note 2 2 12" xfId="8841" xr:uid="{E94E1FD8-31C4-4718-9658-C7A587CBF323}"/>
    <cellStyle name="Note 2 2 13" xfId="10011" xr:uid="{82F77A46-34FF-4400-87BF-F21D1B1D4CC9}"/>
    <cellStyle name="Note 2 2 2" xfId="546" xr:uid="{00000000-0005-0000-0000-000095200000}"/>
    <cellStyle name="Note 2 2 2 10" xfId="4903" xr:uid="{00000000-0005-0000-0000-000096200000}"/>
    <cellStyle name="Note 2 2 2 10 2" xfId="14229" xr:uid="{999B5698-C79E-444A-82C6-E9D791D8797F}"/>
    <cellStyle name="Note 2 2 2 11" xfId="8944" xr:uid="{B75A3404-A4A3-41D6-B6C3-54560C6DD592}"/>
    <cellStyle name="Note 2 2 2 12" xfId="10012" xr:uid="{F91A25D4-C43B-4091-8CE5-EF41994B50C9}"/>
    <cellStyle name="Note 2 2 2 2" xfId="547" xr:uid="{00000000-0005-0000-0000-000097200000}"/>
    <cellStyle name="Note 2 2 2 2 10" xfId="9151" xr:uid="{DE810DD8-00EC-4339-9CFC-C84D5E182971}"/>
    <cellStyle name="Note 2 2 2 2 11" xfId="10013" xr:uid="{685A8DF6-5606-4791-9C51-26A92BEECE09}"/>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A6BC2465-E8CE-4413-8454-8C375C9DBEFB}"/>
    <cellStyle name="Note 2 2 2 2 2 2 3" xfId="12571" xr:uid="{E73851AB-B846-4D24-AAC0-81C4B1CAF954}"/>
    <cellStyle name="Note 2 2 2 2 2 3" xfId="5317" xr:uid="{00000000-0005-0000-0000-00009B200000}"/>
    <cellStyle name="Note 2 2 2 2 2 3 2" xfId="14643" xr:uid="{0999CBF8-1224-4A6B-8558-5EF83CD5EDD0}"/>
    <cellStyle name="Note 2 2 2 2 2 4" xfId="9576" xr:uid="{375E296C-598F-454E-B7C4-9E851CE02ED2}"/>
    <cellStyle name="Note 2 2 2 2 2 5" xfId="10426" xr:uid="{CD55B051-608B-4CF3-9D3F-302C5AB0AA41}"/>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014BB0D7-01FF-4D7F-B1D4-0AEEBD609FED}"/>
    <cellStyle name="Note 2 2 2 2 3 2 3" xfId="12984" xr:uid="{F0344046-DFFD-4A11-B526-7A65F4EABA2E}"/>
    <cellStyle name="Note 2 2 2 2 3 3" xfId="5730" xr:uid="{00000000-0005-0000-0000-00009F200000}"/>
    <cellStyle name="Note 2 2 2 2 3 3 2" xfId="15056" xr:uid="{9C098421-6AFA-419F-8380-AC0F356C41D1}"/>
    <cellStyle name="Note 2 2 2 2 3 4" xfId="10839" xr:uid="{997571E0-6FFA-46E2-ABD6-8030E9FF52BA}"/>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E269E6BC-8B9E-4DCE-8A55-894B749B045E}"/>
    <cellStyle name="Note 2 2 2 2 4 2 3" xfId="13397" xr:uid="{378DDA1C-4241-4403-94C6-2FA2EC709B97}"/>
    <cellStyle name="Note 2 2 2 2 4 3" xfId="6143" xr:uid="{00000000-0005-0000-0000-0000A3200000}"/>
    <cellStyle name="Note 2 2 2 2 4 3 2" xfId="15469" xr:uid="{1192733A-A3D6-4456-A93B-359DCC7C6EC7}"/>
    <cellStyle name="Note 2 2 2 2 4 4" xfId="11252" xr:uid="{896D60B8-ED8A-4A40-92CE-F1A4EA8BE9D7}"/>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C8D315DE-BD77-4EB7-83B2-659EC80535C8}"/>
    <cellStyle name="Note 2 2 2 2 5 2 3" xfId="13810" xr:uid="{30D8255F-BFD9-4FF0-B04A-93701DF02692}"/>
    <cellStyle name="Note 2 2 2 2 5 3" xfId="6556" xr:uid="{00000000-0005-0000-0000-0000A7200000}"/>
    <cellStyle name="Note 2 2 2 2 5 3 2" xfId="15882" xr:uid="{0D102922-2B0C-4F55-93F3-3851AEA25BAF}"/>
    <cellStyle name="Note 2 2 2 2 5 4" xfId="11665" xr:uid="{3F6481BB-5FAE-4D9B-95E3-419D160F4E06}"/>
    <cellStyle name="Note 2 2 2 2 6" xfId="2686" xr:uid="{00000000-0005-0000-0000-0000A8200000}"/>
    <cellStyle name="Note 2 2 2 2 6 2" xfId="6969" xr:uid="{00000000-0005-0000-0000-0000A9200000}"/>
    <cellStyle name="Note 2 2 2 2 6 2 2" xfId="16295" xr:uid="{94EC4718-D787-419B-8E8C-4204333A03CE}"/>
    <cellStyle name="Note 2 2 2 2 6 3" xfId="12078" xr:uid="{67F50F70-B5D9-45D3-8F3C-9CECB46488AC}"/>
    <cellStyle name="Note 2 2 2 2 7" xfId="2745" xr:uid="{00000000-0005-0000-0000-0000AA200000}"/>
    <cellStyle name="Note 2 2 2 2 8" xfId="2826" xr:uid="{00000000-0005-0000-0000-0000AB200000}"/>
    <cellStyle name="Note 2 2 2 2 8 2" xfId="7049" xr:uid="{00000000-0005-0000-0000-0000AC200000}"/>
    <cellStyle name="Note 2 2 2 2 8 2 2" xfId="16375" xr:uid="{32D4636A-0ED3-4B07-BCAE-2197F5CD9A6C}"/>
    <cellStyle name="Note 2 2 2 2 8 3" xfId="12158" xr:uid="{9D616F19-A588-4722-8FEF-6784959C32CB}"/>
    <cellStyle name="Note 2 2 2 2 9" xfId="4904" xr:uid="{00000000-0005-0000-0000-0000AD200000}"/>
    <cellStyle name="Note 2 2 2 2 9 2" xfId="14230" xr:uid="{B0B2F0C9-1E9E-4A91-AB05-EDA333CABED7}"/>
    <cellStyle name="Note 2 2 2 3" xfId="1007" xr:uid="{00000000-0005-0000-0000-0000AE200000}"/>
    <cellStyle name="Note 2 2 2 3 2" xfId="3239" xr:uid="{00000000-0005-0000-0000-0000AF200000}"/>
    <cellStyle name="Note 2 2 2 3 2 2" xfId="7461" xr:uid="{00000000-0005-0000-0000-0000B0200000}"/>
    <cellStyle name="Note 2 2 2 3 2 2 2" xfId="16787" xr:uid="{F035EAD8-0388-47F0-90D8-CA81DF101C4E}"/>
    <cellStyle name="Note 2 2 2 3 2 3" xfId="12570" xr:uid="{49580D58-ADA0-468D-AB0D-9CFBB2A0203A}"/>
    <cellStyle name="Note 2 2 2 3 3" xfId="5316" xr:uid="{00000000-0005-0000-0000-0000B1200000}"/>
    <cellStyle name="Note 2 2 2 3 3 2" xfId="14642" xr:uid="{559E02F0-187C-4BA8-B2D6-5722F2075303}"/>
    <cellStyle name="Note 2 2 2 3 4" xfId="9369" xr:uid="{37FCA23B-964B-404F-A343-B489211FDCDC}"/>
    <cellStyle name="Note 2 2 2 3 5" xfId="10425" xr:uid="{EF9D7125-2A43-42F3-95CC-8BBB0E1DFBEB}"/>
    <cellStyle name="Note 2 2 2 4" xfId="1422" xr:uid="{00000000-0005-0000-0000-0000B2200000}"/>
    <cellStyle name="Note 2 2 2 4 2" xfId="3652" xr:uid="{00000000-0005-0000-0000-0000B3200000}"/>
    <cellStyle name="Note 2 2 2 4 2 2" xfId="7874" xr:uid="{00000000-0005-0000-0000-0000B4200000}"/>
    <cellStyle name="Note 2 2 2 4 2 2 2" xfId="17200" xr:uid="{5FACCB28-E109-4546-9BA4-2444B7DCFEC4}"/>
    <cellStyle name="Note 2 2 2 4 2 3" xfId="12983" xr:uid="{9CAC0086-74A9-481D-B256-CD24B93121AC}"/>
    <cellStyle name="Note 2 2 2 4 3" xfId="5729" xr:uid="{00000000-0005-0000-0000-0000B5200000}"/>
    <cellStyle name="Note 2 2 2 4 3 2" xfId="15055" xr:uid="{80350A91-63DF-46C3-A700-BBDA58F2ADF9}"/>
    <cellStyle name="Note 2 2 2 4 4" xfId="10838" xr:uid="{4220CDE1-92FA-4158-B055-345E6D423A7F}"/>
    <cellStyle name="Note 2 2 2 5" xfId="1836" xr:uid="{00000000-0005-0000-0000-0000B6200000}"/>
    <cellStyle name="Note 2 2 2 5 2" xfId="4065" xr:uid="{00000000-0005-0000-0000-0000B7200000}"/>
    <cellStyle name="Note 2 2 2 5 2 2" xfId="8287" xr:uid="{00000000-0005-0000-0000-0000B8200000}"/>
    <cellStyle name="Note 2 2 2 5 2 2 2" xfId="17613" xr:uid="{6FC6A8CB-FDFB-44AF-942F-D17997459E3F}"/>
    <cellStyle name="Note 2 2 2 5 2 3" xfId="13396" xr:uid="{44423A7F-7CE9-46E3-BE95-CF355F3FB706}"/>
    <cellStyle name="Note 2 2 2 5 3" xfId="6142" xr:uid="{00000000-0005-0000-0000-0000B9200000}"/>
    <cellStyle name="Note 2 2 2 5 3 2" xfId="15468" xr:uid="{06FA2EB4-A709-4839-A356-AE3E37680D43}"/>
    <cellStyle name="Note 2 2 2 5 4" xfId="11251" xr:uid="{FC15C987-997F-4C5A-9C21-562C39CD607D}"/>
    <cellStyle name="Note 2 2 2 6" xfId="2249" xr:uid="{00000000-0005-0000-0000-0000BA200000}"/>
    <cellStyle name="Note 2 2 2 6 2" xfId="4478" xr:uid="{00000000-0005-0000-0000-0000BB200000}"/>
    <cellStyle name="Note 2 2 2 6 2 2" xfId="8700" xr:uid="{00000000-0005-0000-0000-0000BC200000}"/>
    <cellStyle name="Note 2 2 2 6 2 2 2" xfId="18026" xr:uid="{A11C1F47-EC60-44CB-A444-1FE7CDBC6861}"/>
    <cellStyle name="Note 2 2 2 6 2 3" xfId="13809" xr:uid="{87E2B69A-2CAF-4879-B2E4-B03636B03DAB}"/>
    <cellStyle name="Note 2 2 2 6 3" xfId="6555" xr:uid="{00000000-0005-0000-0000-0000BD200000}"/>
    <cellStyle name="Note 2 2 2 6 3 2" xfId="15881" xr:uid="{5415DC0B-C396-4491-B2BA-F0B36514AD50}"/>
    <cellStyle name="Note 2 2 2 6 4" xfId="11664" xr:uid="{863BD863-2AF5-4172-992C-19FD1FBC3C67}"/>
    <cellStyle name="Note 2 2 2 7" xfId="2685" xr:uid="{00000000-0005-0000-0000-0000BE200000}"/>
    <cellStyle name="Note 2 2 2 7 2" xfId="6968" xr:uid="{00000000-0005-0000-0000-0000BF200000}"/>
    <cellStyle name="Note 2 2 2 7 2 2" xfId="16294" xr:uid="{5BB09B63-B194-42D8-9F2C-2AE68ECF0978}"/>
    <cellStyle name="Note 2 2 2 7 3" xfId="12077" xr:uid="{A6FD2C32-658D-4FD6-B802-7D9442937843}"/>
    <cellStyle name="Note 2 2 2 8" xfId="2744" xr:uid="{00000000-0005-0000-0000-0000C0200000}"/>
    <cellStyle name="Note 2 2 2 9" xfId="2825" xr:uid="{00000000-0005-0000-0000-0000C1200000}"/>
    <cellStyle name="Note 2 2 2 9 2" xfId="7048" xr:uid="{00000000-0005-0000-0000-0000C2200000}"/>
    <cellStyle name="Note 2 2 2 9 2 2" xfId="16374" xr:uid="{8850568B-FDBA-4D5E-83DA-910F547084DB}"/>
    <cellStyle name="Note 2 2 2 9 3" xfId="12157" xr:uid="{A129608F-2B8C-4560-8DEF-480ADB64976F}"/>
    <cellStyle name="Note 2 2 3" xfId="548" xr:uid="{00000000-0005-0000-0000-0000C3200000}"/>
    <cellStyle name="Note 2 2 3 10" xfId="9048" xr:uid="{894401FF-B7D8-49E8-91E6-A1C42DD04D54}"/>
    <cellStyle name="Note 2 2 3 11" xfId="10014" xr:uid="{2A550871-852E-4C8A-B6DB-2919EF85AB64}"/>
    <cellStyle name="Note 2 2 3 2" xfId="1009" xr:uid="{00000000-0005-0000-0000-0000C4200000}"/>
    <cellStyle name="Note 2 2 3 2 2" xfId="3241" xr:uid="{00000000-0005-0000-0000-0000C5200000}"/>
    <cellStyle name="Note 2 2 3 2 2 2" xfId="7463" xr:uid="{00000000-0005-0000-0000-0000C6200000}"/>
    <cellStyle name="Note 2 2 3 2 2 2 2" xfId="16789" xr:uid="{0CA479B4-7ABB-49B3-8241-3024477AECF5}"/>
    <cellStyle name="Note 2 2 3 2 2 3" xfId="12572" xr:uid="{920B552C-DA40-4615-A573-D8E88ACAC37D}"/>
    <cellStyle name="Note 2 2 3 2 3" xfId="5318" xr:uid="{00000000-0005-0000-0000-0000C7200000}"/>
    <cellStyle name="Note 2 2 3 2 3 2" xfId="14644" xr:uid="{F6446F19-8045-49DF-B8AA-37D503FE8635}"/>
    <cellStyle name="Note 2 2 3 2 4" xfId="9473" xr:uid="{7711F4E0-385B-44CD-ACEA-5E9D7E4CD8DC}"/>
    <cellStyle name="Note 2 2 3 2 5" xfId="10427" xr:uid="{0BD5D995-69CA-4BC7-AA86-33C097BAFE45}"/>
    <cellStyle name="Note 2 2 3 3" xfId="1424" xr:uid="{00000000-0005-0000-0000-0000C8200000}"/>
    <cellStyle name="Note 2 2 3 3 2" xfId="3654" xr:uid="{00000000-0005-0000-0000-0000C9200000}"/>
    <cellStyle name="Note 2 2 3 3 2 2" xfId="7876" xr:uid="{00000000-0005-0000-0000-0000CA200000}"/>
    <cellStyle name="Note 2 2 3 3 2 2 2" xfId="17202" xr:uid="{F17838FC-6649-45C8-A22B-FD557D914D93}"/>
    <cellStyle name="Note 2 2 3 3 2 3" xfId="12985" xr:uid="{48BC18FD-9225-4448-9F4B-016C2C206A98}"/>
    <cellStyle name="Note 2 2 3 3 3" xfId="5731" xr:uid="{00000000-0005-0000-0000-0000CB200000}"/>
    <cellStyle name="Note 2 2 3 3 3 2" xfId="15057" xr:uid="{27883A6B-E194-4AB2-8776-D0C5E89CDAE8}"/>
    <cellStyle name="Note 2 2 3 3 4" xfId="10840" xr:uid="{2A686580-F8F8-4B0D-8F58-816C1C511029}"/>
    <cellStyle name="Note 2 2 3 4" xfId="1838" xr:uid="{00000000-0005-0000-0000-0000CC200000}"/>
    <cellStyle name="Note 2 2 3 4 2" xfId="4067" xr:uid="{00000000-0005-0000-0000-0000CD200000}"/>
    <cellStyle name="Note 2 2 3 4 2 2" xfId="8289" xr:uid="{00000000-0005-0000-0000-0000CE200000}"/>
    <cellStyle name="Note 2 2 3 4 2 2 2" xfId="17615" xr:uid="{AE4F609E-F631-4940-AE57-B5E1585E459D}"/>
    <cellStyle name="Note 2 2 3 4 2 3" xfId="13398" xr:uid="{75CB3EDF-609D-4AE2-B075-56D1D2734C02}"/>
    <cellStyle name="Note 2 2 3 4 3" xfId="6144" xr:uid="{00000000-0005-0000-0000-0000CF200000}"/>
    <cellStyle name="Note 2 2 3 4 3 2" xfId="15470" xr:uid="{A24BB797-9A70-4CF1-B494-6D3580C53837}"/>
    <cellStyle name="Note 2 2 3 4 4" xfId="11253" xr:uid="{25DB3130-27BD-481A-9B52-52B9921051EA}"/>
    <cellStyle name="Note 2 2 3 5" xfId="2251" xr:uid="{00000000-0005-0000-0000-0000D0200000}"/>
    <cellStyle name="Note 2 2 3 5 2" xfId="4480" xr:uid="{00000000-0005-0000-0000-0000D1200000}"/>
    <cellStyle name="Note 2 2 3 5 2 2" xfId="8702" xr:uid="{00000000-0005-0000-0000-0000D2200000}"/>
    <cellStyle name="Note 2 2 3 5 2 2 2" xfId="18028" xr:uid="{FF82DCF5-2B9C-4DA4-B943-F8393D1C1AC1}"/>
    <cellStyle name="Note 2 2 3 5 2 3" xfId="13811" xr:uid="{8877258F-9DF6-480C-98B9-C00819366A47}"/>
    <cellStyle name="Note 2 2 3 5 3" xfId="6557" xr:uid="{00000000-0005-0000-0000-0000D3200000}"/>
    <cellStyle name="Note 2 2 3 5 3 2" xfId="15883" xr:uid="{3CF420BB-9878-4B2C-95A8-A96974752B1D}"/>
    <cellStyle name="Note 2 2 3 5 4" xfId="11666" xr:uid="{E273A179-46AA-45C8-8F69-92ABEFC28ED0}"/>
    <cellStyle name="Note 2 2 3 6" xfId="2687" xr:uid="{00000000-0005-0000-0000-0000D4200000}"/>
    <cellStyle name="Note 2 2 3 6 2" xfId="6970" xr:uid="{00000000-0005-0000-0000-0000D5200000}"/>
    <cellStyle name="Note 2 2 3 6 2 2" xfId="16296" xr:uid="{A637A4E9-4068-48D2-88AE-01E80923E732}"/>
    <cellStyle name="Note 2 2 3 6 3" xfId="12079" xr:uid="{AEDBC887-3FEA-4B3E-A975-96BC34252CEF}"/>
    <cellStyle name="Note 2 2 3 7" xfId="2746" xr:uid="{00000000-0005-0000-0000-0000D6200000}"/>
    <cellStyle name="Note 2 2 3 8" xfId="2827" xr:uid="{00000000-0005-0000-0000-0000D7200000}"/>
    <cellStyle name="Note 2 2 3 8 2" xfId="7050" xr:uid="{00000000-0005-0000-0000-0000D8200000}"/>
    <cellStyle name="Note 2 2 3 8 2 2" xfId="16376" xr:uid="{48FDAE59-3626-4AFD-88B9-8F924F0BF671}"/>
    <cellStyle name="Note 2 2 3 8 3" xfId="12159" xr:uid="{4A401052-C298-4DEA-B571-8705315BD01D}"/>
    <cellStyle name="Note 2 2 3 9" xfId="4905" xr:uid="{00000000-0005-0000-0000-0000D9200000}"/>
    <cellStyle name="Note 2 2 3 9 2" xfId="14231" xr:uid="{D2767333-F68C-4578-B6C8-09BA407D3479}"/>
    <cellStyle name="Note 2 2 4" xfId="1006" xr:uid="{00000000-0005-0000-0000-0000DA200000}"/>
    <cellStyle name="Note 2 2 4 2" xfId="3238" xr:uid="{00000000-0005-0000-0000-0000DB200000}"/>
    <cellStyle name="Note 2 2 4 2 2" xfId="7460" xr:uid="{00000000-0005-0000-0000-0000DC200000}"/>
    <cellStyle name="Note 2 2 4 2 2 2" xfId="16786" xr:uid="{51709BE2-8342-4844-A5AE-AC3CA0D8E401}"/>
    <cellStyle name="Note 2 2 4 2 3" xfId="12569" xr:uid="{82EA4018-F218-412E-97CD-0B661ACDC895}"/>
    <cellStyle name="Note 2 2 4 3" xfId="5315" xr:uid="{00000000-0005-0000-0000-0000DD200000}"/>
    <cellStyle name="Note 2 2 4 3 2" xfId="14641" xr:uid="{DF80A904-C825-4622-98C0-ADF814CAEF0B}"/>
    <cellStyle name="Note 2 2 4 4" xfId="9266" xr:uid="{8B6F7B8D-50FA-47DA-836F-17B0F9492E54}"/>
    <cellStyle name="Note 2 2 4 5" xfId="10424" xr:uid="{2A22EB20-9DA9-41E2-853C-65BB5CF20576}"/>
    <cellStyle name="Note 2 2 5" xfId="1421" xr:uid="{00000000-0005-0000-0000-0000DE200000}"/>
    <cellStyle name="Note 2 2 5 2" xfId="3651" xr:uid="{00000000-0005-0000-0000-0000DF200000}"/>
    <cellStyle name="Note 2 2 5 2 2" xfId="7873" xr:uid="{00000000-0005-0000-0000-0000E0200000}"/>
    <cellStyle name="Note 2 2 5 2 2 2" xfId="17199" xr:uid="{1C8A45D2-6001-45ED-9072-B1E3C6B9ADF2}"/>
    <cellStyle name="Note 2 2 5 2 3" xfId="12982" xr:uid="{B63E9BCC-8E68-4493-94A4-62262918E915}"/>
    <cellStyle name="Note 2 2 5 3" xfId="5728" xr:uid="{00000000-0005-0000-0000-0000E1200000}"/>
    <cellStyle name="Note 2 2 5 3 2" xfId="15054" xr:uid="{9D50E2F4-AFC6-411F-83DB-CC521EA57F94}"/>
    <cellStyle name="Note 2 2 5 4" xfId="10837" xr:uid="{4F80A688-2A05-43A7-880E-9DDF5BF04A38}"/>
    <cellStyle name="Note 2 2 6" xfId="1835" xr:uid="{00000000-0005-0000-0000-0000E2200000}"/>
    <cellStyle name="Note 2 2 6 2" xfId="4064" xr:uid="{00000000-0005-0000-0000-0000E3200000}"/>
    <cellStyle name="Note 2 2 6 2 2" xfId="8286" xr:uid="{00000000-0005-0000-0000-0000E4200000}"/>
    <cellStyle name="Note 2 2 6 2 2 2" xfId="17612" xr:uid="{C00627C6-DBAB-425B-8626-AE8510B70D2C}"/>
    <cellStyle name="Note 2 2 6 2 3" xfId="13395" xr:uid="{0549D190-AA02-48D4-960D-3E02BCB8A15C}"/>
    <cellStyle name="Note 2 2 6 3" xfId="6141" xr:uid="{00000000-0005-0000-0000-0000E5200000}"/>
    <cellStyle name="Note 2 2 6 3 2" xfId="15467" xr:uid="{F0C7A53C-B271-425A-8C67-49A1E2A79D45}"/>
    <cellStyle name="Note 2 2 6 4" xfId="11250" xr:uid="{39D0500C-7006-43D2-9B01-DE5C8BB018B8}"/>
    <cellStyle name="Note 2 2 7" xfId="2248" xr:uid="{00000000-0005-0000-0000-0000E6200000}"/>
    <cellStyle name="Note 2 2 7 2" xfId="4477" xr:uid="{00000000-0005-0000-0000-0000E7200000}"/>
    <cellStyle name="Note 2 2 7 2 2" xfId="8699" xr:uid="{00000000-0005-0000-0000-0000E8200000}"/>
    <cellStyle name="Note 2 2 7 2 2 2" xfId="18025" xr:uid="{C40C8B80-B8FB-4A04-A9A4-09148B66B757}"/>
    <cellStyle name="Note 2 2 7 2 3" xfId="13808" xr:uid="{5BE5A28E-B369-49FD-B1ED-34CE1352CBA1}"/>
    <cellStyle name="Note 2 2 7 3" xfId="6554" xr:uid="{00000000-0005-0000-0000-0000E9200000}"/>
    <cellStyle name="Note 2 2 7 3 2" xfId="15880" xr:uid="{C75436C1-9602-4E09-94E1-2C74506760E0}"/>
    <cellStyle name="Note 2 2 7 4" xfId="11663" xr:uid="{B12F2C39-A889-4D54-99A0-E5BD395FD358}"/>
    <cellStyle name="Note 2 2 8" xfId="2684" xr:uid="{00000000-0005-0000-0000-0000EA200000}"/>
    <cellStyle name="Note 2 2 8 2" xfId="6967" xr:uid="{00000000-0005-0000-0000-0000EB200000}"/>
    <cellStyle name="Note 2 2 8 2 2" xfId="16293" xr:uid="{DD33AD18-04C3-40D2-8451-0C2BFFCCC608}"/>
    <cellStyle name="Note 2 2 8 3" xfId="12076" xr:uid="{E46B718E-06EC-4A7D-9F11-9D5D9ED0BA09}"/>
    <cellStyle name="Note 2 2 9" xfId="2743" xr:uid="{00000000-0005-0000-0000-0000EC200000}"/>
    <cellStyle name="Note 2 3" xfId="549" xr:uid="{00000000-0005-0000-0000-0000ED200000}"/>
    <cellStyle name="Note 2 3 10" xfId="4906" xr:uid="{00000000-0005-0000-0000-0000EE200000}"/>
    <cellStyle name="Note 2 3 10 2" xfId="14232" xr:uid="{ADF674DD-91CC-4800-973F-5A36032154EC}"/>
    <cellStyle name="Note 2 3 11" xfId="8894" xr:uid="{2BFFE8D0-DA42-4876-8895-58F80713E965}"/>
    <cellStyle name="Note 2 3 12" xfId="10015" xr:uid="{E61437B5-C639-4208-A431-977ABD8201E5}"/>
    <cellStyle name="Note 2 3 2" xfId="550" xr:uid="{00000000-0005-0000-0000-0000EF200000}"/>
    <cellStyle name="Note 2 3 2 10" xfId="9101" xr:uid="{1822EEA2-225E-465E-B4CD-D4615440EC62}"/>
    <cellStyle name="Note 2 3 2 11" xfId="10016" xr:uid="{B26674BF-C59C-42AF-907F-30363386E959}"/>
    <cellStyle name="Note 2 3 2 2" xfId="1011" xr:uid="{00000000-0005-0000-0000-0000F0200000}"/>
    <cellStyle name="Note 2 3 2 2 2" xfId="3243" xr:uid="{00000000-0005-0000-0000-0000F1200000}"/>
    <cellStyle name="Note 2 3 2 2 2 2" xfId="7465" xr:uid="{00000000-0005-0000-0000-0000F2200000}"/>
    <cellStyle name="Note 2 3 2 2 2 2 2" xfId="16791" xr:uid="{0DFB8554-D46F-49B2-883A-AA76DCC1BF64}"/>
    <cellStyle name="Note 2 3 2 2 2 3" xfId="12574" xr:uid="{8AFBBF36-3ECD-4AEE-B8B4-64DE069A45CE}"/>
    <cellStyle name="Note 2 3 2 2 3" xfId="5320" xr:uid="{00000000-0005-0000-0000-0000F3200000}"/>
    <cellStyle name="Note 2 3 2 2 3 2" xfId="14646" xr:uid="{05AB0180-E95C-4E19-A438-01A7764D4486}"/>
    <cellStyle name="Note 2 3 2 2 4" xfId="9526" xr:uid="{1C428179-0C82-4F5D-9FE4-E11D597F9E89}"/>
    <cellStyle name="Note 2 3 2 2 5" xfId="10429" xr:uid="{29ABA9E0-F07F-4E8A-9E14-CF633C5C4716}"/>
    <cellStyle name="Note 2 3 2 3" xfId="1426" xr:uid="{00000000-0005-0000-0000-0000F4200000}"/>
    <cellStyle name="Note 2 3 2 3 2" xfId="3656" xr:uid="{00000000-0005-0000-0000-0000F5200000}"/>
    <cellStyle name="Note 2 3 2 3 2 2" xfId="7878" xr:uid="{00000000-0005-0000-0000-0000F6200000}"/>
    <cellStyle name="Note 2 3 2 3 2 2 2" xfId="17204" xr:uid="{648B3879-8FBC-4A2E-8E5E-DB31D70EAD12}"/>
    <cellStyle name="Note 2 3 2 3 2 3" xfId="12987" xr:uid="{920D1021-9D01-4903-8F93-5DCA63D91752}"/>
    <cellStyle name="Note 2 3 2 3 3" xfId="5733" xr:uid="{00000000-0005-0000-0000-0000F7200000}"/>
    <cellStyle name="Note 2 3 2 3 3 2" xfId="15059" xr:uid="{84F811F4-370F-45BB-A472-99508CE18810}"/>
    <cellStyle name="Note 2 3 2 3 4" xfId="10842" xr:uid="{28BCA834-69E9-466C-ACBF-DA6A18F676C1}"/>
    <cellStyle name="Note 2 3 2 4" xfId="1840" xr:uid="{00000000-0005-0000-0000-0000F8200000}"/>
    <cellStyle name="Note 2 3 2 4 2" xfId="4069" xr:uid="{00000000-0005-0000-0000-0000F9200000}"/>
    <cellStyle name="Note 2 3 2 4 2 2" xfId="8291" xr:uid="{00000000-0005-0000-0000-0000FA200000}"/>
    <cellStyle name="Note 2 3 2 4 2 2 2" xfId="17617" xr:uid="{18BA64FF-970B-4982-9381-E2D70C41749F}"/>
    <cellStyle name="Note 2 3 2 4 2 3" xfId="13400" xr:uid="{E6417E55-08DB-472E-85C4-F63960E2E2FC}"/>
    <cellStyle name="Note 2 3 2 4 3" xfId="6146" xr:uid="{00000000-0005-0000-0000-0000FB200000}"/>
    <cellStyle name="Note 2 3 2 4 3 2" xfId="15472" xr:uid="{F0250F6F-B8A0-4A58-B79A-EB1B36A1CCF8}"/>
    <cellStyle name="Note 2 3 2 4 4" xfId="11255" xr:uid="{3E149D7C-89C1-4A6E-9359-42A409F28977}"/>
    <cellStyle name="Note 2 3 2 5" xfId="2253" xr:uid="{00000000-0005-0000-0000-0000FC200000}"/>
    <cellStyle name="Note 2 3 2 5 2" xfId="4482" xr:uid="{00000000-0005-0000-0000-0000FD200000}"/>
    <cellStyle name="Note 2 3 2 5 2 2" xfId="8704" xr:uid="{00000000-0005-0000-0000-0000FE200000}"/>
    <cellStyle name="Note 2 3 2 5 2 2 2" xfId="18030" xr:uid="{715044D3-AADB-433D-8D94-4E48C2FB4D65}"/>
    <cellStyle name="Note 2 3 2 5 2 3" xfId="13813" xr:uid="{90E2D4F8-0D86-499F-AD7E-B0077F8C16CF}"/>
    <cellStyle name="Note 2 3 2 5 3" xfId="6559" xr:uid="{00000000-0005-0000-0000-0000FF200000}"/>
    <cellStyle name="Note 2 3 2 5 3 2" xfId="15885" xr:uid="{94966B99-04F5-48AD-BE15-0C8E9A522944}"/>
    <cellStyle name="Note 2 3 2 5 4" xfId="11668" xr:uid="{E885B6D8-E928-453A-B7C0-9F45DB10E3EF}"/>
    <cellStyle name="Note 2 3 2 6" xfId="2689" xr:uid="{00000000-0005-0000-0000-000000210000}"/>
    <cellStyle name="Note 2 3 2 6 2" xfId="6972" xr:uid="{00000000-0005-0000-0000-000001210000}"/>
    <cellStyle name="Note 2 3 2 6 2 2" xfId="16298" xr:uid="{DE410250-FAFE-4CC1-8180-F7E0862880F8}"/>
    <cellStyle name="Note 2 3 2 6 3" xfId="12081" xr:uid="{5906FBA1-0275-4C1B-8FCC-664106268C83}"/>
    <cellStyle name="Note 2 3 2 7" xfId="2748" xr:uid="{00000000-0005-0000-0000-000002210000}"/>
    <cellStyle name="Note 2 3 2 8" xfId="2829" xr:uid="{00000000-0005-0000-0000-000003210000}"/>
    <cellStyle name="Note 2 3 2 8 2" xfId="7052" xr:uid="{00000000-0005-0000-0000-000004210000}"/>
    <cellStyle name="Note 2 3 2 8 2 2" xfId="16378" xr:uid="{D3E33B3D-525E-4FF2-91C2-16110283A37D}"/>
    <cellStyle name="Note 2 3 2 8 3" xfId="12161" xr:uid="{D1C65516-D2AD-457B-9706-B97AE8801438}"/>
    <cellStyle name="Note 2 3 2 9" xfId="4907" xr:uid="{00000000-0005-0000-0000-000005210000}"/>
    <cellStyle name="Note 2 3 2 9 2" xfId="14233" xr:uid="{649DF61C-B92B-4928-B4B5-074F74094049}"/>
    <cellStyle name="Note 2 3 3" xfId="1010" xr:uid="{00000000-0005-0000-0000-000006210000}"/>
    <cellStyle name="Note 2 3 3 2" xfId="3242" xr:uid="{00000000-0005-0000-0000-000007210000}"/>
    <cellStyle name="Note 2 3 3 2 2" xfId="7464" xr:uid="{00000000-0005-0000-0000-000008210000}"/>
    <cellStyle name="Note 2 3 3 2 2 2" xfId="16790" xr:uid="{33B65A7F-3ECA-4D36-8455-77FAC485F738}"/>
    <cellStyle name="Note 2 3 3 2 3" xfId="12573" xr:uid="{C06F474C-1363-43F8-8DA0-CC98FA119CE8}"/>
    <cellStyle name="Note 2 3 3 3" xfId="5319" xr:uid="{00000000-0005-0000-0000-000009210000}"/>
    <cellStyle name="Note 2 3 3 3 2" xfId="14645" xr:uid="{4F18CE21-C094-4F62-BC3D-F3E7F26A355B}"/>
    <cellStyle name="Note 2 3 3 4" xfId="9319" xr:uid="{06E4A3C6-5CAA-4424-B4C3-41162F21AE7D}"/>
    <cellStyle name="Note 2 3 3 5" xfId="10428" xr:uid="{FCBC0A74-C90D-4631-B341-0C7BDFE124BB}"/>
    <cellStyle name="Note 2 3 4" xfId="1425" xr:uid="{00000000-0005-0000-0000-00000A210000}"/>
    <cellStyle name="Note 2 3 4 2" xfId="3655" xr:uid="{00000000-0005-0000-0000-00000B210000}"/>
    <cellStyle name="Note 2 3 4 2 2" xfId="7877" xr:uid="{00000000-0005-0000-0000-00000C210000}"/>
    <cellStyle name="Note 2 3 4 2 2 2" xfId="17203" xr:uid="{A79AC54B-A25D-4D72-B614-DA91A1A4D641}"/>
    <cellStyle name="Note 2 3 4 2 3" xfId="12986" xr:uid="{F88110A1-0AAE-4CFF-B1FF-FEF3603D313F}"/>
    <cellStyle name="Note 2 3 4 3" xfId="5732" xr:uid="{00000000-0005-0000-0000-00000D210000}"/>
    <cellStyle name="Note 2 3 4 3 2" xfId="15058" xr:uid="{E12EC971-F1ED-4F78-A4DF-718C623A8061}"/>
    <cellStyle name="Note 2 3 4 4" xfId="10841" xr:uid="{2A2DB86E-DBEE-4C13-A4D4-54FA5DE5D451}"/>
    <cellStyle name="Note 2 3 5" xfId="1839" xr:uid="{00000000-0005-0000-0000-00000E210000}"/>
    <cellStyle name="Note 2 3 5 2" xfId="4068" xr:uid="{00000000-0005-0000-0000-00000F210000}"/>
    <cellStyle name="Note 2 3 5 2 2" xfId="8290" xr:uid="{00000000-0005-0000-0000-000010210000}"/>
    <cellStyle name="Note 2 3 5 2 2 2" xfId="17616" xr:uid="{21C9E3F6-199D-435B-907A-97A0903E4B02}"/>
    <cellStyle name="Note 2 3 5 2 3" xfId="13399" xr:uid="{A50D6F9C-0666-45EB-AD71-C335F7C04A83}"/>
    <cellStyle name="Note 2 3 5 3" xfId="6145" xr:uid="{00000000-0005-0000-0000-000011210000}"/>
    <cellStyle name="Note 2 3 5 3 2" xfId="15471" xr:uid="{C5B1B8EC-AED1-4324-8670-3C633FD8CB00}"/>
    <cellStyle name="Note 2 3 5 4" xfId="11254" xr:uid="{7E9AFB8E-034A-44A1-8386-A1AEE9FCC045}"/>
    <cellStyle name="Note 2 3 6" xfId="2252" xr:uid="{00000000-0005-0000-0000-000012210000}"/>
    <cellStyle name="Note 2 3 6 2" xfId="4481" xr:uid="{00000000-0005-0000-0000-000013210000}"/>
    <cellStyle name="Note 2 3 6 2 2" xfId="8703" xr:uid="{00000000-0005-0000-0000-000014210000}"/>
    <cellStyle name="Note 2 3 6 2 2 2" xfId="18029" xr:uid="{60873523-EE8A-4FD8-99BD-501F58A8DF87}"/>
    <cellStyle name="Note 2 3 6 2 3" xfId="13812" xr:uid="{A1AD5C35-FBA5-47E1-877B-B836F4C8F1A0}"/>
    <cellStyle name="Note 2 3 6 3" xfId="6558" xr:uid="{00000000-0005-0000-0000-000015210000}"/>
    <cellStyle name="Note 2 3 6 3 2" xfId="15884" xr:uid="{056023DC-22E7-4DFB-AC1A-B2512FBB2F73}"/>
    <cellStyle name="Note 2 3 6 4" xfId="11667" xr:uid="{F2B3F685-99D8-45C7-8DA5-A1C52EDC5416}"/>
    <cellStyle name="Note 2 3 7" xfId="2688" xr:uid="{00000000-0005-0000-0000-000016210000}"/>
    <cellStyle name="Note 2 3 7 2" xfId="6971" xr:uid="{00000000-0005-0000-0000-000017210000}"/>
    <cellStyle name="Note 2 3 7 2 2" xfId="16297" xr:uid="{F409BF29-F1C7-496E-9058-EAD54E6EE10A}"/>
    <cellStyle name="Note 2 3 7 3" xfId="12080" xr:uid="{092F4972-9D9E-467C-9D98-4B9C96FCD37A}"/>
    <cellStyle name="Note 2 3 8" xfId="2747" xr:uid="{00000000-0005-0000-0000-000018210000}"/>
    <cellStyle name="Note 2 3 9" xfId="2828" xr:uid="{00000000-0005-0000-0000-000019210000}"/>
    <cellStyle name="Note 2 3 9 2" xfId="7051" xr:uid="{00000000-0005-0000-0000-00001A210000}"/>
    <cellStyle name="Note 2 3 9 2 2" xfId="16377" xr:uid="{8CA6E8F9-9360-4CB9-B5EB-E2901F9A6108}"/>
    <cellStyle name="Note 2 3 9 3" xfId="12160" xr:uid="{16683A2E-9059-4DE5-A991-1163710F9885}"/>
    <cellStyle name="Note 2 4" xfId="551" xr:uid="{00000000-0005-0000-0000-00001B210000}"/>
    <cellStyle name="Note 2 4 10" xfId="8998" xr:uid="{AC87C288-14A9-4FB3-A26C-1706964E6651}"/>
    <cellStyle name="Note 2 4 11" xfId="10017" xr:uid="{06437A5D-9106-4E29-B6B7-48C6437B844D}"/>
    <cellStyle name="Note 2 4 2" xfId="1012" xr:uid="{00000000-0005-0000-0000-00001C210000}"/>
    <cellStyle name="Note 2 4 2 2" xfId="3244" xr:uid="{00000000-0005-0000-0000-00001D210000}"/>
    <cellStyle name="Note 2 4 2 2 2" xfId="7466" xr:uid="{00000000-0005-0000-0000-00001E210000}"/>
    <cellStyle name="Note 2 4 2 2 2 2" xfId="16792" xr:uid="{383B4E9A-8BDF-4782-B48B-84495269B7DF}"/>
    <cellStyle name="Note 2 4 2 2 3" xfId="12575" xr:uid="{E253FC82-3B38-4841-A9FC-2E5E4ECF8DD5}"/>
    <cellStyle name="Note 2 4 2 3" xfId="5321" xr:uid="{00000000-0005-0000-0000-00001F210000}"/>
    <cellStyle name="Note 2 4 2 3 2" xfId="14647" xr:uid="{113825FB-FBCC-4918-BA6C-CDF862251942}"/>
    <cellStyle name="Note 2 4 2 4" xfId="9423" xr:uid="{43B93802-BE55-43D9-BEBC-4095E3C1FF74}"/>
    <cellStyle name="Note 2 4 2 5" xfId="10430" xr:uid="{F7B8EB9E-AB67-4D15-96B4-5DD0E543FBA8}"/>
    <cellStyle name="Note 2 4 3" xfId="1427" xr:uid="{00000000-0005-0000-0000-000020210000}"/>
    <cellStyle name="Note 2 4 3 2" xfId="3657" xr:uid="{00000000-0005-0000-0000-000021210000}"/>
    <cellStyle name="Note 2 4 3 2 2" xfId="7879" xr:uid="{00000000-0005-0000-0000-000022210000}"/>
    <cellStyle name="Note 2 4 3 2 2 2" xfId="17205" xr:uid="{1055C21F-8842-4FFC-8E0F-C38C8FE4267B}"/>
    <cellStyle name="Note 2 4 3 2 3" xfId="12988" xr:uid="{215F7F57-C2FE-48E9-AFF0-D8629FC9E7A4}"/>
    <cellStyle name="Note 2 4 3 3" xfId="5734" xr:uid="{00000000-0005-0000-0000-000023210000}"/>
    <cellStyle name="Note 2 4 3 3 2" xfId="15060" xr:uid="{F324F3DA-173F-46D9-A704-9251B85D0FDA}"/>
    <cellStyle name="Note 2 4 3 4" xfId="10843" xr:uid="{65F219E2-6617-4099-8658-BDEF21D40248}"/>
    <cellStyle name="Note 2 4 4" xfId="1841" xr:uid="{00000000-0005-0000-0000-000024210000}"/>
    <cellStyle name="Note 2 4 4 2" xfId="4070" xr:uid="{00000000-0005-0000-0000-000025210000}"/>
    <cellStyle name="Note 2 4 4 2 2" xfId="8292" xr:uid="{00000000-0005-0000-0000-000026210000}"/>
    <cellStyle name="Note 2 4 4 2 2 2" xfId="17618" xr:uid="{075B3D5D-DD77-4554-B0D7-B800428B3B31}"/>
    <cellStyle name="Note 2 4 4 2 3" xfId="13401" xr:uid="{7D173D8E-A9E0-4BD5-9D48-EE9E623CC3F6}"/>
    <cellStyle name="Note 2 4 4 3" xfId="6147" xr:uid="{00000000-0005-0000-0000-000027210000}"/>
    <cellStyle name="Note 2 4 4 3 2" xfId="15473" xr:uid="{CF9C1163-A9B3-4291-8755-360E2DD56759}"/>
    <cellStyle name="Note 2 4 4 4" xfId="11256" xr:uid="{7D79E68A-E7BC-4DDC-AEE3-304A1A114B34}"/>
    <cellStyle name="Note 2 4 5" xfId="2254" xr:uid="{00000000-0005-0000-0000-000028210000}"/>
    <cellStyle name="Note 2 4 5 2" xfId="4483" xr:uid="{00000000-0005-0000-0000-000029210000}"/>
    <cellStyle name="Note 2 4 5 2 2" xfId="8705" xr:uid="{00000000-0005-0000-0000-00002A210000}"/>
    <cellStyle name="Note 2 4 5 2 2 2" xfId="18031" xr:uid="{88AADB67-9573-46A6-9B68-550277B6A24C}"/>
    <cellStyle name="Note 2 4 5 2 3" xfId="13814" xr:uid="{FA97C476-4C7A-40AD-A8BD-48B02140EF47}"/>
    <cellStyle name="Note 2 4 5 3" xfId="6560" xr:uid="{00000000-0005-0000-0000-00002B210000}"/>
    <cellStyle name="Note 2 4 5 3 2" xfId="15886" xr:uid="{75DD3672-E962-4101-9E1B-78EB1705BD85}"/>
    <cellStyle name="Note 2 4 5 4" xfId="11669" xr:uid="{8D0287DC-FC69-4F0F-AD3E-DECA8996CFDC}"/>
    <cellStyle name="Note 2 4 6" xfId="2690" xr:uid="{00000000-0005-0000-0000-00002C210000}"/>
    <cellStyle name="Note 2 4 6 2" xfId="6973" xr:uid="{00000000-0005-0000-0000-00002D210000}"/>
    <cellStyle name="Note 2 4 6 2 2" xfId="16299" xr:uid="{27E27B79-EB0D-4E5A-A5AB-5DD7BC5B117B}"/>
    <cellStyle name="Note 2 4 6 3" xfId="12082" xr:uid="{D9B151F6-45AD-41D0-8010-4302E86B26F4}"/>
    <cellStyle name="Note 2 4 7" xfId="2749" xr:uid="{00000000-0005-0000-0000-00002E210000}"/>
    <cellStyle name="Note 2 4 8" xfId="2830" xr:uid="{00000000-0005-0000-0000-00002F210000}"/>
    <cellStyle name="Note 2 4 8 2" xfId="7053" xr:uid="{00000000-0005-0000-0000-000030210000}"/>
    <cellStyle name="Note 2 4 8 2 2" xfId="16379" xr:uid="{6B289739-4137-4F9E-96D7-8E7B4E1AD25B}"/>
    <cellStyle name="Note 2 4 8 3" xfId="12162" xr:uid="{910E8735-3EA8-4D78-8E11-F9AE47A9D221}"/>
    <cellStyle name="Note 2 4 9" xfId="4908" xr:uid="{00000000-0005-0000-0000-000031210000}"/>
    <cellStyle name="Note 2 4 9 2" xfId="14234" xr:uid="{6B1CBE51-B250-4E16-B857-1CE10231EC79}"/>
    <cellStyle name="Note 2 5" xfId="552" xr:uid="{00000000-0005-0000-0000-000032210000}"/>
    <cellStyle name="Note 2 5 10" xfId="9215" xr:uid="{69947D86-0683-476F-9E74-96CA08091560}"/>
    <cellStyle name="Note 2 5 11" xfId="10018" xr:uid="{AB8FA4A9-0463-4676-A340-FE90D3A4FF32}"/>
    <cellStyle name="Note 2 5 2" xfId="1013" xr:uid="{00000000-0005-0000-0000-000033210000}"/>
    <cellStyle name="Note 2 5 2 2" xfId="3245" xr:uid="{00000000-0005-0000-0000-000034210000}"/>
    <cellStyle name="Note 2 5 2 2 2" xfId="7467" xr:uid="{00000000-0005-0000-0000-000035210000}"/>
    <cellStyle name="Note 2 5 2 2 2 2" xfId="16793" xr:uid="{97D0E954-4E04-42E5-B467-94899AA53D73}"/>
    <cellStyle name="Note 2 5 2 2 3" xfId="12576" xr:uid="{0A83B006-13D0-42DB-88C7-09BF73F7D4B6}"/>
    <cellStyle name="Note 2 5 2 3" xfId="5322" xr:uid="{00000000-0005-0000-0000-000036210000}"/>
    <cellStyle name="Note 2 5 2 3 2" xfId="14648" xr:uid="{515174A6-BF4C-48E5-A556-C1CCC9882A61}"/>
    <cellStyle name="Note 2 5 2 4" xfId="9610" xr:uid="{26530D10-1DF8-4FA4-8FC9-4C945AA92A94}"/>
    <cellStyle name="Note 2 5 2 5" xfId="10431" xr:uid="{DDE11923-4A1B-486B-BC5D-CC208C9D179A}"/>
    <cellStyle name="Note 2 5 3" xfId="1428" xr:uid="{00000000-0005-0000-0000-000037210000}"/>
    <cellStyle name="Note 2 5 3 2" xfId="3658" xr:uid="{00000000-0005-0000-0000-000038210000}"/>
    <cellStyle name="Note 2 5 3 2 2" xfId="7880" xr:uid="{00000000-0005-0000-0000-000039210000}"/>
    <cellStyle name="Note 2 5 3 2 2 2" xfId="17206" xr:uid="{1A707B49-6953-4B46-8467-0486AD6EC236}"/>
    <cellStyle name="Note 2 5 3 2 3" xfId="12989" xr:uid="{2DFE5374-F0E7-4EAD-ACDE-B29E27CAC1C6}"/>
    <cellStyle name="Note 2 5 3 3" xfId="5735" xr:uid="{00000000-0005-0000-0000-00003A210000}"/>
    <cellStyle name="Note 2 5 3 3 2" xfId="15061" xr:uid="{5D003FDA-82EF-49F7-BFBA-C59E435727EE}"/>
    <cellStyle name="Note 2 5 3 4" xfId="10844" xr:uid="{AA8ACC53-19E0-4D0C-B3CA-1ECA4389D452}"/>
    <cellStyle name="Note 2 5 4" xfId="1842" xr:uid="{00000000-0005-0000-0000-00003B210000}"/>
    <cellStyle name="Note 2 5 4 2" xfId="4071" xr:uid="{00000000-0005-0000-0000-00003C210000}"/>
    <cellStyle name="Note 2 5 4 2 2" xfId="8293" xr:uid="{00000000-0005-0000-0000-00003D210000}"/>
    <cellStyle name="Note 2 5 4 2 2 2" xfId="17619" xr:uid="{C76C1E91-00AE-454B-932C-0798E05230BA}"/>
    <cellStyle name="Note 2 5 4 2 3" xfId="13402" xr:uid="{F594D5B1-BD51-4788-A7DB-B783F59C73DF}"/>
    <cellStyle name="Note 2 5 4 3" xfId="6148" xr:uid="{00000000-0005-0000-0000-00003E210000}"/>
    <cellStyle name="Note 2 5 4 3 2" xfId="15474" xr:uid="{DD4855EC-5FB1-4B3C-B6C4-FED3773B6AA9}"/>
    <cellStyle name="Note 2 5 4 4" xfId="11257" xr:uid="{4BA63FD7-62D0-494E-82AE-DA03C23404C9}"/>
    <cellStyle name="Note 2 5 5" xfId="2255" xr:uid="{00000000-0005-0000-0000-00003F210000}"/>
    <cellStyle name="Note 2 5 5 2" xfId="4484" xr:uid="{00000000-0005-0000-0000-000040210000}"/>
    <cellStyle name="Note 2 5 5 2 2" xfId="8706" xr:uid="{00000000-0005-0000-0000-000041210000}"/>
    <cellStyle name="Note 2 5 5 2 2 2" xfId="18032" xr:uid="{00B48FA0-452D-4F78-9846-5868CC84A789}"/>
    <cellStyle name="Note 2 5 5 2 3" xfId="13815" xr:uid="{FAFAA9EB-AD81-4E60-8BCF-079356C28DB8}"/>
    <cellStyle name="Note 2 5 5 3" xfId="6561" xr:uid="{00000000-0005-0000-0000-000042210000}"/>
    <cellStyle name="Note 2 5 5 3 2" xfId="15887" xr:uid="{4C963823-CC2D-4F59-82E6-EEF5BE685FCB}"/>
    <cellStyle name="Note 2 5 5 4" xfId="11670" xr:uid="{5D200A72-14F7-4D7E-8899-A95E08A4DFDA}"/>
    <cellStyle name="Note 2 5 6" xfId="2691" xr:uid="{00000000-0005-0000-0000-000043210000}"/>
    <cellStyle name="Note 2 5 6 2" xfId="6974" xr:uid="{00000000-0005-0000-0000-000044210000}"/>
    <cellStyle name="Note 2 5 6 2 2" xfId="16300" xr:uid="{412007A1-F817-48BF-9DD6-F7108F4A0768}"/>
    <cellStyle name="Note 2 5 6 3" xfId="12083" xr:uid="{C349D1A0-FC22-4184-9C28-8030C1C2ECA7}"/>
    <cellStyle name="Note 2 5 7" xfId="2750" xr:uid="{00000000-0005-0000-0000-000045210000}"/>
    <cellStyle name="Note 2 5 8" xfId="2831" xr:uid="{00000000-0005-0000-0000-000046210000}"/>
    <cellStyle name="Note 2 5 8 2" xfId="7054" xr:uid="{00000000-0005-0000-0000-000047210000}"/>
    <cellStyle name="Note 2 5 8 2 2" xfId="16380" xr:uid="{A239CF49-AE9D-4077-963A-F1602D7BD9E2}"/>
    <cellStyle name="Note 2 5 8 3" xfId="12163" xr:uid="{B355B0BD-BC00-4E64-9544-7049A934B0A6}"/>
    <cellStyle name="Note 2 5 9" xfId="4909" xr:uid="{00000000-0005-0000-0000-000048210000}"/>
    <cellStyle name="Note 2 5 9 2" xfId="14235" xr:uid="{055D8C81-4DAE-4CB4-A101-B94F251B0562}"/>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8A6A019D-089F-427C-B397-F5C70CFD69B8}"/>
    <cellStyle name="Note 3 2 10 3" xfId="12164" xr:uid="{62AECA7B-B4F7-4874-815C-5E76A7416117}"/>
    <cellStyle name="Note 3 2 11" xfId="4910" xr:uid="{00000000-0005-0000-0000-00004D210000}"/>
    <cellStyle name="Note 3 2 11 2" xfId="14236" xr:uid="{78D37B0E-F4DE-4CDD-AFB4-A5BA75036C88}"/>
    <cellStyle name="Note 3 2 12" xfId="8842" xr:uid="{646587AC-B7A9-43E2-AC1E-1B77745805D8}"/>
    <cellStyle name="Note 3 2 13" xfId="10019" xr:uid="{700C7825-EF1E-4955-91A6-A7C50B818C49}"/>
    <cellStyle name="Note 3 2 2" xfId="555" xr:uid="{00000000-0005-0000-0000-00004E210000}"/>
    <cellStyle name="Note 3 2 2 10" xfId="4911" xr:uid="{00000000-0005-0000-0000-00004F210000}"/>
    <cellStyle name="Note 3 2 2 10 2" xfId="14237" xr:uid="{37CD94EE-63A7-4B0D-9A1C-7EB5D02999E5}"/>
    <cellStyle name="Note 3 2 2 11" xfId="8945" xr:uid="{D320AF38-4F47-4266-9CB9-3BD7E15BFDAE}"/>
    <cellStyle name="Note 3 2 2 12" xfId="10020" xr:uid="{0939CF9A-6DDC-4B0D-A2C7-6778E1930E51}"/>
    <cellStyle name="Note 3 2 2 2" xfId="556" xr:uid="{00000000-0005-0000-0000-000050210000}"/>
    <cellStyle name="Note 3 2 2 2 10" xfId="9152" xr:uid="{24874F5B-4700-44ED-9556-84C4E89A274D}"/>
    <cellStyle name="Note 3 2 2 2 11" xfId="10021" xr:uid="{35B48116-B5C8-4F58-BC3B-61752C0E3C7F}"/>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B041DFDA-0CC0-4D26-B06E-3A6693562B43}"/>
    <cellStyle name="Note 3 2 2 2 2 2 3" xfId="12579" xr:uid="{7DF30087-8C19-4089-83A7-5802E7B620C0}"/>
    <cellStyle name="Note 3 2 2 2 2 3" xfId="5325" xr:uid="{00000000-0005-0000-0000-000054210000}"/>
    <cellStyle name="Note 3 2 2 2 2 3 2" xfId="14651" xr:uid="{691992F8-EA67-48F5-8CF7-3FED0B20D58A}"/>
    <cellStyle name="Note 3 2 2 2 2 4" xfId="9577" xr:uid="{7C0C89D7-CA14-4942-89B2-D584AC810EDC}"/>
    <cellStyle name="Note 3 2 2 2 2 5" xfId="10434" xr:uid="{BD304263-F89F-4B10-BD36-F1CF16BCE398}"/>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FAE9E4D4-C237-4083-9AC6-E6373BB822FC}"/>
    <cellStyle name="Note 3 2 2 2 3 2 3" xfId="12992" xr:uid="{F3649381-C5D5-4E78-AD14-92C80BB3779C}"/>
    <cellStyle name="Note 3 2 2 2 3 3" xfId="5738" xr:uid="{00000000-0005-0000-0000-000058210000}"/>
    <cellStyle name="Note 3 2 2 2 3 3 2" xfId="15064" xr:uid="{FFD91974-0DB0-459A-93A5-B6F098E116D4}"/>
    <cellStyle name="Note 3 2 2 2 3 4" xfId="10847" xr:uid="{F9AF23DA-B4B0-4366-BFA7-E39B75B7031B}"/>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D20B2CE4-5F75-45C2-A2AF-2789844F5D47}"/>
    <cellStyle name="Note 3 2 2 2 4 2 3" xfId="13405" xr:uid="{7BAD1B7B-FE3C-406D-8974-3E2DAB78876A}"/>
    <cellStyle name="Note 3 2 2 2 4 3" xfId="6151" xr:uid="{00000000-0005-0000-0000-00005C210000}"/>
    <cellStyle name="Note 3 2 2 2 4 3 2" xfId="15477" xr:uid="{C9F2F718-D402-4E6C-AF78-EDA66371AFA9}"/>
    <cellStyle name="Note 3 2 2 2 4 4" xfId="11260" xr:uid="{CDC41904-590F-4E9A-9119-524F3187EA00}"/>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8735816C-2B9B-42F1-9BF5-670C2AACEB63}"/>
    <cellStyle name="Note 3 2 2 2 5 2 3" xfId="13818" xr:uid="{97006429-F9C9-4F6C-8703-FB8988249BAF}"/>
    <cellStyle name="Note 3 2 2 2 5 3" xfId="6564" xr:uid="{00000000-0005-0000-0000-000060210000}"/>
    <cellStyle name="Note 3 2 2 2 5 3 2" xfId="15890" xr:uid="{ACFEC2F3-7C8B-4C56-9E16-03615189E189}"/>
    <cellStyle name="Note 3 2 2 2 5 4" xfId="11673" xr:uid="{7CACA8D1-9FED-4F84-A843-8F70ABC16F58}"/>
    <cellStyle name="Note 3 2 2 2 6" xfId="2694" xr:uid="{00000000-0005-0000-0000-000061210000}"/>
    <cellStyle name="Note 3 2 2 2 6 2" xfId="6977" xr:uid="{00000000-0005-0000-0000-000062210000}"/>
    <cellStyle name="Note 3 2 2 2 6 2 2" xfId="16303" xr:uid="{5C66C706-142A-4943-B2DA-77F89EB149CF}"/>
    <cellStyle name="Note 3 2 2 2 6 3" xfId="12086" xr:uid="{CB1BB46A-549A-4AA1-A228-B696E4E60DF8}"/>
    <cellStyle name="Note 3 2 2 2 7" xfId="2753" xr:uid="{00000000-0005-0000-0000-000063210000}"/>
    <cellStyle name="Note 3 2 2 2 8" xfId="2834" xr:uid="{00000000-0005-0000-0000-000064210000}"/>
    <cellStyle name="Note 3 2 2 2 8 2" xfId="7057" xr:uid="{00000000-0005-0000-0000-000065210000}"/>
    <cellStyle name="Note 3 2 2 2 8 2 2" xfId="16383" xr:uid="{5B9FB3C6-786C-4D99-B055-E9FEA27CFEFA}"/>
    <cellStyle name="Note 3 2 2 2 8 3" xfId="12166" xr:uid="{9F3B7BD9-B180-4049-8266-45FBDD86FAA7}"/>
    <cellStyle name="Note 3 2 2 2 9" xfId="4912" xr:uid="{00000000-0005-0000-0000-000066210000}"/>
    <cellStyle name="Note 3 2 2 2 9 2" xfId="14238" xr:uid="{EC7B8B55-300A-4FED-86FE-ECA63ED37CF4}"/>
    <cellStyle name="Note 3 2 2 3" xfId="1015" xr:uid="{00000000-0005-0000-0000-000067210000}"/>
    <cellStyle name="Note 3 2 2 3 2" xfId="3247" xr:uid="{00000000-0005-0000-0000-000068210000}"/>
    <cellStyle name="Note 3 2 2 3 2 2" xfId="7469" xr:uid="{00000000-0005-0000-0000-000069210000}"/>
    <cellStyle name="Note 3 2 2 3 2 2 2" xfId="16795" xr:uid="{B83502A4-CDDB-4733-BABF-40B0F0EB1672}"/>
    <cellStyle name="Note 3 2 2 3 2 3" xfId="12578" xr:uid="{6354F3ED-0DC7-490A-A8DF-9A5DC7C78C15}"/>
    <cellStyle name="Note 3 2 2 3 3" xfId="5324" xr:uid="{00000000-0005-0000-0000-00006A210000}"/>
    <cellStyle name="Note 3 2 2 3 3 2" xfId="14650" xr:uid="{FD6B2490-B6F3-4063-BD59-3D5FE7AF7CFF}"/>
    <cellStyle name="Note 3 2 2 3 4" xfId="9370" xr:uid="{7A803908-679B-4EF0-9BD4-89724B1FB321}"/>
    <cellStyle name="Note 3 2 2 3 5" xfId="10433" xr:uid="{2778B14C-7B51-4015-BEBF-3280584458AB}"/>
    <cellStyle name="Note 3 2 2 4" xfId="1430" xr:uid="{00000000-0005-0000-0000-00006B210000}"/>
    <cellStyle name="Note 3 2 2 4 2" xfId="3660" xr:uid="{00000000-0005-0000-0000-00006C210000}"/>
    <cellStyle name="Note 3 2 2 4 2 2" xfId="7882" xr:uid="{00000000-0005-0000-0000-00006D210000}"/>
    <cellStyle name="Note 3 2 2 4 2 2 2" xfId="17208" xr:uid="{B1EC2A64-DB88-41BB-BD4C-7F88C8E8A5C0}"/>
    <cellStyle name="Note 3 2 2 4 2 3" xfId="12991" xr:uid="{BFD25479-011B-4AFB-9757-F59F7A173EEB}"/>
    <cellStyle name="Note 3 2 2 4 3" xfId="5737" xr:uid="{00000000-0005-0000-0000-00006E210000}"/>
    <cellStyle name="Note 3 2 2 4 3 2" xfId="15063" xr:uid="{CFC53AA3-A07B-49CF-A430-330F8D1AAFE6}"/>
    <cellStyle name="Note 3 2 2 4 4" xfId="10846" xr:uid="{26957D15-94DE-4386-91A5-44D5919F9E97}"/>
    <cellStyle name="Note 3 2 2 5" xfId="1844" xr:uid="{00000000-0005-0000-0000-00006F210000}"/>
    <cellStyle name="Note 3 2 2 5 2" xfId="4073" xr:uid="{00000000-0005-0000-0000-000070210000}"/>
    <cellStyle name="Note 3 2 2 5 2 2" xfId="8295" xr:uid="{00000000-0005-0000-0000-000071210000}"/>
    <cellStyle name="Note 3 2 2 5 2 2 2" xfId="17621" xr:uid="{B47A79B8-0A0C-4F2E-B97E-A7DBA7F11082}"/>
    <cellStyle name="Note 3 2 2 5 2 3" xfId="13404" xr:uid="{A90EE9F3-322D-4FDD-94E0-5358B0093BD7}"/>
    <cellStyle name="Note 3 2 2 5 3" xfId="6150" xr:uid="{00000000-0005-0000-0000-000072210000}"/>
    <cellStyle name="Note 3 2 2 5 3 2" xfId="15476" xr:uid="{5FD4DE3A-1282-4839-8656-2D9872AB0961}"/>
    <cellStyle name="Note 3 2 2 5 4" xfId="11259" xr:uid="{F42A76A0-0BBC-4B62-965C-AD0319BBC06F}"/>
    <cellStyle name="Note 3 2 2 6" xfId="2257" xr:uid="{00000000-0005-0000-0000-000073210000}"/>
    <cellStyle name="Note 3 2 2 6 2" xfId="4486" xr:uid="{00000000-0005-0000-0000-000074210000}"/>
    <cellStyle name="Note 3 2 2 6 2 2" xfId="8708" xr:uid="{00000000-0005-0000-0000-000075210000}"/>
    <cellStyle name="Note 3 2 2 6 2 2 2" xfId="18034" xr:uid="{31572976-523C-48BB-8832-1483A24EB6D7}"/>
    <cellStyle name="Note 3 2 2 6 2 3" xfId="13817" xr:uid="{DECDDAAA-93C7-4F79-B154-3E11B55976CE}"/>
    <cellStyle name="Note 3 2 2 6 3" xfId="6563" xr:uid="{00000000-0005-0000-0000-000076210000}"/>
    <cellStyle name="Note 3 2 2 6 3 2" xfId="15889" xr:uid="{7E81C84A-746E-47B4-B977-75F6B7E990D5}"/>
    <cellStyle name="Note 3 2 2 6 4" xfId="11672" xr:uid="{B2CC4FEF-2083-4F2A-96C1-8CEEC7854EC3}"/>
    <cellStyle name="Note 3 2 2 7" xfId="2693" xr:uid="{00000000-0005-0000-0000-000077210000}"/>
    <cellStyle name="Note 3 2 2 7 2" xfId="6976" xr:uid="{00000000-0005-0000-0000-000078210000}"/>
    <cellStyle name="Note 3 2 2 7 2 2" xfId="16302" xr:uid="{E7CB7C4F-7F9E-4D96-B3FF-CF2AADFD3B0F}"/>
    <cellStyle name="Note 3 2 2 7 3" xfId="12085" xr:uid="{50D20B74-78C2-4FF8-A1DA-2EFEDCF123A7}"/>
    <cellStyle name="Note 3 2 2 8" xfId="2752" xr:uid="{00000000-0005-0000-0000-000079210000}"/>
    <cellStyle name="Note 3 2 2 9" xfId="2833" xr:uid="{00000000-0005-0000-0000-00007A210000}"/>
    <cellStyle name="Note 3 2 2 9 2" xfId="7056" xr:uid="{00000000-0005-0000-0000-00007B210000}"/>
    <cellStyle name="Note 3 2 2 9 2 2" xfId="16382" xr:uid="{F418DD96-D61A-4B49-BAAC-C066CE81196C}"/>
    <cellStyle name="Note 3 2 2 9 3" xfId="12165" xr:uid="{B0C3533C-C229-447E-8C4E-CFA88445055B}"/>
    <cellStyle name="Note 3 2 3" xfId="557" xr:uid="{00000000-0005-0000-0000-00007C210000}"/>
    <cellStyle name="Note 3 2 3 10" xfId="9049" xr:uid="{98DA21AE-8EED-4AF2-A5D5-94394E9C9EFE}"/>
    <cellStyle name="Note 3 2 3 11" xfId="10022" xr:uid="{F6F2BD99-7411-4D15-8249-19CD1FD92D76}"/>
    <cellStyle name="Note 3 2 3 2" xfId="1017" xr:uid="{00000000-0005-0000-0000-00007D210000}"/>
    <cellStyle name="Note 3 2 3 2 2" xfId="3249" xr:uid="{00000000-0005-0000-0000-00007E210000}"/>
    <cellStyle name="Note 3 2 3 2 2 2" xfId="7471" xr:uid="{00000000-0005-0000-0000-00007F210000}"/>
    <cellStyle name="Note 3 2 3 2 2 2 2" xfId="16797" xr:uid="{F316AEFF-7FBF-488F-8765-BB5810CF592B}"/>
    <cellStyle name="Note 3 2 3 2 2 3" xfId="12580" xr:uid="{164A7E18-8DA3-487C-B6E0-57726E252356}"/>
    <cellStyle name="Note 3 2 3 2 3" xfId="5326" xr:uid="{00000000-0005-0000-0000-000080210000}"/>
    <cellStyle name="Note 3 2 3 2 3 2" xfId="14652" xr:uid="{2C44BDCF-8136-42B8-A65A-6DBAA60F2753}"/>
    <cellStyle name="Note 3 2 3 2 4" xfId="9474" xr:uid="{8827394E-7DCF-4E58-BF45-94E8587F7D91}"/>
    <cellStyle name="Note 3 2 3 2 5" xfId="10435" xr:uid="{65C53BD7-6E14-4B3E-A517-FF8456B53753}"/>
    <cellStyle name="Note 3 2 3 3" xfId="1432" xr:uid="{00000000-0005-0000-0000-000081210000}"/>
    <cellStyle name="Note 3 2 3 3 2" xfId="3662" xr:uid="{00000000-0005-0000-0000-000082210000}"/>
    <cellStyle name="Note 3 2 3 3 2 2" xfId="7884" xr:uid="{00000000-0005-0000-0000-000083210000}"/>
    <cellStyle name="Note 3 2 3 3 2 2 2" xfId="17210" xr:uid="{78B7BC11-F1EA-4CEC-BD40-30DD21A0D4FC}"/>
    <cellStyle name="Note 3 2 3 3 2 3" xfId="12993" xr:uid="{156D37C0-E84B-4E4A-99FB-974020BABE7B}"/>
    <cellStyle name="Note 3 2 3 3 3" xfId="5739" xr:uid="{00000000-0005-0000-0000-000084210000}"/>
    <cellStyle name="Note 3 2 3 3 3 2" xfId="15065" xr:uid="{87E9FE9F-C4B4-4878-B804-991007643DAB}"/>
    <cellStyle name="Note 3 2 3 3 4" xfId="10848" xr:uid="{575341CE-F10D-4DF7-93C0-FEB495A8BA83}"/>
    <cellStyle name="Note 3 2 3 4" xfId="1846" xr:uid="{00000000-0005-0000-0000-000085210000}"/>
    <cellStyle name="Note 3 2 3 4 2" xfId="4075" xr:uid="{00000000-0005-0000-0000-000086210000}"/>
    <cellStyle name="Note 3 2 3 4 2 2" xfId="8297" xr:uid="{00000000-0005-0000-0000-000087210000}"/>
    <cellStyle name="Note 3 2 3 4 2 2 2" xfId="17623" xr:uid="{5356B7E4-F8F9-4306-88A5-6CB15BAB8DE2}"/>
    <cellStyle name="Note 3 2 3 4 2 3" xfId="13406" xr:uid="{B47EC54E-3E07-44F7-B709-01F00066A681}"/>
    <cellStyle name="Note 3 2 3 4 3" xfId="6152" xr:uid="{00000000-0005-0000-0000-000088210000}"/>
    <cellStyle name="Note 3 2 3 4 3 2" xfId="15478" xr:uid="{16401553-3A44-44E4-A1E7-B6814DB749EE}"/>
    <cellStyle name="Note 3 2 3 4 4" xfId="11261" xr:uid="{45527690-147C-45EF-A450-888BAE7F7C5E}"/>
    <cellStyle name="Note 3 2 3 5" xfId="2259" xr:uid="{00000000-0005-0000-0000-000089210000}"/>
    <cellStyle name="Note 3 2 3 5 2" xfId="4488" xr:uid="{00000000-0005-0000-0000-00008A210000}"/>
    <cellStyle name="Note 3 2 3 5 2 2" xfId="8710" xr:uid="{00000000-0005-0000-0000-00008B210000}"/>
    <cellStyle name="Note 3 2 3 5 2 2 2" xfId="18036" xr:uid="{52523BB9-2CBB-4719-AA4F-DAE660241E4D}"/>
    <cellStyle name="Note 3 2 3 5 2 3" xfId="13819" xr:uid="{81B1261D-0257-4DA6-9C49-DE8EA8AEC8A3}"/>
    <cellStyle name="Note 3 2 3 5 3" xfId="6565" xr:uid="{00000000-0005-0000-0000-00008C210000}"/>
    <cellStyle name="Note 3 2 3 5 3 2" xfId="15891" xr:uid="{EB721788-5568-4894-ADAE-F9061E97A408}"/>
    <cellStyle name="Note 3 2 3 5 4" xfId="11674" xr:uid="{9423F385-10D8-458E-9675-9354F14C0607}"/>
    <cellStyle name="Note 3 2 3 6" xfId="2695" xr:uid="{00000000-0005-0000-0000-00008D210000}"/>
    <cellStyle name="Note 3 2 3 6 2" xfId="6978" xr:uid="{00000000-0005-0000-0000-00008E210000}"/>
    <cellStyle name="Note 3 2 3 6 2 2" xfId="16304" xr:uid="{5FB84E34-B761-43EA-B729-822701C3D266}"/>
    <cellStyle name="Note 3 2 3 6 3" xfId="12087" xr:uid="{AFB9CB3B-6818-44D1-8F24-1CA87C5429C6}"/>
    <cellStyle name="Note 3 2 3 7" xfId="2754" xr:uid="{00000000-0005-0000-0000-00008F210000}"/>
    <cellStyle name="Note 3 2 3 8" xfId="2835" xr:uid="{00000000-0005-0000-0000-000090210000}"/>
    <cellStyle name="Note 3 2 3 8 2" xfId="7058" xr:uid="{00000000-0005-0000-0000-000091210000}"/>
    <cellStyle name="Note 3 2 3 8 2 2" xfId="16384" xr:uid="{58185FA0-A468-48EC-891A-A3797E7CD2A8}"/>
    <cellStyle name="Note 3 2 3 8 3" xfId="12167" xr:uid="{11BB777B-2E2D-4CF2-ACF3-3032DD801FAF}"/>
    <cellStyle name="Note 3 2 3 9" xfId="4913" xr:uid="{00000000-0005-0000-0000-000092210000}"/>
    <cellStyle name="Note 3 2 3 9 2" xfId="14239" xr:uid="{051D1CD3-F011-4A98-A98E-A31D8A197CB1}"/>
    <cellStyle name="Note 3 2 4" xfId="1014" xr:uid="{00000000-0005-0000-0000-000093210000}"/>
    <cellStyle name="Note 3 2 4 2" xfId="3246" xr:uid="{00000000-0005-0000-0000-000094210000}"/>
    <cellStyle name="Note 3 2 4 2 2" xfId="7468" xr:uid="{00000000-0005-0000-0000-000095210000}"/>
    <cellStyle name="Note 3 2 4 2 2 2" xfId="16794" xr:uid="{B6DC3024-7AA6-4B92-8A34-564753BF1642}"/>
    <cellStyle name="Note 3 2 4 2 3" xfId="12577" xr:uid="{C820F625-15B6-4E30-8C5A-135630024ECF}"/>
    <cellStyle name="Note 3 2 4 3" xfId="5323" xr:uid="{00000000-0005-0000-0000-000096210000}"/>
    <cellStyle name="Note 3 2 4 3 2" xfId="14649" xr:uid="{020CBED0-C33D-4557-A371-A5E8F24155D8}"/>
    <cellStyle name="Note 3 2 4 4" xfId="9267" xr:uid="{1291CED5-E18E-4F1A-8856-A132B18F5C81}"/>
    <cellStyle name="Note 3 2 4 5" xfId="10432" xr:uid="{9E930BED-AB94-4611-92B4-DE2A688A4808}"/>
    <cellStyle name="Note 3 2 5" xfId="1429" xr:uid="{00000000-0005-0000-0000-000097210000}"/>
    <cellStyle name="Note 3 2 5 2" xfId="3659" xr:uid="{00000000-0005-0000-0000-000098210000}"/>
    <cellStyle name="Note 3 2 5 2 2" xfId="7881" xr:uid="{00000000-0005-0000-0000-000099210000}"/>
    <cellStyle name="Note 3 2 5 2 2 2" xfId="17207" xr:uid="{2928C628-02A4-4F4E-B7F0-384293DD7CE7}"/>
    <cellStyle name="Note 3 2 5 2 3" xfId="12990" xr:uid="{573C6E34-3A27-4DF7-A72E-1989EF67ECA9}"/>
    <cellStyle name="Note 3 2 5 3" xfId="5736" xr:uid="{00000000-0005-0000-0000-00009A210000}"/>
    <cellStyle name="Note 3 2 5 3 2" xfId="15062" xr:uid="{A183D4F0-52CD-4A00-8F9C-6E68BB8844C3}"/>
    <cellStyle name="Note 3 2 5 4" xfId="10845" xr:uid="{2277D63F-83AC-4B1C-89BD-3AEBEEF2F868}"/>
    <cellStyle name="Note 3 2 6" xfId="1843" xr:uid="{00000000-0005-0000-0000-00009B210000}"/>
    <cellStyle name="Note 3 2 6 2" xfId="4072" xr:uid="{00000000-0005-0000-0000-00009C210000}"/>
    <cellStyle name="Note 3 2 6 2 2" xfId="8294" xr:uid="{00000000-0005-0000-0000-00009D210000}"/>
    <cellStyle name="Note 3 2 6 2 2 2" xfId="17620" xr:uid="{44677EE6-A93B-4148-88B4-0D0E66FE9292}"/>
    <cellStyle name="Note 3 2 6 2 3" xfId="13403" xr:uid="{5B52794D-C5F5-4631-B238-894CFF439545}"/>
    <cellStyle name="Note 3 2 6 3" xfId="6149" xr:uid="{00000000-0005-0000-0000-00009E210000}"/>
    <cellStyle name="Note 3 2 6 3 2" xfId="15475" xr:uid="{70DEF4F3-35A0-41C7-9CDC-D4E356C6BB59}"/>
    <cellStyle name="Note 3 2 6 4" xfId="11258" xr:uid="{B064AEAF-2645-4200-9BEA-9792A2485E4A}"/>
    <cellStyle name="Note 3 2 7" xfId="2256" xr:uid="{00000000-0005-0000-0000-00009F210000}"/>
    <cellStyle name="Note 3 2 7 2" xfId="4485" xr:uid="{00000000-0005-0000-0000-0000A0210000}"/>
    <cellStyle name="Note 3 2 7 2 2" xfId="8707" xr:uid="{00000000-0005-0000-0000-0000A1210000}"/>
    <cellStyle name="Note 3 2 7 2 2 2" xfId="18033" xr:uid="{70608267-C9E8-4DA5-9111-B52984EC51C1}"/>
    <cellStyle name="Note 3 2 7 2 3" xfId="13816" xr:uid="{F704B7E4-6BE5-4AD3-A100-984BC8616B20}"/>
    <cellStyle name="Note 3 2 7 3" xfId="6562" xr:uid="{00000000-0005-0000-0000-0000A2210000}"/>
    <cellStyle name="Note 3 2 7 3 2" xfId="15888" xr:uid="{3EEFC727-0AA5-4BAD-923A-CD65B28EF601}"/>
    <cellStyle name="Note 3 2 7 4" xfId="11671" xr:uid="{DBDFBE33-685C-43E0-A632-2534AD76B27A}"/>
    <cellStyle name="Note 3 2 8" xfId="2692" xr:uid="{00000000-0005-0000-0000-0000A3210000}"/>
    <cellStyle name="Note 3 2 8 2" xfId="6975" xr:uid="{00000000-0005-0000-0000-0000A4210000}"/>
    <cellStyle name="Note 3 2 8 2 2" xfId="16301" xr:uid="{9C46C7EE-2A69-44F8-8204-B92C590847A0}"/>
    <cellStyle name="Note 3 2 8 3" xfId="12084" xr:uid="{68C172A7-105C-41CD-9DF2-387F3E0447DB}"/>
    <cellStyle name="Note 3 2 9" xfId="2751" xr:uid="{00000000-0005-0000-0000-0000A5210000}"/>
    <cellStyle name="Note 3 3" xfId="558" xr:uid="{00000000-0005-0000-0000-0000A6210000}"/>
    <cellStyle name="Note 3 3 10" xfId="4914" xr:uid="{00000000-0005-0000-0000-0000A7210000}"/>
    <cellStyle name="Note 3 3 10 2" xfId="14240" xr:uid="{ED77DA22-A037-4E31-9190-1BEE54EC867B}"/>
    <cellStyle name="Note 3 3 11" xfId="8892" xr:uid="{8511F94A-7472-4DD0-A9AB-40754FEE5F47}"/>
    <cellStyle name="Note 3 3 12" xfId="10023" xr:uid="{0550762A-EBA7-4871-AED1-69BEFA836790}"/>
    <cellStyle name="Note 3 3 2" xfId="559" xr:uid="{00000000-0005-0000-0000-0000A8210000}"/>
    <cellStyle name="Note 3 3 2 10" xfId="9099" xr:uid="{29F3AC20-D296-4B59-BA53-0A5C025B0569}"/>
    <cellStyle name="Note 3 3 2 11" xfId="10024" xr:uid="{7F894D44-E28A-49F4-A0B3-18B96C175285}"/>
    <cellStyle name="Note 3 3 2 2" xfId="1019" xr:uid="{00000000-0005-0000-0000-0000A9210000}"/>
    <cellStyle name="Note 3 3 2 2 2" xfId="3251" xr:uid="{00000000-0005-0000-0000-0000AA210000}"/>
    <cellStyle name="Note 3 3 2 2 2 2" xfId="7473" xr:uid="{00000000-0005-0000-0000-0000AB210000}"/>
    <cellStyle name="Note 3 3 2 2 2 2 2" xfId="16799" xr:uid="{E499484A-33C3-43FB-B54E-AA3230ECA6E6}"/>
    <cellStyle name="Note 3 3 2 2 2 3" xfId="12582" xr:uid="{E0270B4C-A574-44C8-8558-5CAABECDF6FB}"/>
    <cellStyle name="Note 3 3 2 2 3" xfId="5328" xr:uid="{00000000-0005-0000-0000-0000AC210000}"/>
    <cellStyle name="Note 3 3 2 2 3 2" xfId="14654" xr:uid="{E049BDC3-69A2-4DCB-8BE1-D6F3459D04E6}"/>
    <cellStyle name="Note 3 3 2 2 4" xfId="9524" xr:uid="{D03F5DE7-D9AB-48C0-A1E3-0A929D2C18C5}"/>
    <cellStyle name="Note 3 3 2 2 5" xfId="10437" xr:uid="{4BE4C491-2A17-4EB2-B2F8-BFDF8FCF86BD}"/>
    <cellStyle name="Note 3 3 2 3" xfId="1434" xr:uid="{00000000-0005-0000-0000-0000AD210000}"/>
    <cellStyle name="Note 3 3 2 3 2" xfId="3664" xr:uid="{00000000-0005-0000-0000-0000AE210000}"/>
    <cellStyle name="Note 3 3 2 3 2 2" xfId="7886" xr:uid="{00000000-0005-0000-0000-0000AF210000}"/>
    <cellStyle name="Note 3 3 2 3 2 2 2" xfId="17212" xr:uid="{62A93717-64A0-4A35-BF18-8E917ECF0423}"/>
    <cellStyle name="Note 3 3 2 3 2 3" xfId="12995" xr:uid="{E795F066-98B3-4779-819F-1B371B06D729}"/>
    <cellStyle name="Note 3 3 2 3 3" xfId="5741" xr:uid="{00000000-0005-0000-0000-0000B0210000}"/>
    <cellStyle name="Note 3 3 2 3 3 2" xfId="15067" xr:uid="{54E70F3D-6359-4352-B509-A5D1E1FFF1D6}"/>
    <cellStyle name="Note 3 3 2 3 4" xfId="10850" xr:uid="{6A57EE42-7737-42A1-8B19-D8C746EF2810}"/>
    <cellStyle name="Note 3 3 2 4" xfId="1848" xr:uid="{00000000-0005-0000-0000-0000B1210000}"/>
    <cellStyle name="Note 3 3 2 4 2" xfId="4077" xr:uid="{00000000-0005-0000-0000-0000B2210000}"/>
    <cellStyle name="Note 3 3 2 4 2 2" xfId="8299" xr:uid="{00000000-0005-0000-0000-0000B3210000}"/>
    <cellStyle name="Note 3 3 2 4 2 2 2" xfId="17625" xr:uid="{2361705C-F650-471C-AF82-C6EAAFC26EEB}"/>
    <cellStyle name="Note 3 3 2 4 2 3" xfId="13408" xr:uid="{AFE74537-4B8E-4FBE-A073-E3EF745926F8}"/>
    <cellStyle name="Note 3 3 2 4 3" xfId="6154" xr:uid="{00000000-0005-0000-0000-0000B4210000}"/>
    <cellStyle name="Note 3 3 2 4 3 2" xfId="15480" xr:uid="{BF65C022-DD41-4619-8260-5F2DB3871613}"/>
    <cellStyle name="Note 3 3 2 4 4" xfId="11263" xr:uid="{39ED362F-EB67-42D3-9C57-668FA4E37F17}"/>
    <cellStyle name="Note 3 3 2 5" xfId="2261" xr:uid="{00000000-0005-0000-0000-0000B5210000}"/>
    <cellStyle name="Note 3 3 2 5 2" xfId="4490" xr:uid="{00000000-0005-0000-0000-0000B6210000}"/>
    <cellStyle name="Note 3 3 2 5 2 2" xfId="8712" xr:uid="{00000000-0005-0000-0000-0000B7210000}"/>
    <cellStyle name="Note 3 3 2 5 2 2 2" xfId="18038" xr:uid="{64A77BEF-F761-44B5-A8CD-068E7E7A4598}"/>
    <cellStyle name="Note 3 3 2 5 2 3" xfId="13821" xr:uid="{6C77A7AF-D238-4FCD-ACD1-9DB9E77CE3B9}"/>
    <cellStyle name="Note 3 3 2 5 3" xfId="6567" xr:uid="{00000000-0005-0000-0000-0000B8210000}"/>
    <cellStyle name="Note 3 3 2 5 3 2" xfId="15893" xr:uid="{F4B3B1A9-D7E5-48FD-ADD7-E4C949B211AD}"/>
    <cellStyle name="Note 3 3 2 5 4" xfId="11676" xr:uid="{C4BD3733-BA32-47EA-B6D8-EA2CE5D8C63C}"/>
    <cellStyle name="Note 3 3 2 6" xfId="2697" xr:uid="{00000000-0005-0000-0000-0000B9210000}"/>
    <cellStyle name="Note 3 3 2 6 2" xfId="6980" xr:uid="{00000000-0005-0000-0000-0000BA210000}"/>
    <cellStyle name="Note 3 3 2 6 2 2" xfId="16306" xr:uid="{4C9222C6-7C42-4520-B769-5954670B09ED}"/>
    <cellStyle name="Note 3 3 2 6 3" xfId="12089" xr:uid="{27A7C7CB-337F-48E5-B104-ABD380BFFFB1}"/>
    <cellStyle name="Note 3 3 2 7" xfId="2756" xr:uid="{00000000-0005-0000-0000-0000BB210000}"/>
    <cellStyle name="Note 3 3 2 8" xfId="2837" xr:uid="{00000000-0005-0000-0000-0000BC210000}"/>
    <cellStyle name="Note 3 3 2 8 2" xfId="7060" xr:uid="{00000000-0005-0000-0000-0000BD210000}"/>
    <cellStyle name="Note 3 3 2 8 2 2" xfId="16386" xr:uid="{6999F1AA-B783-4068-B531-2DDA14B5CD8B}"/>
    <cellStyle name="Note 3 3 2 8 3" xfId="12169" xr:uid="{318E2C56-9338-459E-BAAC-7B0F62FE7C58}"/>
    <cellStyle name="Note 3 3 2 9" xfId="4915" xr:uid="{00000000-0005-0000-0000-0000BE210000}"/>
    <cellStyle name="Note 3 3 2 9 2" xfId="14241" xr:uid="{1C8A1094-16A4-4573-9A1F-0FA9D6F08A1C}"/>
    <cellStyle name="Note 3 3 3" xfId="1018" xr:uid="{00000000-0005-0000-0000-0000BF210000}"/>
    <cellStyle name="Note 3 3 3 2" xfId="3250" xr:uid="{00000000-0005-0000-0000-0000C0210000}"/>
    <cellStyle name="Note 3 3 3 2 2" xfId="7472" xr:uid="{00000000-0005-0000-0000-0000C1210000}"/>
    <cellStyle name="Note 3 3 3 2 2 2" xfId="16798" xr:uid="{12B4F302-0BA8-456A-B4C6-2CC26C93DF9A}"/>
    <cellStyle name="Note 3 3 3 2 3" xfId="12581" xr:uid="{F63F1F1A-8706-46D9-B5B8-DADC52BA9A78}"/>
    <cellStyle name="Note 3 3 3 3" xfId="5327" xr:uid="{00000000-0005-0000-0000-0000C2210000}"/>
    <cellStyle name="Note 3 3 3 3 2" xfId="14653" xr:uid="{AA12296E-9D1D-4CAF-9B81-9BEE09BFACFC}"/>
    <cellStyle name="Note 3 3 3 4" xfId="9317" xr:uid="{171D8024-554D-4F15-BFD3-81CBE1A601EA}"/>
    <cellStyle name="Note 3 3 3 5" xfId="10436" xr:uid="{51CABDC9-5A65-4F1C-9752-67A7075D6FBB}"/>
    <cellStyle name="Note 3 3 4" xfId="1433" xr:uid="{00000000-0005-0000-0000-0000C3210000}"/>
    <cellStyle name="Note 3 3 4 2" xfId="3663" xr:uid="{00000000-0005-0000-0000-0000C4210000}"/>
    <cellStyle name="Note 3 3 4 2 2" xfId="7885" xr:uid="{00000000-0005-0000-0000-0000C5210000}"/>
    <cellStyle name="Note 3 3 4 2 2 2" xfId="17211" xr:uid="{5DC11BB7-003C-4BAF-BB6A-6C6F98E919D5}"/>
    <cellStyle name="Note 3 3 4 2 3" xfId="12994" xr:uid="{1D401EA8-5C50-46B5-BB3D-D87E8B26E145}"/>
    <cellStyle name="Note 3 3 4 3" xfId="5740" xr:uid="{00000000-0005-0000-0000-0000C6210000}"/>
    <cellStyle name="Note 3 3 4 3 2" xfId="15066" xr:uid="{9D6B7909-3AC2-4E8F-A438-F270DA73058B}"/>
    <cellStyle name="Note 3 3 4 4" xfId="10849" xr:uid="{B1FCA019-47AF-436E-B17A-B01332B4BE8B}"/>
    <cellStyle name="Note 3 3 5" xfId="1847" xr:uid="{00000000-0005-0000-0000-0000C7210000}"/>
    <cellStyle name="Note 3 3 5 2" xfId="4076" xr:uid="{00000000-0005-0000-0000-0000C8210000}"/>
    <cellStyle name="Note 3 3 5 2 2" xfId="8298" xr:uid="{00000000-0005-0000-0000-0000C9210000}"/>
    <cellStyle name="Note 3 3 5 2 2 2" xfId="17624" xr:uid="{A5870214-0650-4F4B-AC43-04DF0AA42EDA}"/>
    <cellStyle name="Note 3 3 5 2 3" xfId="13407" xr:uid="{F1D0F093-322E-4DB2-BF9C-A02841A0C717}"/>
    <cellStyle name="Note 3 3 5 3" xfId="6153" xr:uid="{00000000-0005-0000-0000-0000CA210000}"/>
    <cellStyle name="Note 3 3 5 3 2" xfId="15479" xr:uid="{C88B5324-8CFA-4DE3-9AA1-5925CA3BDD07}"/>
    <cellStyle name="Note 3 3 5 4" xfId="11262" xr:uid="{437EA794-94BC-47A1-B2C5-F6FA1FD40860}"/>
    <cellStyle name="Note 3 3 6" xfId="2260" xr:uid="{00000000-0005-0000-0000-0000CB210000}"/>
    <cellStyle name="Note 3 3 6 2" xfId="4489" xr:uid="{00000000-0005-0000-0000-0000CC210000}"/>
    <cellStyle name="Note 3 3 6 2 2" xfId="8711" xr:uid="{00000000-0005-0000-0000-0000CD210000}"/>
    <cellStyle name="Note 3 3 6 2 2 2" xfId="18037" xr:uid="{81373B77-BAC8-43B0-8804-571527B1B773}"/>
    <cellStyle name="Note 3 3 6 2 3" xfId="13820" xr:uid="{09C660AF-8DDB-4D51-99C5-E1EE1A746D2F}"/>
    <cellStyle name="Note 3 3 6 3" xfId="6566" xr:uid="{00000000-0005-0000-0000-0000CE210000}"/>
    <cellStyle name="Note 3 3 6 3 2" xfId="15892" xr:uid="{73596159-C567-4599-981D-1597342809B4}"/>
    <cellStyle name="Note 3 3 6 4" xfId="11675" xr:uid="{0CF88A11-6E15-479C-8AD8-FB3DB7157A01}"/>
    <cellStyle name="Note 3 3 7" xfId="2696" xr:uid="{00000000-0005-0000-0000-0000CF210000}"/>
    <cellStyle name="Note 3 3 7 2" xfId="6979" xr:uid="{00000000-0005-0000-0000-0000D0210000}"/>
    <cellStyle name="Note 3 3 7 2 2" xfId="16305" xr:uid="{08D4FE9A-F9BE-4DDD-85AE-C4FCD3F0EA28}"/>
    <cellStyle name="Note 3 3 7 3" xfId="12088" xr:uid="{76DEED78-7363-4538-B70C-E8C8E221D531}"/>
    <cellStyle name="Note 3 3 8" xfId="2755" xr:uid="{00000000-0005-0000-0000-0000D1210000}"/>
    <cellStyle name="Note 3 3 9" xfId="2836" xr:uid="{00000000-0005-0000-0000-0000D2210000}"/>
    <cellStyle name="Note 3 3 9 2" xfId="7059" xr:uid="{00000000-0005-0000-0000-0000D3210000}"/>
    <cellStyle name="Note 3 3 9 2 2" xfId="16385" xr:uid="{72AB27DA-C7CF-493F-8F43-AA8FEC845759}"/>
    <cellStyle name="Note 3 3 9 3" xfId="12168" xr:uid="{6C05DD6F-3B9B-4235-B99F-A5EE35E64D34}"/>
    <cellStyle name="Note 3 4" xfId="560" xr:uid="{00000000-0005-0000-0000-0000D4210000}"/>
    <cellStyle name="Note 3 4 10" xfId="8996" xr:uid="{0D704BEA-0820-4E61-9EA3-F4C1E73C6543}"/>
    <cellStyle name="Note 3 4 11" xfId="10025" xr:uid="{ACDE69F5-4BE8-4F82-B54A-A5FA645168F2}"/>
    <cellStyle name="Note 3 4 2" xfId="1020" xr:uid="{00000000-0005-0000-0000-0000D5210000}"/>
    <cellStyle name="Note 3 4 2 2" xfId="3252" xr:uid="{00000000-0005-0000-0000-0000D6210000}"/>
    <cellStyle name="Note 3 4 2 2 2" xfId="7474" xr:uid="{00000000-0005-0000-0000-0000D7210000}"/>
    <cellStyle name="Note 3 4 2 2 2 2" xfId="16800" xr:uid="{9565E4F8-B0A1-4E3F-A3D0-E807A5676283}"/>
    <cellStyle name="Note 3 4 2 2 3" xfId="12583" xr:uid="{2BFE7F2D-1F63-4C22-9ED0-196C05F14309}"/>
    <cellStyle name="Note 3 4 2 3" xfId="5329" xr:uid="{00000000-0005-0000-0000-0000D8210000}"/>
    <cellStyle name="Note 3 4 2 3 2" xfId="14655" xr:uid="{A8EF0BA7-8EB2-4E6C-90FC-838FA3CC2404}"/>
    <cellStyle name="Note 3 4 2 4" xfId="9421" xr:uid="{EC0A57E0-416C-4EC5-866A-A09E44531CB5}"/>
    <cellStyle name="Note 3 4 2 5" xfId="10438" xr:uid="{5C59AF06-DC82-4473-A64C-9AA769A54CEE}"/>
    <cellStyle name="Note 3 4 3" xfId="1435" xr:uid="{00000000-0005-0000-0000-0000D9210000}"/>
    <cellStyle name="Note 3 4 3 2" xfId="3665" xr:uid="{00000000-0005-0000-0000-0000DA210000}"/>
    <cellStyle name="Note 3 4 3 2 2" xfId="7887" xr:uid="{00000000-0005-0000-0000-0000DB210000}"/>
    <cellStyle name="Note 3 4 3 2 2 2" xfId="17213" xr:uid="{91A1A4A5-8ECF-4E5C-A25E-63D78C4FCCF1}"/>
    <cellStyle name="Note 3 4 3 2 3" xfId="12996" xr:uid="{846FD285-FF51-45A2-8B4F-A2D58D22F070}"/>
    <cellStyle name="Note 3 4 3 3" xfId="5742" xr:uid="{00000000-0005-0000-0000-0000DC210000}"/>
    <cellStyle name="Note 3 4 3 3 2" xfId="15068" xr:uid="{C6BB892A-145D-4592-AD2E-ACD269910177}"/>
    <cellStyle name="Note 3 4 3 4" xfId="10851" xr:uid="{C6DBCBB2-41D0-4778-9B2F-0391807DEBE8}"/>
    <cellStyle name="Note 3 4 4" xfId="1849" xr:uid="{00000000-0005-0000-0000-0000DD210000}"/>
    <cellStyle name="Note 3 4 4 2" xfId="4078" xr:uid="{00000000-0005-0000-0000-0000DE210000}"/>
    <cellStyle name="Note 3 4 4 2 2" xfId="8300" xr:uid="{00000000-0005-0000-0000-0000DF210000}"/>
    <cellStyle name="Note 3 4 4 2 2 2" xfId="17626" xr:uid="{85054DFE-7492-43B3-8AC0-06180165305C}"/>
    <cellStyle name="Note 3 4 4 2 3" xfId="13409" xr:uid="{1BF7677A-015E-4AE0-A75A-36221E08696F}"/>
    <cellStyle name="Note 3 4 4 3" xfId="6155" xr:uid="{00000000-0005-0000-0000-0000E0210000}"/>
    <cellStyle name="Note 3 4 4 3 2" xfId="15481" xr:uid="{22A2692C-A409-4C61-9BE3-E68661FAF657}"/>
    <cellStyle name="Note 3 4 4 4" xfId="11264" xr:uid="{E7A2A901-646C-4C49-8DA6-24E0729D4EA8}"/>
    <cellStyle name="Note 3 4 5" xfId="2262" xr:uid="{00000000-0005-0000-0000-0000E1210000}"/>
    <cellStyle name="Note 3 4 5 2" xfId="4491" xr:uid="{00000000-0005-0000-0000-0000E2210000}"/>
    <cellStyle name="Note 3 4 5 2 2" xfId="8713" xr:uid="{00000000-0005-0000-0000-0000E3210000}"/>
    <cellStyle name="Note 3 4 5 2 2 2" xfId="18039" xr:uid="{335A75BE-2D0D-4102-B5B9-68747502E20D}"/>
    <cellStyle name="Note 3 4 5 2 3" xfId="13822" xr:uid="{0B1D18D6-9F60-47E5-ABA5-CA8FB880F615}"/>
    <cellStyle name="Note 3 4 5 3" xfId="6568" xr:uid="{00000000-0005-0000-0000-0000E4210000}"/>
    <cellStyle name="Note 3 4 5 3 2" xfId="15894" xr:uid="{F46B8978-0946-47CE-AED9-25184C235D94}"/>
    <cellStyle name="Note 3 4 5 4" xfId="11677" xr:uid="{44A6FC68-E647-42FA-BF75-29C4BD02D3CD}"/>
    <cellStyle name="Note 3 4 6" xfId="2698" xr:uid="{00000000-0005-0000-0000-0000E5210000}"/>
    <cellStyle name="Note 3 4 6 2" xfId="6981" xr:uid="{00000000-0005-0000-0000-0000E6210000}"/>
    <cellStyle name="Note 3 4 6 2 2" xfId="16307" xr:uid="{67F55855-588C-4444-A805-7F33F17F1EF6}"/>
    <cellStyle name="Note 3 4 6 3" xfId="12090" xr:uid="{307A29DB-3BCC-48D9-B355-5EBF8521AC0F}"/>
    <cellStyle name="Note 3 4 7" xfId="2757" xr:uid="{00000000-0005-0000-0000-0000E7210000}"/>
    <cellStyle name="Note 3 4 8" xfId="2838" xr:uid="{00000000-0005-0000-0000-0000E8210000}"/>
    <cellStyle name="Note 3 4 8 2" xfId="7061" xr:uid="{00000000-0005-0000-0000-0000E9210000}"/>
    <cellStyle name="Note 3 4 8 2 2" xfId="16387" xr:uid="{8F4DEAC0-727E-4D21-9D8E-F951281E74C4}"/>
    <cellStyle name="Note 3 4 8 3" xfId="12170" xr:uid="{239499BF-F80B-4887-9422-DC9AD24B88D9}"/>
    <cellStyle name="Note 3 4 9" xfId="4916" xr:uid="{00000000-0005-0000-0000-0000EA210000}"/>
    <cellStyle name="Note 3 4 9 2" xfId="14242" xr:uid="{B721912F-CD66-466E-B1C9-BF2B273C124D}"/>
    <cellStyle name="Note 3 5" xfId="561" xr:uid="{00000000-0005-0000-0000-0000EB210000}"/>
    <cellStyle name="Note 3 5 10" xfId="9213" xr:uid="{D9D7FB9A-B03C-4A97-A778-36731B43DF3F}"/>
    <cellStyle name="Note 3 5 11" xfId="10026" xr:uid="{6507CAF9-4DB7-4117-8A76-A084F161ADFD}"/>
    <cellStyle name="Note 3 5 2" xfId="1021" xr:uid="{00000000-0005-0000-0000-0000EC210000}"/>
    <cellStyle name="Note 3 5 2 2" xfId="3253" xr:uid="{00000000-0005-0000-0000-0000ED210000}"/>
    <cellStyle name="Note 3 5 2 2 2" xfId="7475" xr:uid="{00000000-0005-0000-0000-0000EE210000}"/>
    <cellStyle name="Note 3 5 2 2 2 2" xfId="16801" xr:uid="{4685C9A4-F9B7-4971-9739-9D59C1F09F45}"/>
    <cellStyle name="Note 3 5 2 2 3" xfId="12584" xr:uid="{4630D04B-F1C2-49BB-9CFE-18F16214DDAD}"/>
    <cellStyle name="Note 3 5 2 3" xfId="5330" xr:uid="{00000000-0005-0000-0000-0000EF210000}"/>
    <cellStyle name="Note 3 5 2 3 2" xfId="14656" xr:uid="{3BB09790-4508-42C7-9624-61A630C5AECF}"/>
    <cellStyle name="Note 3 5 2 4" xfId="9611" xr:uid="{74765414-66B3-4FDA-BA21-3BFFEF98E338}"/>
    <cellStyle name="Note 3 5 2 5" xfId="10439" xr:uid="{00E99DA6-B992-4F9A-8B61-CA71C3AF98C6}"/>
    <cellStyle name="Note 3 5 3" xfId="1436" xr:uid="{00000000-0005-0000-0000-0000F0210000}"/>
    <cellStyle name="Note 3 5 3 2" xfId="3666" xr:uid="{00000000-0005-0000-0000-0000F1210000}"/>
    <cellStyle name="Note 3 5 3 2 2" xfId="7888" xr:uid="{00000000-0005-0000-0000-0000F2210000}"/>
    <cellStyle name="Note 3 5 3 2 2 2" xfId="17214" xr:uid="{D9D2ABD6-0D08-42C4-8EDC-C3F94952A49B}"/>
    <cellStyle name="Note 3 5 3 2 3" xfId="12997" xr:uid="{0918BCD2-BFAC-40EF-913D-12C6A9C0BF9A}"/>
    <cellStyle name="Note 3 5 3 3" xfId="5743" xr:uid="{00000000-0005-0000-0000-0000F3210000}"/>
    <cellStyle name="Note 3 5 3 3 2" xfId="15069" xr:uid="{435E00E1-3B1B-4F5E-8C23-F633B92426D5}"/>
    <cellStyle name="Note 3 5 3 4" xfId="10852" xr:uid="{B3BF80E2-17C7-4B19-93F3-68958052A399}"/>
    <cellStyle name="Note 3 5 4" xfId="1850" xr:uid="{00000000-0005-0000-0000-0000F4210000}"/>
    <cellStyle name="Note 3 5 4 2" xfId="4079" xr:uid="{00000000-0005-0000-0000-0000F5210000}"/>
    <cellStyle name="Note 3 5 4 2 2" xfId="8301" xr:uid="{00000000-0005-0000-0000-0000F6210000}"/>
    <cellStyle name="Note 3 5 4 2 2 2" xfId="17627" xr:uid="{8EC81B07-B1DF-4E0F-873E-AF101C39A1F2}"/>
    <cellStyle name="Note 3 5 4 2 3" xfId="13410" xr:uid="{4B885495-21E6-4100-9511-FEAE46DB3F20}"/>
    <cellStyle name="Note 3 5 4 3" xfId="6156" xr:uid="{00000000-0005-0000-0000-0000F7210000}"/>
    <cellStyle name="Note 3 5 4 3 2" xfId="15482" xr:uid="{85CDEBBD-23BE-4833-89C8-F26B9AE79E4E}"/>
    <cellStyle name="Note 3 5 4 4" xfId="11265" xr:uid="{5DF324DB-3BA9-42AA-B4EC-377194D4EA5D}"/>
    <cellStyle name="Note 3 5 5" xfId="2263" xr:uid="{00000000-0005-0000-0000-0000F8210000}"/>
    <cellStyle name="Note 3 5 5 2" xfId="4492" xr:uid="{00000000-0005-0000-0000-0000F9210000}"/>
    <cellStyle name="Note 3 5 5 2 2" xfId="8714" xr:uid="{00000000-0005-0000-0000-0000FA210000}"/>
    <cellStyle name="Note 3 5 5 2 2 2" xfId="18040" xr:uid="{619485E1-EF62-4F75-B24E-FF06C9800590}"/>
    <cellStyle name="Note 3 5 5 2 3" xfId="13823" xr:uid="{F5D3F9B9-17FC-4C9F-9C96-43ED3FD5AAE6}"/>
    <cellStyle name="Note 3 5 5 3" xfId="6569" xr:uid="{00000000-0005-0000-0000-0000FB210000}"/>
    <cellStyle name="Note 3 5 5 3 2" xfId="15895" xr:uid="{7B7CFEB0-CC53-4E26-B8EB-5033D99468AF}"/>
    <cellStyle name="Note 3 5 5 4" xfId="11678" xr:uid="{A0543E13-860E-4C2D-95D2-CFE86A075932}"/>
    <cellStyle name="Note 3 5 6" xfId="2699" xr:uid="{00000000-0005-0000-0000-0000FC210000}"/>
    <cellStyle name="Note 3 5 6 2" xfId="6982" xr:uid="{00000000-0005-0000-0000-0000FD210000}"/>
    <cellStyle name="Note 3 5 6 2 2" xfId="16308" xr:uid="{FAB17114-3DA3-486C-82F5-35448A724577}"/>
    <cellStyle name="Note 3 5 6 3" xfId="12091" xr:uid="{234AF7D2-22B1-48FD-9A10-E3112FF6B9F0}"/>
    <cellStyle name="Note 3 5 7" xfId="2758" xr:uid="{00000000-0005-0000-0000-0000FE210000}"/>
    <cellStyle name="Note 3 5 8" xfId="2839" xr:uid="{00000000-0005-0000-0000-0000FF210000}"/>
    <cellStyle name="Note 3 5 8 2" xfId="7062" xr:uid="{00000000-0005-0000-0000-000000220000}"/>
    <cellStyle name="Note 3 5 8 2 2" xfId="16388" xr:uid="{95F0076C-B1CD-46DE-B8B7-2D6CFEB99960}"/>
    <cellStyle name="Note 3 5 8 3" xfId="12171" xr:uid="{0AC18098-60BB-460B-B8C1-7FDCAA90D3F0}"/>
    <cellStyle name="Note 3 5 9" xfId="4917" xr:uid="{00000000-0005-0000-0000-000001220000}"/>
    <cellStyle name="Note 3 5 9 2" xfId="14243" xr:uid="{E0F5E09F-F083-4247-96D4-437BE0014B52}"/>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3" xfId="13826" xr:uid="{F95FC411-4EE0-4E83-8392-4B98146E1819}"/>
    <cellStyle name="Percent 4" xfId="4502" xr:uid="{00000000-0005-0000-0000-000007220000}"/>
    <cellStyle name="Percent 4 2" xfId="8717" xr:uid="{00000000-0005-0000-0000-000008220000}"/>
    <cellStyle name="Percent 4 2 2" xfId="18043" xr:uid="{6FA2C429-C7A8-4C6A-86E5-D8EC01BB6874}"/>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3" xfId="18059" xr:uid="{55ACAAC6-066B-4AFC-8CBD-0FE78C91FDF8}"/>
    <cellStyle name="Percent 4 3 2 2 2 3" xfId="18056" xr:uid="{33E9BE05-2400-43DB-8A11-EC1E68644036}"/>
    <cellStyle name="Percent 4 3 2 2 3" xfId="18052" xr:uid="{BC51FCE0-CBD1-4D2D-8819-5555DB5A9777}"/>
    <cellStyle name="Percent 4 3 2 3" xfId="18049" xr:uid="{7F4F9CBC-9B55-4B7C-910F-6A1BEFECE484}"/>
    <cellStyle name="Percent 4 3 3" xfId="18046" xr:uid="{EC29D8E2-22AE-48FF-8E69-1F9831178500}"/>
    <cellStyle name="Percent 4 4" xfId="13829" xr:uid="{428A7B32-D7D1-49D1-A196-7D7339FD68DD}"/>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Rise%20Blk%20D\The%20Rise%20Blk%205%20-%201-23-26%20bond%20app.xls" TargetMode="External"/><Relationship Id="rId1" Type="http://schemas.openxmlformats.org/officeDocument/2006/relationships/externalLinkPath" Target="/Users/Diana%20Downton/Box/Diana%20Downton/Diana%20Downton/Eden%20-%20Rise%20Blk%20D/The%20Rise%20Blk%205%20-%201-23-26%20bond%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4%"/>
      <sheetName val="CDLAC"/>
      <sheetName val="SuperNOFA"/>
      <sheetName val="NHTF"/>
    </sheetNames>
    <sheetDataSet>
      <sheetData sheetId="0" refreshError="1">
        <row r="11">
          <cell r="E11">
            <v>5.9000000000000004E-2</v>
          </cell>
          <cell r="F11">
            <v>48787800</v>
          </cell>
        </row>
        <row r="15">
          <cell r="F15">
            <v>48249555.518663198</v>
          </cell>
        </row>
        <row r="17">
          <cell r="F17">
            <v>9639666.7712485287</v>
          </cell>
        </row>
        <row r="20">
          <cell r="F20">
            <v>14754226.835966283</v>
          </cell>
        </row>
        <row r="21">
          <cell r="F21">
            <v>2705446.0755575653</v>
          </cell>
          <cell r="J21">
            <v>100</v>
          </cell>
        </row>
        <row r="22">
          <cell r="F22">
            <v>76158855.806049585</v>
          </cell>
          <cell r="J22">
            <v>7615885.5806049593</v>
          </cell>
        </row>
        <row r="27">
          <cell r="F27">
            <v>53597685.266545199</v>
          </cell>
          <cell r="G27">
            <v>5.4500000000000007E-2</v>
          </cell>
        </row>
        <row r="28">
          <cell r="F28">
            <v>57423034.353167988</v>
          </cell>
          <cell r="G28">
            <v>5.7000000000000009E-2</v>
          </cell>
        </row>
        <row r="34">
          <cell r="G34">
            <v>2</v>
          </cell>
        </row>
        <row r="39">
          <cell r="G39">
            <v>50000</v>
          </cell>
        </row>
        <row r="41">
          <cell r="G41">
            <v>11895765.076508258</v>
          </cell>
          <cell r="H41">
            <v>668690.86435448145</v>
          </cell>
        </row>
        <row r="44">
          <cell r="G44">
            <v>3739777.6929910704</v>
          </cell>
          <cell r="H44">
            <v>210222.30700892839</v>
          </cell>
        </row>
        <row r="45">
          <cell r="G45">
            <v>78452956</v>
          </cell>
        </row>
        <row r="46">
          <cell r="H46">
            <v>5206026</v>
          </cell>
        </row>
        <row r="47">
          <cell r="G47">
            <v>1950837.712329594</v>
          </cell>
          <cell r="H47">
            <v>109661.4927819258</v>
          </cell>
        </row>
        <row r="48">
          <cell r="G48">
            <v>14160336</v>
          </cell>
        </row>
        <row r="49">
          <cell r="G49">
            <v>5644362.8393139495</v>
          </cell>
          <cell r="H49">
            <v>317283.82676324953</v>
          </cell>
        </row>
        <row r="50">
          <cell r="G50">
            <v>2067257.8354690587</v>
          </cell>
          <cell r="H50">
            <v>116205.76061755414</v>
          </cell>
        </row>
        <row r="51">
          <cell r="G51">
            <v>3230845.7799316021</v>
          </cell>
          <cell r="H51">
            <v>181613.96457340269</v>
          </cell>
        </row>
        <row r="52">
          <cell r="G52">
            <v>2552113.7568294643</v>
          </cell>
          <cell r="H52">
            <v>143460.73102564877</v>
          </cell>
        </row>
        <row r="55">
          <cell r="G55">
            <v>5151109.200459484</v>
          </cell>
          <cell r="H55">
            <v>289556.79954051611</v>
          </cell>
        </row>
        <row r="58">
          <cell r="G58">
            <v>0</v>
          </cell>
          <cell r="H58">
            <v>0</v>
          </cell>
        </row>
        <row r="59">
          <cell r="X59">
            <v>3298972.5229257531</v>
          </cell>
        </row>
        <row r="60">
          <cell r="G60">
            <v>13420738.077840794</v>
          </cell>
          <cell r="I60">
            <v>7226551.272683504</v>
          </cell>
        </row>
        <row r="62">
          <cell r="G62">
            <v>1132655.3971478487</v>
          </cell>
          <cell r="I62">
            <v>146825.69963027668</v>
          </cell>
        </row>
        <row r="63">
          <cell r="G63">
            <v>116400</v>
          </cell>
          <cell r="I63">
            <v>15088.888888888889</v>
          </cell>
        </row>
        <row r="64">
          <cell r="G64">
            <v>33146.738489017065</v>
          </cell>
          <cell r="H64">
            <v>1863.2615109829328</v>
          </cell>
        </row>
        <row r="65">
          <cell r="G65">
            <v>4180904.2717873561</v>
          </cell>
          <cell r="H65">
            <v>235019.14112324224</v>
          </cell>
          <cell r="X65">
            <v>24393.9</v>
          </cell>
        </row>
        <row r="67">
          <cell r="G67">
            <v>94677.916278254983</v>
          </cell>
          <cell r="H67">
            <v>5322.0837217450235</v>
          </cell>
        </row>
        <row r="70">
          <cell r="G70">
            <v>487878</v>
          </cell>
        </row>
        <row r="71">
          <cell r="G71">
            <v>424657.32428120653</v>
          </cell>
          <cell r="H71">
            <v>0</v>
          </cell>
          <cell r="I71">
            <v>55048.171666082322</v>
          </cell>
        </row>
        <row r="72">
          <cell r="G72">
            <v>50000</v>
          </cell>
        </row>
        <row r="73">
          <cell r="G73">
            <v>120000</v>
          </cell>
        </row>
        <row r="74">
          <cell r="G74">
            <v>20000</v>
          </cell>
        </row>
        <row r="77">
          <cell r="G77">
            <v>130000</v>
          </cell>
          <cell r="I77">
            <v>16851.85185185185</v>
          </cell>
        </row>
        <row r="78">
          <cell r="G78">
            <v>71008.437208691234</v>
          </cell>
          <cell r="H78">
            <v>3991.5627913087678</v>
          </cell>
        </row>
        <row r="81">
          <cell r="G81">
            <v>1389750.6057314384</v>
          </cell>
        </row>
        <row r="82">
          <cell r="G82">
            <v>70200</v>
          </cell>
        </row>
        <row r="86">
          <cell r="G86">
            <v>56806.749766952984</v>
          </cell>
          <cell r="H86">
            <v>3193.2502330470143</v>
          </cell>
        </row>
        <row r="87">
          <cell r="G87">
            <v>6184712.6346686501</v>
          </cell>
          <cell r="H87">
            <v>347658.24735625956</v>
          </cell>
        </row>
        <row r="89">
          <cell r="G89">
            <v>257976.6534220117</v>
          </cell>
        </row>
        <row r="90">
          <cell r="G90">
            <v>1893558.3255650995</v>
          </cell>
          <cell r="H90">
            <v>106441.67443490047</v>
          </cell>
          <cell r="I90">
            <v>1080000</v>
          </cell>
        </row>
        <row r="92">
          <cell r="G92">
            <v>56968.109516819473</v>
          </cell>
          <cell r="H92">
            <v>3031.8904831805271</v>
          </cell>
        </row>
        <row r="96">
          <cell r="G96">
            <v>3536354.0035415539</v>
          </cell>
          <cell r="H96">
            <v>198787.34995880959</v>
          </cell>
        </row>
        <row r="97">
          <cell r="G97">
            <v>1908969.1805879404</v>
          </cell>
          <cell r="H97">
            <v>107307.95734309405</v>
          </cell>
        </row>
        <row r="98">
          <cell r="G98">
            <v>15000</v>
          </cell>
          <cell r="H98">
            <v>0</v>
          </cell>
        </row>
        <row r="99">
          <cell r="G99">
            <v>748484.84848484851</v>
          </cell>
        </row>
        <row r="100">
          <cell r="G100">
            <v>1412514.4868007246</v>
          </cell>
          <cell r="H100">
            <v>75175.203569311634</v>
          </cell>
        </row>
        <row r="101">
          <cell r="G101">
            <v>397800</v>
          </cell>
          <cell r="H101">
            <v>0</v>
          </cell>
        </row>
        <row r="102">
          <cell r="G102">
            <v>1078229.1029599465</v>
          </cell>
          <cell r="H102">
            <v>60609.968858100401</v>
          </cell>
        </row>
        <row r="106">
          <cell r="G106">
            <v>22211129.478325009</v>
          </cell>
          <cell r="H106">
            <v>1248543.4331988376</v>
          </cell>
        </row>
        <row r="120">
          <cell r="F120">
            <v>260000</v>
          </cell>
        </row>
        <row r="126">
          <cell r="I126">
            <v>0.3</v>
          </cell>
        </row>
      </sheetData>
      <sheetData sheetId="1" refreshError="1"/>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8"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6" t="s">
        <v>2530</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2"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2529</v>
      </c>
      <c r="E18" s="441"/>
      <c r="G18" s="441"/>
      <c r="H18" s="441"/>
      <c r="I18" s="441"/>
      <c r="J18" s="1279" t="s">
        <v>2528</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2"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2608</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2609</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2610</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2" customHeight="1">
      <c r="A40" s="4"/>
      <c r="B40"/>
      <c r="C40" s="2"/>
      <c r="D40" s="4"/>
      <c r="E40" s="4" t="s">
        <v>652</v>
      </c>
      <c r="F40" s="1266" t="s">
        <v>1163</v>
      </c>
    </row>
    <row r="41" spans="1:38" s="1266" customFormat="1" ht="13.2"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2"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2" customHeight="1">
      <c r="A67" s="4"/>
      <c r="C67" s="2"/>
      <c r="D67" s="4"/>
      <c r="E67" s="4"/>
      <c r="F67" t="s">
        <v>508</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2001</v>
      </c>
      <c r="F138" s="2"/>
      <c r="G138" s="2"/>
      <c r="H138" s="2"/>
    </row>
    <row r="139" spans="4:37">
      <c r="E139" t="s">
        <v>112</v>
      </c>
      <c r="F139" t="s">
        <v>52</v>
      </c>
    </row>
    <row r="140" spans="4:37">
      <c r="E140" t="s">
        <v>113</v>
      </c>
      <c r="F140" t="s">
        <v>465</v>
      </c>
    </row>
    <row r="141" spans="4:37"/>
    <row r="142" spans="4:37">
      <c r="D142" s="2" t="s">
        <v>428</v>
      </c>
      <c r="E142" s="2" t="s">
        <v>2002</v>
      </c>
    </row>
    <row r="143" spans="4:37">
      <c r="E143" s="204" t="s">
        <v>2003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64" sqref="G164"/>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63" t="s">
        <v>1573</v>
      </c>
      <c r="B1" s="2663"/>
      <c r="C1" s="2663"/>
      <c r="D1" s="2663"/>
      <c r="E1" s="2663"/>
      <c r="F1" s="2663"/>
      <c r="G1" s="2663"/>
      <c r="H1" s="2663"/>
      <c r="I1" s="2663"/>
      <c r="J1" s="2663"/>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73673254</v>
      </c>
      <c r="I3" s="1099"/>
    </row>
    <row r="4" spans="1:13" s="1046" customFormat="1" ht="20.100000000000001" customHeight="1">
      <c r="B4" s="1088"/>
      <c r="D4" s="1102"/>
      <c r="F4" s="1087" t="s">
        <v>1964</v>
      </c>
      <c r="G4" s="1086" t="s">
        <v>1963</v>
      </c>
      <c r="H4" s="1201">
        <f>I18</f>
        <v>38571191.361460209</v>
      </c>
      <c r="I4" s="1089"/>
      <c r="K4" s="1050"/>
    </row>
    <row r="5" spans="1:13" s="1046" customFormat="1" ht="20.100000000000001" customHeight="1" thickBot="1">
      <c r="B5" s="1090"/>
      <c r="C5" s="1091"/>
      <c r="D5" s="1103"/>
      <c r="E5" s="1092"/>
      <c r="F5" s="1103" t="s">
        <v>1914</v>
      </c>
      <c r="G5" s="1104"/>
      <c r="H5" s="1100">
        <f>IFERROR(H3/H4,0)</f>
        <v>1.9100590725754267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6" t="s">
        <v>1912</v>
      </c>
      <c r="C8" s="2667"/>
      <c r="D8" s="2667"/>
      <c r="E8" s="2668"/>
      <c r="G8" s="2647" t="s">
        <v>1913</v>
      </c>
      <c r="H8" s="2648"/>
      <c r="I8" s="2649"/>
      <c r="K8" s="1052"/>
    </row>
    <row r="9" spans="1:13" ht="15" customHeight="1">
      <c r="A9" s="1041"/>
      <c r="B9" s="2664" t="s">
        <v>1946</v>
      </c>
      <c r="C9" s="2664"/>
      <c r="D9" s="2664"/>
      <c r="E9" s="1054">
        <f>G33</f>
        <v>13512500</v>
      </c>
      <c r="G9" s="2660" t="s">
        <v>1944</v>
      </c>
      <c r="H9" s="2660"/>
      <c r="I9" s="1055">
        <f>MAX(SUMIF(Application!M562:M573,"Loan, Tax-Exempt",Application!AM562:AM573),27.5%*SUM('Sources and Uses Budget'!C8,'Sources and Uses Budget'!S105,'Sources and Uses Budget'!T105))</f>
        <v>53597685.266545199</v>
      </c>
      <c r="K9" s="1056"/>
      <c r="M9" s="1057"/>
    </row>
    <row r="10" spans="1:13" ht="15" customHeight="1" thickBot="1">
      <c r="A10" s="1041"/>
      <c r="B10" s="2664" t="s">
        <v>1947</v>
      </c>
      <c r="C10" s="2664"/>
      <c r="D10" s="2664"/>
      <c r="E10" s="1055">
        <f>G47</f>
        <v>34007004</v>
      </c>
      <c r="G10" s="2662" t="s">
        <v>1915</v>
      </c>
      <c r="H10" s="2662"/>
      <c r="I10" s="1134">
        <f>IF(OR(Application!Z205="State Farmworker Credit",Application!Z205="$500M (Farmworker Housing)"),0,'Basis &amp; Credits'!AB78)</f>
        <v>0</v>
      </c>
      <c r="M10" s="1057"/>
    </row>
    <row r="11" spans="1:13" ht="15" customHeight="1">
      <c r="A11" s="1041"/>
      <c r="B11" s="2670" t="s">
        <v>2211</v>
      </c>
      <c r="C11" s="2671"/>
      <c r="D11" s="2672"/>
      <c r="E11" s="1055">
        <f>SUM(E13,E12)</f>
        <v>480000</v>
      </c>
      <c r="G11" s="2669" t="s">
        <v>1955</v>
      </c>
      <c r="H11" s="2669"/>
      <c r="I11" s="1133">
        <f>I9+I10</f>
        <v>53597685.266545199</v>
      </c>
      <c r="M11" s="1057"/>
    </row>
    <row r="12" spans="1:13" ht="15" customHeight="1">
      <c r="A12" s="1058"/>
      <c r="B12" s="2665" t="s">
        <v>2574</v>
      </c>
      <c r="C12" s="2665"/>
      <c r="D12" s="2665"/>
      <c r="E12" s="1158">
        <f>G56</f>
        <v>480000</v>
      </c>
      <c r="M12" s="1057"/>
    </row>
    <row r="13" spans="1:13" ht="15" customHeight="1">
      <c r="A13" s="1044"/>
      <c r="B13" s="2665" t="s">
        <v>2575</v>
      </c>
      <c r="C13" s="2665"/>
      <c r="D13" s="2665"/>
      <c r="E13" s="1158">
        <f>IF(G67,MAX(G65,G79),G65)</f>
        <v>0</v>
      </c>
      <c r="G13" s="2647" t="s">
        <v>1978</v>
      </c>
      <c r="H13" s="2648"/>
      <c r="I13" s="2649"/>
    </row>
    <row r="14" spans="1:13" ht="15" customHeight="1">
      <c r="A14" s="1044"/>
      <c r="B14" s="2670" t="s">
        <v>2212</v>
      </c>
      <c r="C14" s="2671"/>
      <c r="D14" s="2672"/>
      <c r="E14" s="1160">
        <f>MAX(E15,E16)+E17</f>
        <v>25673750</v>
      </c>
      <c r="G14" s="2660" t="s">
        <v>2591</v>
      </c>
      <c r="H14" s="2660"/>
      <c r="I14" s="1059">
        <f>IF(AND(G134="Yes",G136&lt;&gt;""),IF(OR(G141="Yes",G145="Yes"),18%,15%),0)</f>
        <v>0.15</v>
      </c>
      <c r="M14" s="1057"/>
    </row>
    <row r="15" spans="1:13" ht="15" customHeight="1">
      <c r="A15" s="1044"/>
      <c r="B15" s="2644" t="s">
        <v>2588</v>
      </c>
      <c r="C15" s="2645"/>
      <c r="D15" s="2646"/>
      <c r="E15" s="1158">
        <f>G94</f>
        <v>8107500</v>
      </c>
      <c r="G15" s="1131" t="s">
        <v>1956</v>
      </c>
      <c r="H15" s="1131"/>
      <c r="I15" s="1059">
        <f>IF(Application!AJ1041&gt;0,10%,IF(Application!AJ1045&gt;0,5%,0))</f>
        <v>0.05</v>
      </c>
      <c r="M15" s="1057"/>
    </row>
    <row r="16" spans="1:13" ht="15" customHeight="1">
      <c r="A16" s="1044"/>
      <c r="B16" s="2644" t="s">
        <v>2589</v>
      </c>
      <c r="C16" s="2645"/>
      <c r="D16" s="2646"/>
      <c r="E16" s="1158">
        <f>G104</f>
        <v>0</v>
      </c>
      <c r="G16" s="2660" t="s">
        <v>1957</v>
      </c>
      <c r="H16" s="2660"/>
      <c r="I16" s="1059">
        <f>G155</f>
        <v>8.0357142857142863E-2</v>
      </c>
    </row>
    <row r="17" spans="1:21" ht="15" customHeight="1" thickBot="1">
      <c r="A17" s="1044"/>
      <c r="B17" s="2644" t="s">
        <v>2590</v>
      </c>
      <c r="C17" s="2645"/>
      <c r="D17" s="2646"/>
      <c r="E17" s="1158">
        <f>G129</f>
        <v>17566250</v>
      </c>
      <c r="G17" s="2660" t="s">
        <v>2220</v>
      </c>
      <c r="H17" s="2660"/>
      <c r="I17" s="1059">
        <f>IF(AND(G161="Yes",G159),IF(G165&gt;15%,15%,G165),0)</f>
        <v>0</v>
      </c>
    </row>
    <row r="18" spans="1:21" ht="15" customHeight="1">
      <c r="A18" s="1041"/>
      <c r="B18" s="2661" t="s">
        <v>1911</v>
      </c>
      <c r="C18" s="2661"/>
      <c r="D18" s="2661"/>
      <c r="E18" s="1105">
        <f>SUM(E9:E11,E14)</f>
        <v>73673254</v>
      </c>
      <c r="G18" s="1132" t="s">
        <v>1945</v>
      </c>
      <c r="H18" s="1132"/>
      <c r="I18" s="1106">
        <f>I11-((I11*I14)+(I11*I15)+(I11*I16)+(I11*I17))</f>
        <v>38571191.361460209</v>
      </c>
      <c r="M18" s="1060">
        <f>SUM(Cdlac[Quantity])</f>
        <v>232</v>
      </c>
      <c r="O18" s="1079" t="s">
        <v>581</v>
      </c>
      <c r="P18" s="1039">
        <f>MATCH(Application!T189,Application!CB160:CB217,0)</f>
        <v>43</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23</v>
      </c>
      <c r="N20" s="1066">
        <f>Application!AC726</f>
        <v>0.3</v>
      </c>
      <c r="O20" s="1066">
        <f>IF(Cdlac[[#This Row],[Quantity]]&gt;0,IF(Cdlac[[#This Row],[Federal]],30%,IF(AND(OR(NOT($G$38),$G$38=""),$G$43),40%,Cdlac[[#This Row],[iAMI]])),"")</f>
        <v>0.3</v>
      </c>
      <c r="P20" s="1060" cm="1">
        <f t="array" ref="P20">IF(Cdlac[[#This Row],[Quantity]]&gt;0,INDEX(TcacRents,$P$18,Cdlac[[#This Row],[Bedrooms]]+1)*Cdlac[[#This Row],[AMI]],"")</f>
        <v>1054.8</v>
      </c>
      <c r="Q20" s="1157"/>
      <c r="R20" s="1060" cm="1">
        <f t="array" ref="R20">IF(Cdlac[[#This Row],[Quantity]]&gt;0,INDEX(HudFmrs,$P$18,Cdlac[[#This Row],[Bedrooms]]+1),"")</f>
        <v>2608</v>
      </c>
      <c r="S20" s="1060">
        <f>IF(Cdlac[[#This Row],[Quantity]]&gt;0,MAX(0,Cdlac[[#This Row],[Fair Market Rent]]-IF(AND($G$37,$G$38,$G$38&lt;&gt;"",NOT(Cdlac[[#This Row],[Federal]]),Cdlac[[#This Row],[Preservation Rent]]&lt;&gt;""),Cdlac[[#This Row],[Preservation Rent]],Cdlac[[#This Row],[Restricted Rent]])),"")</f>
        <v>1553.2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41</v>
      </c>
      <c r="N21" s="1066">
        <f>Application!AC727</f>
        <v>0.5</v>
      </c>
      <c r="O21" s="1066">
        <f>IF(Cdlac[[#This Row],[Quantity]]&gt;0,IF(Cdlac[[#This Row],[Federal]],30%,IF(AND(OR(NOT($G$38),$G$38=""),$G$43),40%,Cdlac[[#This Row],[iAMI]])),"")</f>
        <v>0.5</v>
      </c>
      <c r="P21" s="1060" cm="1">
        <f t="array" ref="P21">IF(Cdlac[[#This Row],[Quantity]]&gt;0,INDEX(TcacRents,$P$18,Cdlac[[#This Row],[Bedrooms]]+1)*Cdlac[[#This Row],[AMI]],"")</f>
        <v>1758</v>
      </c>
      <c r="Q21" s="1157"/>
      <c r="R21" s="1060" cm="1">
        <f t="array" ref="R21">IF(Cdlac[[#This Row],[Quantity]]&gt;0,INDEX(HudFmrs,$P$18,Cdlac[[#This Row],[Bedrooms]]+1),"")</f>
        <v>2608</v>
      </c>
      <c r="S21" s="1060">
        <f>IF(Cdlac[[#This Row],[Quantity]]&gt;0,MAX(0,Cdlac[[#This Row],[Fair Market Rent]]-IF(AND($G$37,$G$38,$G$38&lt;&gt;"",NOT(Cdlac[[#This Row],[Federal]]),Cdlac[[#This Row],[Preservation Rent]]&lt;&gt;""),Cdlac[[#This Row],[Preservation Rent]],Cdlac[[#This Row],[Restricted Rent]])),"")</f>
        <v>850</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1" t="s">
        <v>1959</v>
      </c>
      <c r="D22" s="2651" t="s">
        <v>1960</v>
      </c>
      <c r="E22" s="2651" t="s">
        <v>1961</v>
      </c>
      <c r="F22" s="2651" t="s">
        <v>2535</v>
      </c>
      <c r="G22" s="2651" t="s">
        <v>1958</v>
      </c>
      <c r="H22" s="1065"/>
      <c r="I22" s="1064"/>
      <c r="L22" s="1039">
        <f>IFERROR(MIN(4,MATCH(Application!B728,UnitSizes,0)-1),"")</f>
        <v>0</v>
      </c>
      <c r="M22" s="1060">
        <f>Application!G728</f>
        <v>1</v>
      </c>
      <c r="N22" s="1066">
        <f>Application!AC728</f>
        <v>0.6</v>
      </c>
      <c r="O22" s="1066">
        <f>IF(Cdlac[[#This Row],[Quantity]]&gt;0,IF(Cdlac[[#This Row],[Federal]],30%,IF(AND(OR(NOT($G$38),$G$38=""),$G$43),40%,Cdlac[[#This Row],[iAMI]])),"")</f>
        <v>0.6</v>
      </c>
      <c r="P22" s="1060" cm="1">
        <f t="array" ref="P22">IF(Cdlac[[#This Row],[Quantity]]&gt;0,INDEX(TcacRents,$P$18,Cdlac[[#This Row],[Bedrooms]]+1)*Cdlac[[#This Row],[AMI]],"")</f>
        <v>2109.6</v>
      </c>
      <c r="Q22" s="1157"/>
      <c r="R22" s="1060" cm="1">
        <f t="array" ref="R22">IF(Cdlac[[#This Row],[Quantity]]&gt;0,INDEX(HudFmrs,$P$18,Cdlac[[#This Row],[Bedrooms]]+1),"")</f>
        <v>2608</v>
      </c>
      <c r="S22" s="1060">
        <f>IF(Cdlac[[#This Row],[Quantity]]&gt;0,MAX(0,Cdlac[[#This Row],[Fair Market Rent]]-IF(AND($G$37,$G$38,$G$38&lt;&gt;"",NOT(Cdlac[[#This Row],[Federal]]),Cdlac[[#This Row],[Preservation Rent]]&lt;&gt;""),Cdlac[[#This Row],[Preservation Rent]],Cdlac[[#This Row],[Restricted Rent]])),"")</f>
        <v>498.40000000000009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2"/>
      <c r="D23" s="2652"/>
      <c r="E23" s="2652"/>
      <c r="F23" s="2652"/>
      <c r="G23" s="2652"/>
      <c r="H23" s="1065"/>
      <c r="I23" s="1064"/>
      <c r="L23" s="1039">
        <f>IFERROR(MIN(4,MATCH(Application!B729,UnitSizes,0)-1),"")</f>
        <v>1</v>
      </c>
      <c r="M23" s="1060">
        <f>Application!G729</f>
        <v>5</v>
      </c>
      <c r="N23" s="1066">
        <f>Application!AC729</f>
        <v>0.5</v>
      </c>
      <c r="O23" s="1066">
        <f>IF(Cdlac[[#This Row],[Quantity]]&gt;0,IF(Cdlac[[#This Row],[Federal]],30%,IF(AND(OR(NOT($G$38),$G$38=""),$G$43),40%,Cdlac[[#This Row],[iAMI]])),"")</f>
        <v>0.5</v>
      </c>
      <c r="P23" s="1060" cm="1">
        <f t="array" ref="P23">IF(Cdlac[[#This Row],[Quantity]]&gt;0,INDEX(TcacRents,$P$18,Cdlac[[#This Row],[Bedrooms]]+1)*Cdlac[[#This Row],[AMI]],"")</f>
        <v>1884</v>
      </c>
      <c r="Q23" s="1157"/>
      <c r="R23" s="1060" cm="1">
        <f t="array" ref="R23">IF(Cdlac[[#This Row],[Quantity]]&gt;0,INDEX(HudFmrs,$P$18,Cdlac[[#This Row],[Bedrooms]]+1),"")</f>
        <v>2975</v>
      </c>
      <c r="S23" s="1060">
        <f>IF(Cdlac[[#This Row],[Quantity]]&gt;0,MAX(0,Cdlac[[#This Row],[Fair Market Rent]]-IF(AND($G$37,$G$38,$G$38&lt;&gt;"",NOT(Cdlac[[#This Row],[Federal]]),Cdlac[[#This Row],[Preservation Rent]]&lt;&gt;""),Cdlac[[#This Row],[Preservation Rent]],Cdlac[[#This Row],[Restricted Rent]])),"")</f>
        <v>1091</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65</v>
      </c>
      <c r="F24" s="1067">
        <f>E24</f>
        <v>65</v>
      </c>
      <c r="G24" s="1067">
        <f>D24*F24</f>
        <v>58.5</v>
      </c>
      <c r="L24" s="1039">
        <f>IFERROR(MIN(4,MATCH(Application!B730,UnitSizes,0)-1),"")</f>
        <v>1</v>
      </c>
      <c r="M24" s="1060">
        <f>Application!G730</f>
        <v>25</v>
      </c>
      <c r="N24" s="1066">
        <f>Application!AC730</f>
        <v>0.6</v>
      </c>
      <c r="O24" s="1066">
        <f>IF(Cdlac[[#This Row],[Quantity]]&gt;0,IF(Cdlac[[#This Row],[Federal]],30%,IF(AND(OR(NOT($G$38),$G$38=""),$G$43),40%,Cdlac[[#This Row],[iAMI]])),"")</f>
        <v>0.6</v>
      </c>
      <c r="P24" s="1060" cm="1">
        <f t="array" ref="P24">IF(Cdlac[[#This Row],[Quantity]]&gt;0,INDEX(TcacRents,$P$18,Cdlac[[#This Row],[Bedrooms]]+1)*Cdlac[[#This Row],[AMI]],"")</f>
        <v>2260.7999999999997</v>
      </c>
      <c r="Q24" s="1157"/>
      <c r="R24" s="1060" cm="1">
        <f t="array" ref="R24">IF(Cdlac[[#This Row],[Quantity]]&gt;0,INDEX(HudFmrs,$P$18,Cdlac[[#This Row],[Bedrooms]]+1),"")</f>
        <v>2975</v>
      </c>
      <c r="S24" s="1060">
        <f>IF(Cdlac[[#This Row],[Quantity]]&gt;0,MAX(0,Cdlac[[#This Row],[Fair Market Rent]]-IF(AND($G$37,$G$38,$G$38&lt;&gt;"",NOT(Cdlac[[#This Row],[Federal]]),Cdlac[[#This Row],[Preservation Rent]]&lt;&gt;""),Cdlac[[#This Row],[Preservation Rent]],Cdlac[[#This Row],[Restricted Rent]])),"")</f>
        <v>714.20000000000027</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48</v>
      </c>
      <c r="F25" s="1067">
        <f>E25</f>
        <v>48</v>
      </c>
      <c r="G25" s="1067">
        <f>D25*F25</f>
        <v>48</v>
      </c>
      <c r="L25" s="1039">
        <f>IFERROR(MIN(4,MATCH(Application!B731,UnitSizes,0)-1),"")</f>
        <v>1</v>
      </c>
      <c r="M25" s="1060">
        <f>Application!G731</f>
        <v>18</v>
      </c>
      <c r="N25" s="1066">
        <f>Application!AC731</f>
        <v>0.7</v>
      </c>
      <c r="O25" s="1066">
        <f>IF(Cdlac[[#This Row],[Quantity]]&gt;0,IF(Cdlac[[#This Row],[Federal]],30%,IF(AND(OR(NOT($G$38),$G$38=""),$G$43),40%,Cdlac[[#This Row],[iAMI]])),"")</f>
        <v>0.7</v>
      </c>
      <c r="P25" s="1060" cm="1">
        <f t="array" ref="P25">IF(Cdlac[[#This Row],[Quantity]]&gt;0,INDEX(TcacRents,$P$18,Cdlac[[#This Row],[Bedrooms]]+1)*Cdlac[[#This Row],[AMI]],"")</f>
        <v>2637.6</v>
      </c>
      <c r="Q25" s="1157"/>
      <c r="R25" s="1060" cm="1">
        <f t="array" ref="R25">IF(Cdlac[[#This Row],[Quantity]]&gt;0,INDEX(HudFmrs,$P$18,Cdlac[[#This Row],[Bedrooms]]+1),"")</f>
        <v>2975</v>
      </c>
      <c r="S25" s="1060">
        <f>IF(Cdlac[[#This Row],[Quantity]]&gt;0,MAX(0,Cdlac[[#This Row],[Fair Market Rent]]-IF(AND($G$37,$G$38,$G$38&lt;&gt;"",NOT(Cdlac[[#This Row],[Federal]]),Cdlac[[#This Row],[Preservation Rent]]&lt;&gt;""),Cdlac[[#This Row],[Preservation Rent]],Cdlac[[#This Row],[Restricted Rent]])),"")</f>
        <v>337.40000000000009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59</v>
      </c>
      <c r="F26" s="1070">
        <f>SUM(E26:E28)-SUM(F27:F28)</f>
        <v>59</v>
      </c>
      <c r="G26" s="1067">
        <f>D26*F26</f>
        <v>73.75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60</v>
      </c>
      <c r="F27" s="1070">
        <f>MIN(E27,ROUNDDOWN(E29*30%,0))</f>
        <v>60</v>
      </c>
      <c r="G27" s="1067">
        <f>D27*F27</f>
        <v>90</v>
      </c>
      <c r="H27" s="1069"/>
      <c r="I27" s="1069"/>
      <c r="L27" s="1039">
        <f>IFERROR(MIN(4,MATCH(Application!B733,UnitSizes,0)-1),"")</f>
        <v>2</v>
      </c>
      <c r="M27" s="1060">
        <f>Application!G733</f>
        <v>20</v>
      </c>
      <c r="N27" s="1066">
        <f>Application!AC733</f>
        <v>0.6</v>
      </c>
      <c r="O27" s="1066">
        <f>IF(Cdlac[[#This Row],[Quantity]]&gt;0,IF(Cdlac[[#This Row],[Federal]],30%,IF(AND(OR(NOT($G$38),$G$38=""),$G$43),40%,Cdlac[[#This Row],[iAMI]])),"")</f>
        <v>0.6</v>
      </c>
      <c r="P27" s="1060" cm="1">
        <f t="array" ref="P27">IF(Cdlac[[#This Row],[Quantity]]&gt;0,INDEX(TcacRents,$P$18,Cdlac[[#This Row],[Bedrooms]]+1)*Cdlac[[#This Row],[AMI]],"")</f>
        <v>2713.2</v>
      </c>
      <c r="Q27" s="1157"/>
      <c r="R27" s="1060" cm="1">
        <f t="array" ref="R27">IF(Cdlac[[#This Row],[Quantity]]&gt;0,INDEX(HudFmrs,$P$18,Cdlac[[#This Row],[Bedrooms]]+1),"")</f>
        <v>3446</v>
      </c>
      <c r="S27" s="1060">
        <f>IF(Cdlac[[#This Row],[Quantity]]&gt;0,MAX(0,Cdlac[[#This Row],[Fair Market Rent]]-IF(AND($G$37,$G$38,$G$38&lt;&gt;"",NOT(Cdlac[[#This Row],[Federal]]),Cdlac[[#This Row],[Preservation Rent]]&lt;&gt;""),Cdlac[[#This Row],[Preservation Rent]],Cdlac[[#This Row],[Restricted Rent]])),"")</f>
        <v>732.80000000000018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39</v>
      </c>
      <c r="N28" s="1066">
        <f>Application!AC734</f>
        <v>0.7</v>
      </c>
      <c r="O28" s="1066">
        <f>IF(Cdlac[[#This Row],[Quantity]]&gt;0,IF(Cdlac[[#This Row],[Federal]],30%,IF(AND(OR(NOT($G$38),$G$38=""),$G$43),40%,Cdlac[[#This Row],[iAMI]])),"")</f>
        <v>0.7</v>
      </c>
      <c r="P28" s="1060" cm="1">
        <f t="array" ref="P28">IF(Cdlac[[#This Row],[Quantity]]&gt;0,INDEX(TcacRents,$P$18,Cdlac[[#This Row],[Bedrooms]]+1)*Cdlac[[#This Row],[AMI]],"")</f>
        <v>3165.3999999999996</v>
      </c>
      <c r="Q28" s="1157"/>
      <c r="R28" s="1060" cm="1">
        <f t="array" ref="R28">IF(Cdlac[[#This Row],[Quantity]]&gt;0,INDEX(HudFmrs,$P$18,Cdlac[[#This Row],[Bedrooms]]+1),"")</f>
        <v>3446</v>
      </c>
      <c r="S28" s="1060">
        <f>IF(Cdlac[[#This Row],[Quantity]]&gt;0,MAX(0,Cdlac[[#This Row],[Fair Market Rent]]-IF(AND($G$37,$G$38,$G$38&lt;&gt;"",NOT(Cdlac[[#This Row],[Federal]]),Cdlac[[#This Row],[Preservation Rent]]&lt;&gt;""),Cdlac[[#This Row],[Preservation Rent]],Cdlac[[#This Row],[Restricted Rent]])),"")</f>
        <v>280.60000000000036</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53" t="s">
        <v>1574</v>
      </c>
      <c r="D29" s="2654"/>
      <c r="E29" s="1084">
        <f>SUM(E24:E28)</f>
        <v>232</v>
      </c>
      <c r="F29" s="1084">
        <f>SUM(F24:F28)</f>
        <v>232</v>
      </c>
      <c r="G29" s="1085">
        <f>SUMPRODUCT(D24:D28,F24:F28)</f>
        <v>270.25</v>
      </c>
      <c r="H29" s="1069"/>
      <c r="I29" s="1069"/>
      <c r="L29" s="1039">
        <f>IFERROR(MIN(4,MATCH(Application!B735,UnitSizes,0)-1),"")</f>
        <v>3</v>
      </c>
      <c r="M29" s="1060">
        <f>Application!G735</f>
        <v>1</v>
      </c>
      <c r="N29" s="1066">
        <f>Application!AC735</f>
        <v>0.3</v>
      </c>
      <c r="O29" s="1066">
        <f>IF(Cdlac[[#This Row],[Quantity]]&gt;0,IF(Cdlac[[#This Row],[Federal]],30%,IF(AND(OR(NOT($G$38),$G$38=""),$G$43),40%,Cdlac[[#This Row],[iAMI]])),"")</f>
        <v>0.3</v>
      </c>
      <c r="P29" s="1060" cm="1">
        <f t="array" ref="P29">IF(Cdlac[[#This Row],[Quantity]]&gt;0,INDEX(TcacRents,$P$18,Cdlac[[#This Row],[Bedrooms]]+1)*Cdlac[[#This Row],[AMI]],"")</f>
        <v>1566.6</v>
      </c>
      <c r="Q29" s="1157"/>
      <c r="R29" s="1060" cm="1">
        <f t="array" ref="R29">IF(Cdlac[[#This Row],[Quantity]]&gt;0,INDEX(HudFmrs,$P$18,Cdlac[[#This Row],[Bedrooms]]+1),"")</f>
        <v>4477</v>
      </c>
      <c r="S29" s="1060">
        <f>IF(Cdlac[[#This Row],[Quantity]]&gt;0,MAX(0,Cdlac[[#This Row],[Fair Market Rent]]-IF(AND($G$37,$G$38,$G$38&lt;&gt;"",NOT(Cdlac[[#This Row],[Federal]]),Cdlac[[#This Row],[Preservation Rent]]&lt;&gt;""),Cdlac[[#This Row],[Preservation Rent]],Cdlac[[#This Row],[Restricted Rent]])),"")</f>
        <v>2910.4</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22</v>
      </c>
      <c r="N30" s="1066">
        <f>Application!AC736</f>
        <v>0.6</v>
      </c>
      <c r="O30" s="1066">
        <f>IF(Cdlac[[#This Row],[Quantity]]&gt;0,IF(Cdlac[[#This Row],[Federal]],30%,IF(AND(OR(NOT($G$38),$G$38=""),$G$43),40%,Cdlac[[#This Row],[iAMI]])),"")</f>
        <v>0.6</v>
      </c>
      <c r="P30" s="1060" cm="1">
        <f t="array" ref="P30">IF(Cdlac[[#This Row],[Quantity]]&gt;0,INDEX(TcacRents,$P$18,Cdlac[[#This Row],[Bedrooms]]+1)*Cdlac[[#This Row],[AMI]],"")</f>
        <v>3133.2</v>
      </c>
      <c r="Q30" s="1157"/>
      <c r="R30" s="1060" cm="1">
        <f t="array" ref="R30">IF(Cdlac[[#This Row],[Quantity]]&gt;0,INDEX(HudFmrs,$P$18,Cdlac[[#This Row],[Bedrooms]]+1),"")</f>
        <v>4477</v>
      </c>
      <c r="S30" s="1060">
        <f>IF(Cdlac[[#This Row],[Quantity]]&gt;0,MAX(0,Cdlac[[#This Row],[Fair Market Rent]]-IF(AND($G$37,$G$38,$G$38&lt;&gt;"",NOT(Cdlac[[#This Row],[Federal]]),Cdlac[[#This Row],[Preservation Rent]]&lt;&gt;""),Cdlac[[#This Row],[Preservation Rent]],Cdlac[[#This Row],[Restricted Rent]])),"")</f>
        <v>1343.8000000000002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270.25</v>
      </c>
      <c r="H31" s="1069"/>
      <c r="I31" s="1069"/>
      <c r="L31" s="1039">
        <f>IFERROR(MIN(4,MATCH(Application!B737,UnitSizes,0)-1),"")</f>
        <v>3</v>
      </c>
      <c r="M31" s="1060">
        <f>Application!G737</f>
        <v>37</v>
      </c>
      <c r="N31" s="1066">
        <f>Application!AC737</f>
        <v>0.7</v>
      </c>
      <c r="O31" s="1066">
        <f>IF(Cdlac[[#This Row],[Quantity]]&gt;0,IF(Cdlac[[#This Row],[Federal]],30%,IF(AND(OR(NOT($G$38),$G$38=""),$G$43),40%,Cdlac[[#This Row],[iAMI]])),"")</f>
        <v>0.7</v>
      </c>
      <c r="P31" s="1060" cm="1">
        <f t="array" ref="P31">IF(Cdlac[[#This Row],[Quantity]]&gt;0,INDEX(TcacRents,$P$18,Cdlac[[#This Row],[Bedrooms]]+1)*Cdlac[[#This Row],[AMI]],"")</f>
        <v>3655.3999999999996</v>
      </c>
      <c r="Q31" s="1157"/>
      <c r="R31" s="1060" cm="1">
        <f t="array" ref="R31">IF(Cdlac[[#This Row],[Quantity]]&gt;0,INDEX(HudFmrs,$P$18,Cdlac[[#This Row],[Bedrooms]]+1),"")</f>
        <v>4477</v>
      </c>
      <c r="S31" s="1060">
        <f>IF(Cdlac[[#This Row],[Quantity]]&gt;0,MAX(0,Cdlac[[#This Row],[Fair Market Rent]]-IF(AND($G$37,$G$38,$G$38&lt;&gt;"",NOT(Cdlac[[#This Row],[Federal]]),Cdlac[[#This Row],[Preservation Rent]]&lt;&gt;""),Cdlac[[#This Row],[Preservation Rent]],Cdlac[[#This Row],[Restricted Rent]])),"")</f>
        <v>821.60000000000036</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13512500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0.58965517241379306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188927.80000000002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34007004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24</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116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24</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480000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116</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77" t="s">
        <v>1942</v>
      </c>
      <c r="M83" s="2678"/>
      <c r="N83" s="1125">
        <v>30000</v>
      </c>
    </row>
    <row r="84" spans="2:14" ht="15" customHeight="1">
      <c r="C84" s="1072" t="s">
        <v>1954</v>
      </c>
      <c r="G84" s="1076" t="str">
        <f>IF(Application!D211="Large Family","Yes","No")</f>
        <v>Yes</v>
      </c>
      <c r="L84" s="2681" t="s">
        <v>1910</v>
      </c>
      <c r="M84" s="2682"/>
      <c r="N84" s="1126">
        <v>20000</v>
      </c>
    </row>
    <row r="85" spans="2:14" ht="15" customHeight="1" thickBot="1">
      <c r="C85" s="1072" t="s">
        <v>1940</v>
      </c>
      <c r="G85" s="1038" t="s">
        <v>668</v>
      </c>
      <c r="L85" s="2683" t="s">
        <v>1943</v>
      </c>
      <c r="M85" s="2684"/>
      <c r="N85" s="1127">
        <v>10000</v>
      </c>
    </row>
    <row r="86" spans="2:14" ht="15" customHeight="1" thickBot="1">
      <c r="C86" s="1072" t="s">
        <v>1941</v>
      </c>
      <c r="G86" s="1039" t="str">
        <f>Application!T193</f>
        <v>Highest Resource</v>
      </c>
    </row>
    <row r="87" spans="2:14" ht="15" customHeight="1">
      <c r="C87" s="2659" t="s">
        <v>2210</v>
      </c>
      <c r="D87" s="2659"/>
      <c r="E87" s="2659"/>
      <c r="F87" s="2659"/>
      <c r="G87" s="1038" t="s">
        <v>668</v>
      </c>
      <c r="L87" s="1121" t="str">
        <f>'Points System'!H651</f>
        <v>(i)</v>
      </c>
      <c r="M87" s="2679" t="s">
        <v>1396</v>
      </c>
      <c r="N87" s="2680"/>
    </row>
    <row r="88" spans="2:14" ht="15" customHeight="1">
      <c r="C88" s="2659"/>
      <c r="D88" s="2659"/>
      <c r="E88" s="2659"/>
      <c r="F88" s="2659"/>
      <c r="L88" s="1122" t="str">
        <f>'Points System'!H663</f>
        <v>(ii)</v>
      </c>
      <c r="M88" s="2673" t="s">
        <v>1929</v>
      </c>
      <c r="N88" s="2674"/>
    </row>
    <row r="89" spans="2:14" ht="15" customHeight="1">
      <c r="C89" s="1072"/>
      <c r="L89" s="1122" t="str">
        <f>'Points System'!H698</f>
        <v>N/A</v>
      </c>
      <c r="M89" s="2673" t="s">
        <v>1930</v>
      </c>
      <c r="N89" s="2674"/>
    </row>
    <row r="90" spans="2:14" ht="15" customHeight="1">
      <c r="E90" s="1079" t="s">
        <v>1972</v>
      </c>
      <c r="G90" s="1074" t="b">
        <f>OR(AND(COUNTIFS(G84:G85,"Yes")&gt;=1,G83="Yes"),G87="Yes")</f>
        <v>1</v>
      </c>
      <c r="L90" s="1122" t="str">
        <f>IF(OR('Points System'!H722="(ii)",'Points System'!H722="(i)"),"(i)","N/A")</f>
        <v>(i)</v>
      </c>
      <c r="M90" s="2673" t="s">
        <v>1931</v>
      </c>
      <c r="N90" s="2674"/>
    </row>
    <row r="91" spans="2:14" ht="15" customHeight="1">
      <c r="E91" s="1079"/>
      <c r="G91" s="1074"/>
      <c r="L91" s="1123" t="str">
        <f>'Points System'!H736</f>
        <v>N/A</v>
      </c>
      <c r="M91" s="2673" t="s">
        <v>1422</v>
      </c>
      <c r="N91" s="2674"/>
    </row>
    <row r="92" spans="2:14" ht="15" customHeight="1">
      <c r="E92" s="1079" t="s">
        <v>1917</v>
      </c>
      <c r="G92" s="1073">
        <f>IFERROR(IF($G$87="Yes",30000,INDEX(N83:N85,MATCH(LEFT(G86,17),L83:L85,0))),0)</f>
        <v>30000</v>
      </c>
      <c r="L92" s="1122" t="str">
        <f>'Points System'!H748</f>
        <v>N/A</v>
      </c>
      <c r="M92" s="2673" t="s">
        <v>1932</v>
      </c>
      <c r="N92" s="2674"/>
    </row>
    <row r="93" spans="2:14" ht="15" customHeight="1">
      <c r="E93" s="1079" t="str">
        <f>E110</f>
        <v>Bedroom-Adjusted Low-Income Units</v>
      </c>
      <c r="F93" s="1107" t="s">
        <v>1965</v>
      </c>
      <c r="G93" s="1108">
        <f>G29</f>
        <v>270.25</v>
      </c>
      <c r="L93" s="1122" t="str">
        <f>'Points System'!H764</f>
        <v>(i)</v>
      </c>
      <c r="M93" s="2673" t="s">
        <v>1933</v>
      </c>
      <c r="N93" s="2674"/>
    </row>
    <row r="94" spans="2:14" ht="15" customHeight="1" thickBot="1">
      <c r="D94" s="1041"/>
      <c r="E94" s="1112" t="s">
        <v>2213</v>
      </c>
      <c r="F94" s="1041"/>
      <c r="G94" s="1117">
        <f>G93*G92*G90</f>
        <v>8107500</v>
      </c>
      <c r="L94" s="1124" t="str">
        <f>'Points System'!H776</f>
        <v>(ii)</v>
      </c>
      <c r="M94" s="2675" t="s">
        <v>1425</v>
      </c>
      <c r="N94" s="2676"/>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270.25</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270.25</v>
      </c>
    </row>
    <row r="111" spans="2:9" ht="15" customHeight="1">
      <c r="E111" s="1112" t="s">
        <v>1934</v>
      </c>
      <c r="F111" s="1041"/>
      <c r="G111" s="1117">
        <f>G108*G109*G110</f>
        <v>7567000</v>
      </c>
    </row>
    <row r="112" spans="2:9" ht="15" customHeight="1">
      <c r="C112" s="1072"/>
      <c r="G112" s="1108"/>
    </row>
    <row r="113" spans="2:7" ht="15" customHeight="1">
      <c r="E113" s="1079" t="s">
        <v>1970</v>
      </c>
      <c r="G113" s="1108">
        <f>COUNTIFS(L87:L94,"(i)")</f>
        <v>3</v>
      </c>
    </row>
    <row r="114" spans="2:7" ht="15" customHeight="1">
      <c r="E114" s="1079" t="s">
        <v>1917</v>
      </c>
      <c r="F114" s="1107" t="s">
        <v>1965</v>
      </c>
      <c r="G114" s="1118">
        <v>4000</v>
      </c>
    </row>
    <row r="115" spans="2:7" ht="15" customHeight="1">
      <c r="E115" s="1112" t="s">
        <v>1935</v>
      </c>
      <c r="F115" s="1041"/>
      <c r="G115" s="1117">
        <f>G110*G113*G114</f>
        <v>3243000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row>
    <row r="123" spans="2:7">
      <c r="B123" s="1073"/>
      <c r="C123" s="1072"/>
      <c r="E123" s="1079" t="s">
        <v>1972</v>
      </c>
      <c r="G123" s="1074" t="b">
        <f>COUNTIFS(G118:G121,"Yes")&gt;=1</f>
        <v>1</v>
      </c>
    </row>
    <row r="124" spans="2:7">
      <c r="E124" s="1072"/>
    </row>
    <row r="125" spans="2:7" ht="14.4">
      <c r="E125" s="1079" t="s">
        <v>1969</v>
      </c>
      <c r="F125" s="1107" t="s">
        <v>1965</v>
      </c>
      <c r="G125" s="1108">
        <f>G29</f>
        <v>270.25</v>
      </c>
    </row>
    <row r="126" spans="2:7" ht="14.4">
      <c r="E126" s="1079" t="s">
        <v>1917</v>
      </c>
      <c r="F126" s="1107" t="s">
        <v>1965</v>
      </c>
      <c r="G126" s="1118">
        <v>25000</v>
      </c>
    </row>
    <row r="127" spans="2:7">
      <c r="E127" s="1112" t="s">
        <v>1936</v>
      </c>
      <c r="F127" s="1041"/>
      <c r="G127" s="1117">
        <f>G123*G126*G110</f>
        <v>6756250</v>
      </c>
    </row>
    <row r="128" spans="2:7">
      <c r="C128" s="1072"/>
      <c r="E128" s="1072"/>
    </row>
    <row r="129" spans="2:9">
      <c r="E129" s="1112" t="s">
        <v>2215</v>
      </c>
      <c r="G129" s="1117">
        <f>G127+G115+G111</f>
        <v>17566250</v>
      </c>
    </row>
    <row r="131" spans="2:9">
      <c r="B131" s="1061" t="s">
        <v>139</v>
      </c>
      <c r="C131" s="1062"/>
      <c r="D131" s="1062"/>
      <c r="E131" s="1062"/>
      <c r="F131" s="1062"/>
      <c r="G131" s="1062"/>
      <c r="H131" s="1062"/>
      <c r="I131" s="1063"/>
    </row>
    <row r="133" spans="2:9">
      <c r="C133" s="2655" t="s">
        <v>2181</v>
      </c>
      <c r="D133" s="2655"/>
      <c r="E133" s="2655"/>
      <c r="F133" s="2655"/>
    </row>
    <row r="134" spans="2:9">
      <c r="C134" s="2655"/>
      <c r="D134" s="2655"/>
      <c r="E134" s="2655"/>
      <c r="F134" s="2655"/>
      <c r="G134" s="1038" t="s">
        <v>544</v>
      </c>
    </row>
    <row r="135" spans="2:9" ht="14.25" customHeight="1"/>
    <row r="136" spans="2:9">
      <c r="C136" s="1039" t="s">
        <v>2183</v>
      </c>
      <c r="G136" s="2657" t="s">
        <v>2760</v>
      </c>
      <c r="H136" s="2657"/>
    </row>
    <row r="137" spans="2:9">
      <c r="G137" s="2657"/>
      <c r="H137" s="2657"/>
    </row>
    <row r="138" spans="2:9">
      <c r="G138" s="2658"/>
      <c r="H138" s="2658"/>
    </row>
    <row r="140" spans="2:9">
      <c r="C140" s="2655" t="s">
        <v>2593</v>
      </c>
      <c r="D140" s="2655"/>
      <c r="E140" s="2655"/>
      <c r="F140" s="2655"/>
    </row>
    <row r="141" spans="2:9">
      <c r="C141" s="2655"/>
      <c r="D141" s="2655"/>
      <c r="E141" s="2655"/>
      <c r="F141" s="2655"/>
      <c r="G141" s="1038"/>
    </row>
    <row r="142" spans="2:9">
      <c r="C142" s="2655"/>
      <c r="D142" s="2655"/>
      <c r="E142" s="2655"/>
      <c r="F142" s="2655"/>
    </row>
    <row r="144" spans="2:9">
      <c r="C144" s="2655" t="s">
        <v>2592</v>
      </c>
      <c r="D144" s="2655"/>
      <c r="E144" s="2655"/>
      <c r="F144" s="2655"/>
    </row>
    <row r="145" spans="2:9">
      <c r="C145" s="2655"/>
      <c r="D145" s="2655"/>
      <c r="E145" s="2655"/>
      <c r="F145" s="2655"/>
      <c r="G145" s="1038"/>
    </row>
    <row r="146" spans="2:9">
      <c r="C146" s="2655"/>
      <c r="D146" s="2655"/>
      <c r="E146" s="2655"/>
      <c r="F146" s="2655"/>
    </row>
    <row r="147" spans="2:9">
      <c r="C147" s="2655"/>
      <c r="D147" s="2655"/>
      <c r="E147" s="2655"/>
      <c r="F147" s="2655"/>
    </row>
    <row r="149" spans="2:9">
      <c r="B149" s="1061" t="s">
        <v>1974</v>
      </c>
      <c r="C149" s="1062"/>
      <c r="D149" s="1062"/>
      <c r="E149" s="1062"/>
      <c r="F149" s="1062"/>
      <c r="G149" s="1062"/>
      <c r="H149" s="1062"/>
      <c r="I149" s="1063"/>
    </row>
    <row r="151" spans="2:9">
      <c r="E151" s="1079" t="s">
        <v>581</v>
      </c>
      <c r="G151" s="1039" t="str">
        <f>IF(Application!T189="","",Application!T189)</f>
        <v>Santa Clara</v>
      </c>
    </row>
    <row r="152" spans="2:9">
      <c r="E152" s="1079"/>
      <c r="G152" s="1073"/>
    </row>
    <row r="153" spans="2:9">
      <c r="E153" s="1079" t="str">
        <f>"2-Bedroom "&amp;G151&amp;" County Basis Limit"</f>
        <v>2-Bedroom Santa Clara County Basis Limit</v>
      </c>
      <c r="G153" s="1073">
        <f>Application!R997</f>
        <v>740000</v>
      </c>
    </row>
    <row r="154" spans="2:9">
      <c r="E154" s="1079" t="s">
        <v>1973</v>
      </c>
      <c r="G154" s="1073">
        <f>MEDIAN((Application!CU160:CU217))</f>
        <v>560000</v>
      </c>
    </row>
    <row r="155" spans="2:9">
      <c r="D155" s="1041"/>
      <c r="E155" s="1112" t="s">
        <v>1975</v>
      </c>
      <c r="F155" s="1128"/>
      <c r="G155" s="1129">
        <f>((G153-G154)/G154)*0.25</f>
        <v>8.0357142857142863E-2</v>
      </c>
      <c r="H155" s="1037"/>
      <c r="I155" s="1037"/>
    </row>
    <row r="156" spans="2:9">
      <c r="D156" s="1040"/>
      <c r="E156" s="1040"/>
    </row>
    <row r="157" spans="2:9">
      <c r="B157" s="1061" t="s">
        <v>2216</v>
      </c>
      <c r="C157" s="1062"/>
      <c r="D157" s="1062"/>
      <c r="E157" s="1062"/>
      <c r="F157" s="1062"/>
      <c r="G157" s="1062"/>
      <c r="H157" s="1062"/>
      <c r="I157" s="1063"/>
    </row>
    <row r="159" spans="2:9">
      <c r="E159" s="1079" t="s">
        <v>2573</v>
      </c>
      <c r="G159" s="1039" t="b">
        <f>G37</f>
        <v>0</v>
      </c>
    </row>
    <row r="160" spans="2:9">
      <c r="C160" s="2650" t="s">
        <v>2217</v>
      </c>
      <c r="D160" s="2650"/>
      <c r="E160" s="2650"/>
      <c r="F160" s="2650"/>
    </row>
    <row r="161" spans="2:7">
      <c r="B161" s="1040"/>
      <c r="C161" s="2650"/>
      <c r="D161" s="2650"/>
      <c r="E161" s="2650"/>
      <c r="F161" s="2650"/>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8039652.7899817796</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5" t="s">
        <v>908</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3.4">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SRO/Studio</v>
      </c>
      <c r="B4" s="1077">
        <f>Application!G726</f>
        <v>23</v>
      </c>
      <c r="C4" s="1155"/>
      <c r="D4" s="428">
        <f>Application!O726</f>
        <v>987</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41</v>
      </c>
      <c r="C5" s="1155"/>
      <c r="D5" s="428">
        <f>Application!O727</f>
        <v>1690</v>
      </c>
      <c r="E5" s="429"/>
      <c r="F5" s="1078"/>
      <c r="G5" s="428">
        <f t="shared" ref="G5:G38" si="2">F5*B5</f>
        <v>0</v>
      </c>
      <c r="H5" s="429"/>
      <c r="I5" s="428" t="str">
        <f t="shared" si="0"/>
        <v/>
      </c>
      <c r="J5" s="428" t="str">
        <f t="shared" si="1"/>
        <v/>
      </c>
      <c r="K5" s="204"/>
      <c r="L5" s="305"/>
    </row>
    <row r="6" spans="1:12">
      <c r="A6" s="428" t="str">
        <f>Application!B728</f>
        <v>SRO/Studio</v>
      </c>
      <c r="B6" s="1077">
        <f>Application!G728</f>
        <v>1</v>
      </c>
      <c r="C6" s="1155"/>
      <c r="D6" s="428">
        <f>Application!O728</f>
        <v>1690</v>
      </c>
      <c r="E6" s="429"/>
      <c r="F6" s="1078"/>
      <c r="G6" s="428">
        <f t="shared" si="2"/>
        <v>0</v>
      </c>
      <c r="H6" s="429"/>
      <c r="I6" s="428" t="str">
        <f t="shared" si="0"/>
        <v/>
      </c>
      <c r="J6" s="428" t="str">
        <f t="shared" si="1"/>
        <v/>
      </c>
      <c r="K6" s="204"/>
      <c r="L6" s="305"/>
    </row>
    <row r="7" spans="1:12">
      <c r="A7" s="428" t="str">
        <f>Application!B729</f>
        <v>1 Bedroom</v>
      </c>
      <c r="B7" s="1077">
        <f>Application!G729</f>
        <v>5</v>
      </c>
      <c r="C7" s="1155"/>
      <c r="D7" s="428">
        <f>Application!O729</f>
        <v>1804</v>
      </c>
      <c r="E7" s="429"/>
      <c r="F7" s="1078"/>
      <c r="G7" s="428">
        <f t="shared" si="2"/>
        <v>0</v>
      </c>
      <c r="H7" s="429"/>
      <c r="I7" s="428" t="str">
        <f t="shared" si="0"/>
        <v/>
      </c>
      <c r="J7" s="428" t="str">
        <f t="shared" si="1"/>
        <v/>
      </c>
      <c r="K7" s="204"/>
      <c r="L7" s="305"/>
    </row>
    <row r="8" spans="1:12">
      <c r="A8" s="428" t="str">
        <f>Application!B730</f>
        <v>1 Bedroom</v>
      </c>
      <c r="B8" s="1077">
        <f>Application!G730</f>
        <v>25</v>
      </c>
      <c r="C8" s="1155"/>
      <c r="D8" s="428">
        <f>Application!O730</f>
        <v>2181</v>
      </c>
      <c r="E8" s="429"/>
      <c r="F8" s="1078"/>
      <c r="G8" s="428">
        <f t="shared" si="2"/>
        <v>0</v>
      </c>
      <c r="H8" s="429"/>
      <c r="I8" s="428" t="str">
        <f t="shared" si="0"/>
        <v/>
      </c>
      <c r="J8" s="428" t="str">
        <f t="shared" si="1"/>
        <v/>
      </c>
      <c r="K8" s="204"/>
      <c r="L8" s="305"/>
    </row>
    <row r="9" spans="1:12">
      <c r="A9" s="428" t="str">
        <f>Application!B731</f>
        <v>1 Bedroom</v>
      </c>
      <c r="B9" s="1077">
        <f>Application!G731</f>
        <v>18</v>
      </c>
      <c r="C9" s="1155"/>
      <c r="D9" s="428">
        <f>Application!O731</f>
        <v>2181</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t="str">
        <f>Application!B733</f>
        <v>2 Bedrooms</v>
      </c>
      <c r="B11" s="1077">
        <f>Application!G733</f>
        <v>20</v>
      </c>
      <c r="C11" s="1155"/>
      <c r="D11" s="428">
        <f>Application!O733</f>
        <v>2606</v>
      </c>
      <c r="E11" s="429"/>
      <c r="F11" s="1078"/>
      <c r="G11" s="428">
        <f t="shared" si="2"/>
        <v>0</v>
      </c>
      <c r="H11" s="429"/>
      <c r="I11" s="428" t="str">
        <f t="shared" si="0"/>
        <v/>
      </c>
      <c r="J11" s="428" t="str">
        <f t="shared" si="1"/>
        <v/>
      </c>
      <c r="K11" s="204"/>
      <c r="L11" s="305"/>
    </row>
    <row r="12" spans="1:12">
      <c r="A12" s="428" t="str">
        <f>Application!B734</f>
        <v>2 Bedrooms</v>
      </c>
      <c r="B12" s="1077">
        <f>Application!G734</f>
        <v>39</v>
      </c>
      <c r="C12" s="1155"/>
      <c r="D12" s="428">
        <f>Application!O734</f>
        <v>2606</v>
      </c>
      <c r="E12" s="429"/>
      <c r="F12" s="1078"/>
      <c r="G12" s="428">
        <f t="shared" si="2"/>
        <v>0</v>
      </c>
      <c r="H12" s="429"/>
      <c r="I12" s="428" t="str">
        <f t="shared" si="0"/>
        <v/>
      </c>
      <c r="J12" s="428" t="str">
        <f t="shared" si="1"/>
        <v/>
      </c>
      <c r="K12" s="204"/>
      <c r="L12" s="305"/>
    </row>
    <row r="13" spans="1:12">
      <c r="A13" s="428" t="str">
        <f>Application!B735</f>
        <v>3 Bedrooms</v>
      </c>
      <c r="B13" s="1077">
        <f>Application!G735</f>
        <v>1</v>
      </c>
      <c r="C13" s="1155"/>
      <c r="D13" s="428">
        <f>Application!O735</f>
        <v>1430</v>
      </c>
      <c r="E13" s="429"/>
      <c r="F13" s="1078"/>
      <c r="G13" s="428">
        <f t="shared" si="2"/>
        <v>0</v>
      </c>
      <c r="H13" s="429"/>
      <c r="I13" s="428" t="str">
        <f t="shared" si="0"/>
        <v/>
      </c>
      <c r="J13" s="428" t="str">
        <f t="shared" si="1"/>
        <v/>
      </c>
      <c r="K13" s="204"/>
      <c r="L13" s="305"/>
    </row>
    <row r="14" spans="1:12">
      <c r="A14" s="428" t="str">
        <f>Application!B736</f>
        <v>3 Bedrooms</v>
      </c>
      <c r="B14" s="1077">
        <f>Application!G736</f>
        <v>22</v>
      </c>
      <c r="C14" s="1155"/>
      <c r="D14" s="428">
        <f>Application!O736</f>
        <v>2997</v>
      </c>
      <c r="E14" s="429"/>
      <c r="F14" s="1078"/>
      <c r="G14" s="428">
        <f t="shared" si="2"/>
        <v>0</v>
      </c>
      <c r="H14" s="429"/>
      <c r="I14" s="428" t="str">
        <f t="shared" si="0"/>
        <v/>
      </c>
      <c r="J14" s="428" t="str">
        <f t="shared" si="1"/>
        <v/>
      </c>
      <c r="K14" s="204"/>
      <c r="L14" s="305"/>
    </row>
    <row r="15" spans="1:12">
      <c r="A15" s="428" t="str">
        <f>Application!B737</f>
        <v>3 Bedrooms</v>
      </c>
      <c r="B15" s="1077">
        <f>Application!G737</f>
        <v>37</v>
      </c>
      <c r="C15" s="1155"/>
      <c r="D15" s="428">
        <f>Application!O737</f>
        <v>2997</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528491</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2206</v>
      </c>
    </row>
    <row r="43" spans="1:12">
      <c r="A43" s="2686" t="s">
        <v>2427</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2207</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53" sqref="E53"/>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2049</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6341892</v>
      </c>
      <c r="G4" s="219">
        <f>E4*$C$4</f>
        <v>6500439.2999999998</v>
      </c>
      <c r="I4" s="219">
        <f>G4*$C$4</f>
        <v>6662950.2824999988</v>
      </c>
      <c r="K4" s="219">
        <f>I4*$C$4</f>
        <v>6829524.0395624982</v>
      </c>
      <c r="M4" s="219">
        <f>K4*$C$4</f>
        <v>7000262.1405515596</v>
      </c>
      <c r="O4" s="219">
        <f>M4*$C$4</f>
        <v>7175268.6940653482</v>
      </c>
      <c r="Q4" s="219">
        <f>O4*$C$4</f>
        <v>7354650.4114169814</v>
      </c>
      <c r="S4" s="219">
        <f>Q4*$C$4</f>
        <v>7538516.6717024054</v>
      </c>
      <c r="U4" s="219">
        <f>S4*$C$4</f>
        <v>7726979.5884949649</v>
      </c>
      <c r="W4" s="219">
        <f>U4*$C$4</f>
        <v>7920154.0782073382</v>
      </c>
      <c r="Y4" s="219">
        <f>W4*$C$4</f>
        <v>8118157.9301625211</v>
      </c>
      <c r="AA4" s="219">
        <f>Y4*$C$4</f>
        <v>8321111.8784165829</v>
      </c>
      <c r="AC4" s="219">
        <f>AA4*$C$4</f>
        <v>8529139.6753769964</v>
      </c>
      <c r="AE4" s="219">
        <f>AC4*$C$4</f>
        <v>8742368.1672614198</v>
      </c>
      <c r="AG4" s="219">
        <f>AE4*$C$4</f>
        <v>8960927.371442955</v>
      </c>
    </row>
    <row r="5" spans="1:34" s="210" customFormat="1" ht="13.8">
      <c r="B5" s="210" t="s">
        <v>837</v>
      </c>
      <c r="C5" s="238">
        <f>IF(Application!$D$211="Special Needs",(((0.1*Application!$T$212)+(0.05*(1-Application!$T$212)))),0.05)</f>
        <v>0.05</v>
      </c>
      <c r="E5" s="221">
        <f>-E4*$C$5</f>
        <v>-317094.60000000003</v>
      </c>
      <c r="F5" s="221"/>
      <c r="G5" s="221">
        <f>-G4*$C$5</f>
        <v>-325021.96500000003</v>
      </c>
      <c r="H5" s="221"/>
      <c r="I5" s="221">
        <f>-I4*$C$5</f>
        <v>-333147.51412499999</v>
      </c>
      <c r="J5" s="221"/>
      <c r="K5" s="221">
        <f>-K4*$C$5</f>
        <v>-341476.20197812491</v>
      </c>
      <c r="L5" s="221"/>
      <c r="M5" s="221">
        <f>-M4*$C$5</f>
        <v>-350013.10702757799</v>
      </c>
      <c r="N5" s="221"/>
      <c r="O5" s="221">
        <f>-O4*$C$5</f>
        <v>-358763.43470326741</v>
      </c>
      <c r="P5" s="221"/>
      <c r="Q5" s="221">
        <f>-Q4*$C$5</f>
        <v>-367732.52057084907</v>
      </c>
      <c r="R5" s="221"/>
      <c r="S5" s="221">
        <f>-S4*$C$5</f>
        <v>-376925.83358512027</v>
      </c>
      <c r="T5" s="221"/>
      <c r="U5" s="221">
        <f>-U4*$C$5</f>
        <v>-386348.97942474828</v>
      </c>
      <c r="V5" s="221"/>
      <c r="W5" s="221">
        <f>-W4*$C$5</f>
        <v>-396007.70391036692</v>
      </c>
      <c r="X5" s="221"/>
      <c r="Y5" s="221">
        <f>-Y4*$C$5</f>
        <v>-405907.89650812605</v>
      </c>
      <c r="Z5" s="221"/>
      <c r="AA5" s="221">
        <f>-AA4*$C$5</f>
        <v>-416055.59392082918</v>
      </c>
      <c r="AB5" s="221"/>
      <c r="AC5" s="221">
        <f>-AC4*$C$5</f>
        <v>-426456.98376884987</v>
      </c>
      <c r="AD5" s="221"/>
      <c r="AE5" s="221">
        <f>-AE4*$C$5</f>
        <v>-437118.40836307104</v>
      </c>
      <c r="AF5" s="221"/>
      <c r="AG5" s="221">
        <f>-AG4*$C$5</f>
        <v>-448046.3685721478</v>
      </c>
    </row>
    <row r="6" spans="1:34" s="210" customFormat="1" ht="13.8">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30888</v>
      </c>
      <c r="F8" s="222"/>
      <c r="G8" s="222">
        <f>E8*$C$8</f>
        <v>31660.199999999997</v>
      </c>
      <c r="H8" s="222"/>
      <c r="I8" s="222">
        <f>G8*$C$8</f>
        <v>32451.704999999994</v>
      </c>
      <c r="J8" s="222"/>
      <c r="K8" s="222">
        <f>I8*$C$8</f>
        <v>33262.997624999989</v>
      </c>
      <c r="L8" s="222"/>
      <c r="M8" s="222">
        <f>K8*$C$8</f>
        <v>34094.572565624985</v>
      </c>
      <c r="N8" s="222"/>
      <c r="O8" s="222">
        <f>M8*$C$8</f>
        <v>34946.936879765606</v>
      </c>
      <c r="P8" s="222"/>
      <c r="Q8" s="222">
        <f>O8*$C$8</f>
        <v>35820.610301759742</v>
      </c>
      <c r="R8" s="222"/>
      <c r="S8" s="222">
        <f>Q8*$C$8</f>
        <v>36716.125559303735</v>
      </c>
      <c r="T8" s="222"/>
      <c r="U8" s="222">
        <f>S8*$C$8</f>
        <v>37634.028698286325</v>
      </c>
      <c r="V8" s="222"/>
      <c r="W8" s="222">
        <f>U8*$C$8</f>
        <v>38574.879415743482</v>
      </c>
      <c r="X8" s="222"/>
      <c r="Y8" s="222">
        <f>W8*$C$8</f>
        <v>39539.251401137066</v>
      </c>
      <c r="Z8" s="222"/>
      <c r="AA8" s="222">
        <f>Y8*$C$8</f>
        <v>40527.732686165487</v>
      </c>
      <c r="AB8" s="222"/>
      <c r="AC8" s="222">
        <f>AA8*$C$8</f>
        <v>41540.926003319619</v>
      </c>
      <c r="AD8" s="222"/>
      <c r="AE8" s="222">
        <f>AC8*$C$8</f>
        <v>42579.449153402602</v>
      </c>
      <c r="AF8" s="222"/>
      <c r="AG8" s="222">
        <f>AE8*$C$8</f>
        <v>43643.935382237665</v>
      </c>
    </row>
    <row r="9" spans="1:34" s="210" customFormat="1" ht="13.8">
      <c r="B9" s="210" t="s">
        <v>837</v>
      </c>
      <c r="C9" s="238">
        <f>IF(Application!$D$211="Special Needs",(((0.1*Application!$T$212)+(0.05*(1-Application!$T$212)))),0.05)</f>
        <v>0.05</v>
      </c>
      <c r="E9" s="221">
        <f>-E8*$C$9</f>
        <v>-1544.4</v>
      </c>
      <c r="F9" s="221"/>
      <c r="G9" s="221">
        <f>-G8*$C$9</f>
        <v>-1583.01</v>
      </c>
      <c r="H9" s="221"/>
      <c r="I9" s="221">
        <f>-I8*$C$9</f>
        <v>-1622.5852499999999</v>
      </c>
      <c r="J9" s="221"/>
      <c r="K9" s="221">
        <f>-K8*$C$9</f>
        <v>-1663.1498812499995</v>
      </c>
      <c r="L9" s="221"/>
      <c r="M9" s="221">
        <f>-M8*$C$9</f>
        <v>-1704.7286282812493</v>
      </c>
      <c r="N9" s="221"/>
      <c r="O9" s="221">
        <f>-O8*$C$9</f>
        <v>-1747.3468439882804</v>
      </c>
      <c r="P9" s="221"/>
      <c r="Q9" s="221">
        <f>-Q8*$C$9</f>
        <v>-1791.0305150879872</v>
      </c>
      <c r="R9" s="221"/>
      <c r="S9" s="221">
        <f>-S8*$C$9</f>
        <v>-1835.8062779651868</v>
      </c>
      <c r="T9" s="221"/>
      <c r="U9" s="221">
        <f>-U8*$C$9</f>
        <v>-1881.7014349143165</v>
      </c>
      <c r="V9" s="221"/>
      <c r="W9" s="221">
        <f>-W8*$C$9</f>
        <v>-1928.7439707871742</v>
      </c>
      <c r="X9" s="221"/>
      <c r="Y9" s="221">
        <f>-Y8*$C$9</f>
        <v>-1976.9625700568533</v>
      </c>
      <c r="Z9" s="221"/>
      <c r="AA9" s="221">
        <f>-AA8*$C$9</f>
        <v>-2026.3866343082746</v>
      </c>
      <c r="AB9" s="221"/>
      <c r="AC9" s="221">
        <f>-AC8*$C$9</f>
        <v>-2077.0463001659809</v>
      </c>
      <c r="AD9" s="221"/>
      <c r="AE9" s="221">
        <f>-AE8*$C$9</f>
        <v>-2128.9724576701301</v>
      </c>
      <c r="AF9" s="221"/>
      <c r="AG9" s="221">
        <f>-AG8*$C$9</f>
        <v>-2182.1967691118834</v>
      </c>
    </row>
    <row r="10" spans="1:34" s="210" customFormat="1" ht="13.8">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858</v>
      </c>
      <c r="C11" s="216"/>
      <c r="E11" s="223">
        <f>SUM(E4:E10)</f>
        <v>6054141</v>
      </c>
      <c r="G11" s="223">
        <f>SUM(G4:G10)</f>
        <v>6205494.5250000004</v>
      </c>
      <c r="I11" s="223">
        <f>SUM(I4:I10)</f>
        <v>6360631.8881249996</v>
      </c>
      <c r="K11" s="223">
        <f>SUM(K4:K10)</f>
        <v>6519647.6853281232</v>
      </c>
      <c r="M11" s="223">
        <f>SUM(M4:M10)</f>
        <v>6682638.8774613254</v>
      </c>
      <c r="O11" s="223">
        <f>SUM(O4:O10)</f>
        <v>6849704.8493978577</v>
      </c>
      <c r="Q11" s="223">
        <f>SUM(Q4:Q10)</f>
        <v>7020947.4706328046</v>
      </c>
      <c r="S11" s="223">
        <f>SUM(S4:S10)</f>
        <v>7196471.1573986234</v>
      </c>
      <c r="U11" s="223">
        <f>SUM(U4:U10)</f>
        <v>7376382.9363335883</v>
      </c>
      <c r="W11" s="223">
        <f>SUM(W4:W10)</f>
        <v>7560792.5097419275</v>
      </c>
      <c r="Y11" s="223">
        <f>SUM(Y4:Y10)</f>
        <v>7749812.3224854749</v>
      </c>
      <c r="AA11" s="223">
        <f>SUM(AA4:AA10)</f>
        <v>7943557.630547612</v>
      </c>
      <c r="AC11" s="223">
        <f>SUM(AC4:AC10)</f>
        <v>8142146.5713112997</v>
      </c>
      <c r="AE11" s="223">
        <f>SUM(AE4:AE10)</f>
        <v>8345700.2355940817</v>
      </c>
      <c r="AG11" s="223">
        <f>SUM(AG4:AG10)</f>
        <v>8554342.7414839324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221833.16</v>
      </c>
      <c r="G15" s="219">
        <f>E15*$C$14</f>
        <v>229597.32059999998</v>
      </c>
      <c r="I15" s="219">
        <f>G15*$C$14</f>
        <v>237633.22682099996</v>
      </c>
      <c r="K15" s="219">
        <f>I15*$C$14</f>
        <v>245950.38975973494</v>
      </c>
      <c r="M15" s="219">
        <f>K15*$C$14</f>
        <v>254558.65340132563</v>
      </c>
      <c r="O15" s="219">
        <f>M15*$C$14</f>
        <v>263468.20627037203</v>
      </c>
      <c r="Q15" s="219">
        <f>O15*$C$14</f>
        <v>272689.59348983504</v>
      </c>
      <c r="S15" s="219">
        <f>Q15*$C$14</f>
        <v>282233.72926197923</v>
      </c>
      <c r="U15" s="219">
        <f>S15*$C$14</f>
        <v>292111.90978614846</v>
      </c>
      <c r="W15" s="219">
        <f>U15*$C$14</f>
        <v>302335.82662866364</v>
      </c>
      <c r="Y15" s="219">
        <f>W15*$C$14</f>
        <v>312917.58056066686</v>
      </c>
      <c r="AA15" s="219">
        <f>Y15*$C$14</f>
        <v>323869.69588029018</v>
      </c>
      <c r="AC15" s="219">
        <f>AA15*$C$14</f>
        <v>335205.13523610029</v>
      </c>
      <c r="AE15" s="219">
        <f>AC15*$C$14</f>
        <v>346937.3149693638</v>
      </c>
      <c r="AG15" s="219">
        <f>AE15*$C$14</f>
        <v>359080.12099329149</v>
      </c>
    </row>
    <row r="16" spans="1:34" s="210" customFormat="1" ht="13.8">
      <c r="A16" s="210" t="s">
        <v>343</v>
      </c>
      <c r="C16" s="233"/>
      <c r="E16" s="222">
        <f>Application!W857</f>
        <v>196560</v>
      </c>
      <c r="F16" s="222"/>
      <c r="G16" s="222">
        <f t="shared" ref="G16:AG21" si="0">E16*$C$14</f>
        <v>203439.59999999998</v>
      </c>
      <c r="H16" s="222"/>
      <c r="I16" s="222">
        <f t="shared" si="0"/>
        <v>210559.98599999995</v>
      </c>
      <c r="J16" s="222"/>
      <c r="K16" s="222">
        <f t="shared" si="0"/>
        <v>217929.58550999992</v>
      </c>
      <c r="L16" s="222"/>
      <c r="M16" s="222">
        <f t="shared" si="0"/>
        <v>225557.12100284989</v>
      </c>
      <c r="N16" s="222"/>
      <c r="O16" s="222">
        <f t="shared" si="0"/>
        <v>233451.62023794962</v>
      </c>
      <c r="P16" s="222"/>
      <c r="Q16" s="222">
        <f t="shared" si="0"/>
        <v>241622.42694627785</v>
      </c>
      <c r="R16" s="222"/>
      <c r="S16" s="222">
        <f t="shared" si="0"/>
        <v>250079.21188939756</v>
      </c>
      <c r="T16" s="222"/>
      <c r="U16" s="222">
        <f t="shared" si="0"/>
        <v>258831.98430552645</v>
      </c>
      <c r="V16" s="222"/>
      <c r="W16" s="222">
        <f t="shared" si="0"/>
        <v>267891.10375621985</v>
      </c>
      <c r="X16" s="222"/>
      <c r="Y16" s="222">
        <f t="shared" si="0"/>
        <v>277267.29238768754</v>
      </c>
      <c r="Z16" s="222"/>
      <c r="AA16" s="222">
        <f t="shared" si="0"/>
        <v>286971.64762125659</v>
      </c>
      <c r="AB16" s="222"/>
      <c r="AC16" s="222">
        <f t="shared" si="0"/>
        <v>297015.65528800053</v>
      </c>
      <c r="AD16" s="222"/>
      <c r="AE16" s="222">
        <f t="shared" si="0"/>
        <v>307411.20322308055</v>
      </c>
      <c r="AF16" s="222"/>
      <c r="AG16" s="222">
        <f t="shared" si="0"/>
        <v>318170.59533588833</v>
      </c>
    </row>
    <row r="17" spans="1:33" s="210" customFormat="1" ht="13.8">
      <c r="A17" s="210" t="s">
        <v>560</v>
      </c>
      <c r="C17" s="233"/>
      <c r="E17" s="222">
        <f>Application!W863</f>
        <v>573904</v>
      </c>
      <c r="F17" s="222"/>
      <c r="G17" s="222">
        <f t="shared" si="0"/>
        <v>593990.6399999999</v>
      </c>
      <c r="H17" s="222"/>
      <c r="I17" s="222">
        <f t="shared" si="0"/>
        <v>614780.31239999982</v>
      </c>
      <c r="J17" s="222"/>
      <c r="K17" s="222">
        <f t="shared" si="0"/>
        <v>636297.62333399977</v>
      </c>
      <c r="L17" s="222"/>
      <c r="M17" s="222">
        <f t="shared" si="0"/>
        <v>658568.04015068966</v>
      </c>
      <c r="N17" s="222"/>
      <c r="O17" s="222">
        <f t="shared" si="0"/>
        <v>681617.92155596369</v>
      </c>
      <c r="P17" s="222"/>
      <c r="Q17" s="222">
        <f t="shared" si="0"/>
        <v>705474.54881042242</v>
      </c>
      <c r="R17" s="222"/>
      <c r="S17" s="222">
        <f t="shared" si="0"/>
        <v>730166.15801878716</v>
      </c>
      <c r="T17" s="222"/>
      <c r="U17" s="222">
        <f t="shared" si="0"/>
        <v>755721.97354944469</v>
      </c>
      <c r="V17" s="222"/>
      <c r="W17" s="222">
        <f t="shared" si="0"/>
        <v>782172.24262367515</v>
      </c>
      <c r="X17" s="222"/>
      <c r="Y17" s="222">
        <f t="shared" si="0"/>
        <v>809548.27111550374</v>
      </c>
      <c r="Z17" s="222"/>
      <c r="AA17" s="222">
        <f t="shared" si="0"/>
        <v>837882.46060454636</v>
      </c>
      <c r="AB17" s="222"/>
      <c r="AC17" s="222">
        <f t="shared" si="0"/>
        <v>867208.34672570543</v>
      </c>
      <c r="AD17" s="222"/>
      <c r="AE17" s="222">
        <f t="shared" si="0"/>
        <v>897560.63886110508</v>
      </c>
      <c r="AF17" s="222"/>
      <c r="AG17" s="222">
        <f t="shared" si="0"/>
        <v>928975.26122124365</v>
      </c>
    </row>
    <row r="18" spans="1:33" s="210" customFormat="1" ht="13.8">
      <c r="A18" s="210" t="s">
        <v>841</v>
      </c>
      <c r="C18" s="233"/>
      <c r="E18" s="222">
        <f>Application!W870</f>
        <v>452135.30240000004</v>
      </c>
      <c r="F18" s="222"/>
      <c r="G18" s="222">
        <f t="shared" si="0"/>
        <v>467960.037984</v>
      </c>
      <c r="H18" s="222"/>
      <c r="I18" s="222">
        <f t="shared" si="0"/>
        <v>484338.63931343996</v>
      </c>
      <c r="J18" s="222"/>
      <c r="K18" s="222">
        <f t="shared" si="0"/>
        <v>501290.49168941029</v>
      </c>
      <c r="L18" s="222"/>
      <c r="M18" s="222">
        <f t="shared" si="0"/>
        <v>518835.65889853961</v>
      </c>
      <c r="N18" s="222"/>
      <c r="O18" s="222">
        <f t="shared" si="0"/>
        <v>536994.90695998841</v>
      </c>
      <c r="P18" s="222"/>
      <c r="Q18" s="222">
        <f t="shared" si="0"/>
        <v>555789.72870358801</v>
      </c>
      <c r="R18" s="222"/>
      <c r="S18" s="222">
        <f t="shared" si="0"/>
        <v>575242.36920821352</v>
      </c>
      <c r="T18" s="222"/>
      <c r="U18" s="222">
        <f t="shared" si="0"/>
        <v>595375.85213050095</v>
      </c>
      <c r="V18" s="222"/>
      <c r="W18" s="222">
        <f t="shared" si="0"/>
        <v>616214.00695506844</v>
      </c>
      <c r="X18" s="222"/>
      <c r="Y18" s="222">
        <f t="shared" si="0"/>
        <v>637781.49719849578</v>
      </c>
      <c r="Z18" s="222"/>
      <c r="AA18" s="222">
        <f t="shared" si="0"/>
        <v>660103.84960044303</v>
      </c>
      <c r="AB18" s="222"/>
      <c r="AC18" s="222">
        <f t="shared" si="0"/>
        <v>683207.4843364585</v>
      </c>
      <c r="AD18" s="222"/>
      <c r="AE18" s="222">
        <f t="shared" si="0"/>
        <v>707119.74628823448</v>
      </c>
      <c r="AF18" s="222"/>
      <c r="AG18" s="222">
        <f t="shared" si="0"/>
        <v>731868.93740832258</v>
      </c>
    </row>
    <row r="19" spans="1:33" s="210" customFormat="1" ht="13.8">
      <c r="A19" s="210" t="s">
        <v>155</v>
      </c>
      <c r="C19" s="233"/>
      <c r="E19" s="222">
        <f>Application!W872</f>
        <v>346586.98533120006</v>
      </c>
      <c r="F19" s="222"/>
      <c r="G19" s="222">
        <f t="shared" si="0"/>
        <v>358717.52981779206</v>
      </c>
      <c r="H19" s="222"/>
      <c r="I19" s="222">
        <f t="shared" si="0"/>
        <v>371272.64336141478</v>
      </c>
      <c r="J19" s="222"/>
      <c r="K19" s="222">
        <f t="shared" si="0"/>
        <v>384267.18587906426</v>
      </c>
      <c r="L19" s="222"/>
      <c r="M19" s="222">
        <f t="shared" si="0"/>
        <v>397716.53738483146</v>
      </c>
      <c r="N19" s="222"/>
      <c r="O19" s="222">
        <f t="shared" si="0"/>
        <v>411636.61619330052</v>
      </c>
      <c r="P19" s="222"/>
      <c r="Q19" s="222">
        <f t="shared" si="0"/>
        <v>426043.89776006603</v>
      </c>
      <c r="R19" s="222"/>
      <c r="S19" s="222">
        <f t="shared" si="0"/>
        <v>440955.43418166833</v>
      </c>
      <c r="T19" s="222"/>
      <c r="U19" s="222">
        <f t="shared" si="0"/>
        <v>456388.8743780267</v>
      </c>
      <c r="V19" s="222"/>
      <c r="W19" s="222">
        <f t="shared" si="0"/>
        <v>472362.48498125758</v>
      </c>
      <c r="X19" s="222"/>
      <c r="Y19" s="222">
        <f t="shared" si="0"/>
        <v>488895.17195560155</v>
      </c>
      <c r="Z19" s="222"/>
      <c r="AA19" s="222">
        <f t="shared" si="0"/>
        <v>506006.50297404756</v>
      </c>
      <c r="AB19" s="222"/>
      <c r="AC19" s="222">
        <f t="shared" si="0"/>
        <v>523716.73057813919</v>
      </c>
      <c r="AD19" s="222"/>
      <c r="AE19" s="222">
        <f t="shared" si="0"/>
        <v>542046.816148374</v>
      </c>
      <c r="AF19" s="222"/>
      <c r="AG19" s="222">
        <f t="shared" si="0"/>
        <v>561018.45471356704</v>
      </c>
    </row>
    <row r="20" spans="1:33" s="210" customFormat="1" ht="13.8">
      <c r="A20" s="210" t="s">
        <v>389</v>
      </c>
      <c r="C20" s="233"/>
      <c r="E20" s="222">
        <f>Application!W881</f>
        <v>249900</v>
      </c>
      <c r="F20" s="222"/>
      <c r="G20" s="222">
        <f t="shared" si="0"/>
        <v>258646.49999999997</v>
      </c>
      <c r="H20" s="222"/>
      <c r="I20" s="222">
        <f t="shared" si="0"/>
        <v>267699.12749999994</v>
      </c>
      <c r="J20" s="222"/>
      <c r="K20" s="222">
        <f t="shared" si="0"/>
        <v>277068.5969624999</v>
      </c>
      <c r="L20" s="222"/>
      <c r="M20" s="222">
        <f t="shared" si="0"/>
        <v>286765.99785618734</v>
      </c>
      <c r="N20" s="222"/>
      <c r="O20" s="222">
        <f t="shared" si="0"/>
        <v>296802.80778115388</v>
      </c>
      <c r="P20" s="222"/>
      <c r="Q20" s="222">
        <f t="shared" si="0"/>
        <v>307190.90605349425</v>
      </c>
      <c r="R20" s="222"/>
      <c r="S20" s="222">
        <f t="shared" si="0"/>
        <v>317942.58776536654</v>
      </c>
      <c r="T20" s="222"/>
      <c r="U20" s="222">
        <f t="shared" si="0"/>
        <v>329070.57833715435</v>
      </c>
      <c r="V20" s="222"/>
      <c r="W20" s="222">
        <f t="shared" si="0"/>
        <v>340588.04857895471</v>
      </c>
      <c r="X20" s="222"/>
      <c r="Y20" s="222">
        <f t="shared" si="0"/>
        <v>352508.63027921808</v>
      </c>
      <c r="Z20" s="222"/>
      <c r="AA20" s="222">
        <f t="shared" si="0"/>
        <v>364846.43233899068</v>
      </c>
      <c r="AB20" s="222"/>
      <c r="AC20" s="222">
        <f t="shared" si="0"/>
        <v>377616.0574708553</v>
      </c>
      <c r="AD20" s="222"/>
      <c r="AE20" s="222">
        <f t="shared" si="0"/>
        <v>390832.61948233523</v>
      </c>
      <c r="AF20" s="222"/>
      <c r="AG20" s="222">
        <f t="shared" si="0"/>
        <v>404511.76116421691</v>
      </c>
    </row>
    <row r="21" spans="1:33" s="210" customFormat="1" ht="13.8">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842</v>
      </c>
      <c r="C22" s="233"/>
      <c r="E22" s="223">
        <f>SUM(E15:E21)</f>
        <v>2040919.4477312001</v>
      </c>
      <c r="G22" s="223">
        <f>SUM(G15:G21)</f>
        <v>2112351.6284017917</v>
      </c>
      <c r="I22" s="223">
        <f>SUM(I15:I21)</f>
        <v>2186283.9353958545</v>
      </c>
      <c r="K22" s="223">
        <f>SUM(K15:K21)</f>
        <v>2262803.873134709</v>
      </c>
      <c r="M22" s="223">
        <f>SUM(M15:M21)</f>
        <v>2342002.0086944234</v>
      </c>
      <c r="O22" s="223">
        <f>SUM(O15:O21)</f>
        <v>2423972.0789987282</v>
      </c>
      <c r="Q22" s="223">
        <f>SUM(Q15:Q21)</f>
        <v>2508811.1017636834</v>
      </c>
      <c r="S22" s="223">
        <f>SUM(S15:S21)</f>
        <v>2596619.4903254127</v>
      </c>
      <c r="U22" s="223">
        <f>SUM(U15:U21)</f>
        <v>2687501.1724868016</v>
      </c>
      <c r="W22" s="223">
        <f>SUM(W15:W21)</f>
        <v>2781563.7135238391</v>
      </c>
      <c r="Y22" s="223">
        <f>SUM(Y15:Y21)</f>
        <v>2878918.4434971735</v>
      </c>
      <c r="AA22" s="223">
        <f>SUM(AA15:AA21)</f>
        <v>2979680.5890195747</v>
      </c>
      <c r="AC22" s="223">
        <f>SUM(AC15:AC21)</f>
        <v>3083969.4096352598</v>
      </c>
      <c r="AE22" s="223">
        <f>SUM(AE15:AE21)</f>
        <v>3191908.3389724926</v>
      </c>
      <c r="AG22" s="223">
        <f>SUM(AG15:AG21)</f>
        <v>3303625.1308365301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Application!AC897</f>
        <v>119556</v>
      </c>
      <c r="F27" s="222"/>
      <c r="G27" s="222">
        <f>E27*$C$27</f>
        <v>123740.45999999999</v>
      </c>
      <c r="H27" s="222"/>
      <c r="I27" s="222">
        <f>G27*$C$27</f>
        <v>128071.37609999998</v>
      </c>
      <c r="J27" s="222"/>
      <c r="K27" s="222">
        <f>I27*$C$27</f>
        <v>132553.87426349998</v>
      </c>
      <c r="L27" s="222"/>
      <c r="M27" s="222">
        <f>K27*$C$27</f>
        <v>137193.25986272248</v>
      </c>
      <c r="N27" s="222"/>
      <c r="O27" s="222">
        <f>M27*$C$27</f>
        <v>141995.02395791776</v>
      </c>
      <c r="P27" s="222"/>
      <c r="Q27" s="222">
        <f>O27*$C$27</f>
        <v>146964.84979644488</v>
      </c>
      <c r="R27" s="222"/>
      <c r="S27" s="222">
        <f>Q27*$C$27</f>
        <v>152108.61953932044</v>
      </c>
      <c r="T27" s="222"/>
      <c r="U27" s="222">
        <f>S27*$C$27</f>
        <v>157432.42122319664</v>
      </c>
      <c r="V27" s="222"/>
      <c r="W27" s="222">
        <f>U27*$C$27</f>
        <v>162942.55596600851</v>
      </c>
      <c r="X27" s="222"/>
      <c r="Y27" s="222">
        <f>W27*$C$27</f>
        <v>168645.54542481879</v>
      </c>
      <c r="Z27" s="222"/>
      <c r="AA27" s="222">
        <f>Y27*$C$27</f>
        <v>174548.13951468744</v>
      </c>
      <c r="AB27" s="222"/>
      <c r="AC27" s="222">
        <f>AA27*$C$27</f>
        <v>180657.32439770148</v>
      </c>
      <c r="AD27" s="222"/>
      <c r="AE27" s="222">
        <f>AC27*$C$27</f>
        <v>186980.33075162102</v>
      </c>
      <c r="AF27" s="222"/>
      <c r="AG27" s="222">
        <f>AE27*$C$27</f>
        <v>193524.64232792775</v>
      </c>
    </row>
    <row r="28" spans="1:33" s="210" customFormat="1" ht="13.8">
      <c r="A28" s="210" t="s">
        <v>845</v>
      </c>
      <c r="C28" s="237"/>
      <c r="E28" s="222">
        <f>Application!AC898</f>
        <v>70200</v>
      </c>
      <c r="F28" s="222"/>
      <c r="G28" s="222">
        <f>$E$28</f>
        <v>70200</v>
      </c>
      <c r="H28" s="222"/>
      <c r="I28" s="222">
        <f>$E$28</f>
        <v>70200</v>
      </c>
      <c r="J28" s="222"/>
      <c r="K28" s="222">
        <f>$E$28</f>
        <v>70200</v>
      </c>
      <c r="L28" s="222"/>
      <c r="M28" s="222">
        <f>$E$28</f>
        <v>70200</v>
      </c>
      <c r="N28" s="222"/>
      <c r="O28" s="222">
        <f>$E$28</f>
        <v>70200</v>
      </c>
      <c r="P28" s="222"/>
      <c r="Q28" s="222">
        <f>$E$28</f>
        <v>70200</v>
      </c>
      <c r="R28" s="222"/>
      <c r="S28" s="222">
        <f>$E$28</f>
        <v>70200</v>
      </c>
      <c r="T28" s="222"/>
      <c r="U28" s="222">
        <f>$E$28</f>
        <v>70200</v>
      </c>
      <c r="V28" s="222"/>
      <c r="W28" s="222">
        <f>$E$28</f>
        <v>70200</v>
      </c>
      <c r="X28" s="222"/>
      <c r="Y28" s="222">
        <f>$E$28</f>
        <v>70200</v>
      </c>
      <c r="Z28" s="222"/>
      <c r="AA28" s="222">
        <f>$E$28</f>
        <v>70200</v>
      </c>
      <c r="AB28" s="222"/>
      <c r="AC28" s="222">
        <f>$E$28</f>
        <v>70200</v>
      </c>
      <c r="AD28" s="222"/>
      <c r="AE28" s="222">
        <f>$E$28</f>
        <v>70200</v>
      </c>
      <c r="AF28" s="222"/>
      <c r="AG28" s="222">
        <f>$E$28</f>
        <v>70200</v>
      </c>
    </row>
    <row r="29" spans="1:33" s="210" customFormat="1" ht="13.8">
      <c r="A29" s="210" t="s">
        <v>1668</v>
      </c>
      <c r="C29" s="237"/>
      <c r="E29" s="222">
        <f>Application!AC899</f>
        <v>24393.9</v>
      </c>
      <c r="F29" s="222"/>
      <c r="G29" s="222">
        <f>$E$29</f>
        <v>24393.9</v>
      </c>
      <c r="H29" s="222"/>
      <c r="I29" s="222">
        <f>$E$29</f>
        <v>24393.9</v>
      </c>
      <c r="J29" s="222"/>
      <c r="K29" s="222">
        <f>$E$29</f>
        <v>24393.9</v>
      </c>
      <c r="L29" s="222"/>
      <c r="M29" s="222">
        <f>$E$29</f>
        <v>24393.9</v>
      </c>
      <c r="N29" s="222"/>
      <c r="O29" s="222">
        <f>$E$29</f>
        <v>24393.9</v>
      </c>
      <c r="P29" s="222"/>
      <c r="Q29" s="222">
        <f>$E$29</f>
        <v>24393.9</v>
      </c>
      <c r="R29" s="222"/>
      <c r="S29" s="222">
        <f>$E$29</f>
        <v>24393.9</v>
      </c>
      <c r="T29" s="222"/>
      <c r="U29" s="222">
        <f>$E$29</f>
        <v>24393.9</v>
      </c>
      <c r="V29" s="222"/>
      <c r="W29" s="222">
        <f>$E$29</f>
        <v>24393.9</v>
      </c>
      <c r="X29" s="222"/>
      <c r="Y29" s="222">
        <f>$E$29</f>
        <v>24393.9</v>
      </c>
      <c r="Z29" s="222"/>
      <c r="AA29" s="222">
        <f>$E$29</f>
        <v>24393.9</v>
      </c>
      <c r="AB29" s="222"/>
      <c r="AC29" s="222">
        <f>$E$29</f>
        <v>24393.9</v>
      </c>
      <c r="AD29" s="222"/>
      <c r="AE29" s="222">
        <f>$E$29</f>
        <v>24393.9</v>
      </c>
      <c r="AF29" s="222"/>
      <c r="AG29" s="222">
        <f>$E$29</f>
        <v>24393.9</v>
      </c>
    </row>
    <row r="30" spans="1:33" s="210" customFormat="1" ht="13.8">
      <c r="A30" s="210" t="s">
        <v>843</v>
      </c>
      <c r="C30" s="237">
        <v>1.02</v>
      </c>
      <c r="E30" s="222">
        <f>Application!AC900</f>
        <v>4900</v>
      </c>
      <c r="F30" s="222"/>
      <c r="G30" s="222">
        <f>E30*$C$30</f>
        <v>4998</v>
      </c>
      <c r="H30" s="222"/>
      <c r="I30" s="222">
        <f>G30*$C$30</f>
        <v>5097.96</v>
      </c>
      <c r="J30" s="222"/>
      <c r="K30" s="222">
        <f>I30*$C$30</f>
        <v>5199.9192000000003</v>
      </c>
      <c r="L30" s="222"/>
      <c r="M30" s="222">
        <f>K30*$C$30</f>
        <v>5303.9175840000007</v>
      </c>
      <c r="N30" s="222"/>
      <c r="O30" s="222">
        <f>M30*$C$30</f>
        <v>5409.9959356800009</v>
      </c>
      <c r="P30" s="222"/>
      <c r="Q30" s="222">
        <f>O30*$C$30</f>
        <v>5518.1958543936007</v>
      </c>
      <c r="R30" s="222"/>
      <c r="S30" s="222">
        <f>Q30*$C$30</f>
        <v>5628.559771481473</v>
      </c>
      <c r="T30" s="222"/>
      <c r="U30" s="222">
        <f>S30*$C$30</f>
        <v>5741.1309669111024</v>
      </c>
      <c r="V30" s="222"/>
      <c r="W30" s="222">
        <f>U30*$C$30</f>
        <v>5855.9535862493249</v>
      </c>
      <c r="X30" s="222"/>
      <c r="Y30" s="222">
        <f>W30*$C$30</f>
        <v>5973.0726579743114</v>
      </c>
      <c r="Z30" s="222"/>
      <c r="AA30" s="222">
        <f>Y30*$C$30</f>
        <v>6092.5341111337975</v>
      </c>
      <c r="AB30" s="222"/>
      <c r="AC30" s="222">
        <f>AA30*$C$30</f>
        <v>6214.3847933564739</v>
      </c>
      <c r="AD30" s="222"/>
      <c r="AE30" s="222">
        <f>AC30*$C$30</f>
        <v>6338.6724892236034</v>
      </c>
      <c r="AF30" s="222"/>
      <c r="AG30" s="222">
        <f>AE30*$C$30</f>
        <v>6465.4459390080756</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2259969.3477312</v>
      </c>
      <c r="G35" s="223">
        <f>SUM(G22:G33)</f>
        <v>2335683.9884017915</v>
      </c>
      <c r="I35" s="223">
        <f>SUM(I22:I33)</f>
        <v>2414047.1714958544</v>
      </c>
      <c r="K35" s="223">
        <f>SUM(K22:K33)</f>
        <v>2495151.5665982086</v>
      </c>
      <c r="M35" s="223">
        <f>SUM(M22:M33)</f>
        <v>2579093.0861411458</v>
      </c>
      <c r="O35" s="223">
        <f>SUM(O22:O33)</f>
        <v>2665970.9988923259</v>
      </c>
      <c r="Q35" s="223">
        <f>SUM(Q22:Q33)</f>
        <v>2755888.0474145222</v>
      </c>
      <c r="S35" s="223">
        <f>SUM(S22:S33)</f>
        <v>2848950.5696362145</v>
      </c>
      <c r="U35" s="223">
        <f>SUM(U22:U33)</f>
        <v>2945268.6246769093</v>
      </c>
      <c r="W35" s="223">
        <f>SUM(W22:W33)</f>
        <v>3044956.1230760966</v>
      </c>
      <c r="Y35" s="223">
        <f>SUM(Y22:Y33)</f>
        <v>3148130.9615799668</v>
      </c>
      <c r="AA35" s="223">
        <f>SUM(AA22:AA33)</f>
        <v>3254915.1626453958</v>
      </c>
      <c r="AC35" s="223">
        <f>SUM(AC22:AC33)</f>
        <v>3365435.0188263175</v>
      </c>
      <c r="AE35" s="223">
        <f>SUM(AE22:AE33)</f>
        <v>3479821.2422133372</v>
      </c>
      <c r="AG35" s="223">
        <f>SUM(AG22:AG33)</f>
        <v>3598209.1191034657</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3794171.6522688</v>
      </c>
      <c r="G37" s="223">
        <f>G11-G35</f>
        <v>3869810.5365982088</v>
      </c>
      <c r="I37" s="223">
        <f>I11-I35</f>
        <v>3946584.7166291452</v>
      </c>
      <c r="K37" s="223">
        <f>K11-K35</f>
        <v>4024496.1187299145</v>
      </c>
      <c r="M37" s="223">
        <f>M11-M35</f>
        <v>4103545.7913201796</v>
      </c>
      <c r="O37" s="223">
        <f>O11-O35</f>
        <v>4183733.8505055318</v>
      </c>
      <c r="Q37" s="223">
        <f>Q11-Q35</f>
        <v>4265059.4232182819</v>
      </c>
      <c r="S37" s="223">
        <f>S11-S35</f>
        <v>4347520.5877624089</v>
      </c>
      <c r="U37" s="223">
        <f>U11-U35</f>
        <v>4431114.311656679</v>
      </c>
      <c r="W37" s="223">
        <f>W11-W35</f>
        <v>4515836.3866658304</v>
      </c>
      <c r="Y37" s="223">
        <f>Y11-Y35</f>
        <v>4601681.3609055076</v>
      </c>
      <c r="AA37" s="223">
        <f>AA11-AA35</f>
        <v>4688642.4679022161</v>
      </c>
      <c r="AC37" s="223">
        <f>AC11-AC35</f>
        <v>4776711.5524849817</v>
      </c>
      <c r="AE37" s="223">
        <f>AE11-AE35</f>
        <v>4865878.993380744</v>
      </c>
      <c r="AG37" s="223">
        <f>AG11-AG35</f>
        <v>4956133.6223804671</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JPMorgan Chase Bank</v>
      </c>
      <c r="B40" s="226"/>
      <c r="C40" s="220"/>
      <c r="E40" s="222">
        <f>Application!AF635</f>
        <v>3298972.5229257531</v>
      </c>
      <c r="F40" s="222"/>
      <c r="G40" s="222">
        <f>$E$40</f>
        <v>3298972.5229257531</v>
      </c>
      <c r="H40" s="222"/>
      <c r="I40" s="222">
        <f>$E$40</f>
        <v>3298972.5229257531</v>
      </c>
      <c r="J40" s="222"/>
      <c r="K40" s="222">
        <f>$E$40</f>
        <v>3298972.5229257531</v>
      </c>
      <c r="L40" s="222"/>
      <c r="M40" s="222">
        <f>$E$40</f>
        <v>3298972.5229257531</v>
      </c>
      <c r="N40" s="222"/>
      <c r="O40" s="222">
        <f>$E$40</f>
        <v>3298972.5229257531</v>
      </c>
      <c r="P40" s="222"/>
      <c r="Q40" s="222">
        <f>$E$40</f>
        <v>3298972.5229257531</v>
      </c>
      <c r="R40" s="222"/>
      <c r="S40" s="222">
        <f>$E$40</f>
        <v>3298972.5229257531</v>
      </c>
      <c r="T40" s="222"/>
      <c r="U40" s="222">
        <f>$E$40</f>
        <v>3298972.5229257531</v>
      </c>
      <c r="V40" s="222"/>
      <c r="W40" s="222">
        <f>$E$40</f>
        <v>3298972.5229257531</v>
      </c>
      <c r="X40" s="222"/>
      <c r="Y40" s="222">
        <f>$E$40</f>
        <v>3298972.5229257531</v>
      </c>
      <c r="Z40" s="222"/>
      <c r="AA40" s="222">
        <f>$E$40</f>
        <v>3298972.5229257531</v>
      </c>
      <c r="AB40" s="222"/>
      <c r="AC40" s="222">
        <f>$E$40</f>
        <v>3298972.5229257531</v>
      </c>
      <c r="AD40" s="222"/>
      <c r="AE40" s="222">
        <f>$E$40</f>
        <v>3298972.5229257531</v>
      </c>
      <c r="AF40" s="222"/>
      <c r="AG40" s="222">
        <f>$E$40</f>
        <v>3298972.5229257531</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SUM(E40:E42)</f>
        <v>3298972.5229257531</v>
      </c>
      <c r="G43" s="223">
        <f>SUM(G40:G42)</f>
        <v>3298972.5229257531</v>
      </c>
      <c r="I43" s="223">
        <f>SUM(I40:I42)</f>
        <v>3298972.5229257531</v>
      </c>
      <c r="K43" s="223">
        <f>SUM(K40:K42)</f>
        <v>3298972.5229257531</v>
      </c>
      <c r="M43" s="223">
        <f>SUM(M40:M42)</f>
        <v>3298972.5229257531</v>
      </c>
      <c r="O43" s="223">
        <f>SUM(O40:O42)</f>
        <v>3298972.5229257531</v>
      </c>
      <c r="Q43" s="223">
        <f>SUM(Q40:Q42)</f>
        <v>3298972.5229257531</v>
      </c>
      <c r="S43" s="223">
        <f>SUM(S40:S42)</f>
        <v>3298972.5229257531</v>
      </c>
      <c r="U43" s="223">
        <f>SUM(U40:U42)</f>
        <v>3298972.5229257531</v>
      </c>
      <c r="W43" s="223">
        <f>SUM(W40:W42)</f>
        <v>3298972.5229257531</v>
      </c>
      <c r="Y43" s="223">
        <f>SUM(Y40:Y42)</f>
        <v>3298972.5229257531</v>
      </c>
      <c r="AA43" s="223">
        <f>SUM(AA40:AA42)</f>
        <v>3298972.5229257531</v>
      </c>
      <c r="AC43" s="223">
        <f>SUM(AC40:AC42)</f>
        <v>3298972.5229257531</v>
      </c>
      <c r="AE43" s="223">
        <f>SUM(AE40:AE42)</f>
        <v>3298972.5229257531</v>
      </c>
      <c r="AG43" s="223">
        <f>SUM(AG40:AG42)</f>
        <v>3298972.5229257531</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495199.12934304681</v>
      </c>
      <c r="G45" s="223">
        <f>G37-G43</f>
        <v>570838.01367245568</v>
      </c>
      <c r="I45" s="223">
        <f>I37-I43</f>
        <v>647612.19370339205</v>
      </c>
      <c r="K45" s="223">
        <f>K37-K43</f>
        <v>725523.59580416139</v>
      </c>
      <c r="M45" s="223">
        <f>M37-M43</f>
        <v>804573.26839442644</v>
      </c>
      <c r="O45" s="223">
        <f>O37-O43</f>
        <v>884761.32757977862</v>
      </c>
      <c r="Q45" s="223">
        <f>Q37-Q43</f>
        <v>966086.90029252879</v>
      </c>
      <c r="S45" s="223">
        <f>S37-S43</f>
        <v>1048548.0648366557</v>
      </c>
      <c r="U45" s="223">
        <f>U37-U43</f>
        <v>1132141.7887309259</v>
      </c>
      <c r="W45" s="223">
        <f>W37-W43</f>
        <v>1216863.8637400772</v>
      </c>
      <c r="Y45" s="223">
        <f>Y37-Y43</f>
        <v>1302708.8379797544</v>
      </c>
      <c r="AA45" s="223">
        <f>AA37-AA43</f>
        <v>1389669.944976463</v>
      </c>
      <c r="AC45" s="223">
        <f>AC37-AC43</f>
        <v>1477739.0295592286</v>
      </c>
      <c r="AE45" s="223">
        <f>AE37-AE43</f>
        <v>1566906.4704549909</v>
      </c>
      <c r="AG45" s="223">
        <f>AG37-AG43</f>
        <v>1657161.099454714</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7.7705354545904118E-2</v>
      </c>
      <c r="G47" s="227">
        <f>G45/(G4+G6+G8)</f>
        <v>8.738966907538008E-2</v>
      </c>
      <c r="I47" s="227">
        <f>I45/(I4+I6+I8)</f>
        <v>9.6724915832156699E-2</v>
      </c>
      <c r="K47" s="227">
        <f>K45/(K4+K6+K8)</f>
        <v>0.10571850647160616</v>
      </c>
      <c r="M47" s="227">
        <f>M45/(M4+M6+M8)</f>
        <v>0.11437766112914255</v>
      </c>
      <c r="O47" s="227">
        <f>O45/(O4+O6+O8)</f>
        <v>0.12270941298655784</v>
      </c>
      <c r="Q47" s="227">
        <f>Q45/(Q4+Q6+Q8)</f>
        <v>0.13072061272596044</v>
      </c>
      <c r="S47" s="227">
        <f>S45/(S4+S6+S8)</f>
        <v>0.13841793287404769</v>
      </c>
      <c r="U47" s="227">
        <f>U45/(U4+U6+U8)</f>
        <v>0.14580787203937806</v>
      </c>
      <c r="W47" s="227">
        <f>W45/(W4+W6+W8)</f>
        <v>0.15289675904524086</v>
      </c>
      <c r="Y47" s="227">
        <f>Y45/(Y4+Y6+Y8)</f>
        <v>0.15969075696066137</v>
      </c>
      <c r="AA47" s="227">
        <f>AA45/(AA4+AA6+AA8)</f>
        <v>0.16619586703201511</v>
      </c>
      <c r="AC47" s="227">
        <f>AC45/(AC4+AC6+AC8)</f>
        <v>0.17241793251766227</v>
      </c>
      <c r="AE47" s="227">
        <f>AE45/(AE4+AE6+AE8)</f>
        <v>0.1783626424279639</v>
      </c>
      <c r="AG47" s="227">
        <f>AG45/(AG4+AG6+AG8)</f>
        <v>0.18403553517296664</v>
      </c>
    </row>
    <row r="48" spans="1:33" s="227" customFormat="1" ht="13.8">
      <c r="A48" s="227" t="s">
        <v>851</v>
      </c>
      <c r="C48" s="220"/>
      <c r="E48" s="227">
        <f>E45/E43</f>
        <v>0.15010707906832474</v>
      </c>
      <c r="G48" s="227">
        <f>G45/G43</f>
        <v>0.17303509189770327</v>
      </c>
      <c r="I48" s="227">
        <f>I45/I43</f>
        <v>0.19630724087663681</v>
      </c>
      <c r="K48" s="227">
        <f>K45/K43</f>
        <v>0.21992410993490716</v>
      </c>
      <c r="M48" s="227">
        <f>M45/M43</f>
        <v>0.24388601687439221</v>
      </c>
      <c r="O48" s="227">
        <f>O45/O43</f>
        <v>0.2681929968895625</v>
      </c>
      <c r="Q48" s="227">
        <f>Q45/Q43</f>
        <v>0.2928447853320516</v>
      </c>
      <c r="S48" s="227">
        <f>S45/S43</f>
        <v>0.31784079968836237</v>
      </c>
      <c r="U48" s="227">
        <f>U45/U43</f>
        <v>0.34318012073858245</v>
      </c>
      <c r="W48" s="227">
        <f>W45/W43</f>
        <v>0.3688614728627323</v>
      </c>
      <c r="Y48" s="227">
        <f>Y45/Y43</f>
        <v>0.39488320346009542</v>
      </c>
      <c r="AA48" s="227">
        <f>AA45/AA43</f>
        <v>0.42124326144553914</v>
      </c>
      <c r="AC48" s="227">
        <f>AC45/AC43</f>
        <v>0.44793917478544776</v>
      </c>
      <c r="AE48" s="227">
        <f>AE45/AE43</f>
        <v>0.47496802703447549</v>
      </c>
      <c r="AG48" s="227">
        <f>AG45/AG43</f>
        <v>0.50232643283279932</v>
      </c>
    </row>
    <row r="49" spans="1:34" s="228" customFormat="1" ht="13.8">
      <c r="A49" s="228" t="s">
        <v>849</v>
      </c>
      <c r="C49" s="229"/>
      <c r="E49" s="228">
        <f>E37/E43</f>
        <v>1.1501070790683248</v>
      </c>
      <c r="G49" s="228">
        <f>G37/G43</f>
        <v>1.1730350918977033</v>
      </c>
      <c r="I49" s="228">
        <f>I37/I43</f>
        <v>1.1963072408766369</v>
      </c>
      <c r="K49" s="228">
        <f>K37/K43</f>
        <v>1.2199241099349072</v>
      </c>
      <c r="M49" s="228">
        <f>M37/M43</f>
        <v>1.2438860168743922</v>
      </c>
      <c r="O49" s="228">
        <f>O37/O43</f>
        <v>1.2681929968895624</v>
      </c>
      <c r="Q49" s="228">
        <f>Q37/Q43</f>
        <v>1.2928447853320515</v>
      </c>
      <c r="S49" s="228">
        <f>S37/S43</f>
        <v>1.3178407996883623</v>
      </c>
      <c r="U49" s="228">
        <f>U37/U43</f>
        <v>1.3431801207385825</v>
      </c>
      <c r="W49" s="228">
        <f>W37/W43</f>
        <v>1.3688614728627324</v>
      </c>
      <c r="Y49" s="228">
        <f>Y37/Y43</f>
        <v>1.3948832034600953</v>
      </c>
      <c r="AA49" s="228">
        <f>AA37/AA43</f>
        <v>1.4212432614455393</v>
      </c>
      <c r="AC49" s="228">
        <f>AC37/AC43</f>
        <v>1.4479391747854478</v>
      </c>
      <c r="AE49" s="228">
        <f>AE37/AE43</f>
        <v>1.4749680270344754</v>
      </c>
      <c r="AG49" s="228">
        <f>AG37/AG43</f>
        <v>1.5023264328327994</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9" t="s">
        <v>1183</v>
      </c>
      <c r="B52" s="2689"/>
      <c r="C52" s="2689"/>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495199.12934304681</v>
      </c>
      <c r="G60" s="958">
        <f>G45-G58</f>
        <v>570838.01367245568</v>
      </c>
      <c r="I60" s="958">
        <f>I45-I58</f>
        <v>647612.19370339205</v>
      </c>
      <c r="K60" s="958">
        <f>K45-K58</f>
        <v>725523.59580416139</v>
      </c>
      <c r="M60" s="958">
        <f>M45-M58</f>
        <v>804573.26839442644</v>
      </c>
      <c r="O60" s="958">
        <f>O45-O58</f>
        <v>884761.32757977862</v>
      </c>
      <c r="Q60" s="958">
        <f>Q45-Q58</f>
        <v>966086.90029252879</v>
      </c>
      <c r="S60" s="958">
        <f>S45-S58</f>
        <v>1048548.0648366557</v>
      </c>
      <c r="U60" s="958">
        <f>U45-U58</f>
        <v>1132141.7887309259</v>
      </c>
      <c r="W60" s="958">
        <f>W45-W58</f>
        <v>1216863.8637400772</v>
      </c>
      <c r="Y60" s="958">
        <f>Y45-Y58</f>
        <v>1302708.8379797544</v>
      </c>
      <c r="AA60" s="958">
        <f>AA45-AA58</f>
        <v>1389669.944976463</v>
      </c>
      <c r="AC60" s="958">
        <f>AC45-AC58</f>
        <v>1477739.0295592286</v>
      </c>
      <c r="AE60" s="958">
        <f>AE45-AE58</f>
        <v>1566906.4704549909</v>
      </c>
      <c r="AG60" s="958">
        <f>AG45-AG58</f>
        <v>1657161.099454714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247599.5646715234</v>
      </c>
      <c r="G62" s="958">
        <f>G60*$C$62</f>
        <v>285419.00683622784</v>
      </c>
      <c r="I62" s="958">
        <f>I60*$C$62</f>
        <v>323806.09685169603</v>
      </c>
      <c r="K62" s="958">
        <f>K60*$C$62</f>
        <v>362761.7979020807</v>
      </c>
      <c r="M62" s="958">
        <f>M60*$C$62</f>
        <v>402286.63419721322</v>
      </c>
      <c r="O62" s="958">
        <f>O60*$C$62</f>
        <v>442380.66378988931</v>
      </c>
      <c r="Q62" s="958">
        <f>Q60*$C$62</f>
        <v>483043.4501462644</v>
      </c>
      <c r="S62" s="958">
        <f>S60*$C$62</f>
        <v>524274.03241832787</v>
      </c>
      <c r="U62" s="958">
        <f>U60*$C$62</f>
        <v>566070.89436546294</v>
      </c>
      <c r="W62" s="958">
        <f>W60*$C$62</f>
        <v>608431.93187003862</v>
      </c>
      <c r="Y62" s="958">
        <f>Y60*$C$62</f>
        <v>651354.41898987722</v>
      </c>
      <c r="AA62" s="958">
        <f>AA60*$C$62</f>
        <v>694834.97248823149</v>
      </c>
      <c r="AC62" s="958">
        <f>AC60*$C$62</f>
        <v>738869.51477961428</v>
      </c>
      <c r="AE62" s="958">
        <f>AE60*$C$62</f>
        <v>783453.23522749543</v>
      </c>
      <c r="AG62" s="958">
        <f>AG60*$C$62</f>
        <v>828580.54972735699</v>
      </c>
    </row>
    <row r="63" spans="1:34" s="958" customFormat="1">
      <c r="A63" s="2689" t="s">
        <v>1183</v>
      </c>
      <c r="B63" s="2689"/>
      <c r="C63" s="2689"/>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123799.7823357617</v>
      </c>
      <c r="G66" s="956">
        <f>G60*$C$65</f>
        <v>142709.50341811392</v>
      </c>
      <c r="I66" s="956">
        <f>I60*$C$65</f>
        <v>161903.04842584801</v>
      </c>
      <c r="K66" s="956">
        <f>K60*$C$65</f>
        <v>181380.89895104035</v>
      </c>
      <c r="M66" s="956">
        <f>M60*$C$65</f>
        <v>201143.31709860661</v>
      </c>
      <c r="O66" s="956">
        <f>O60*$C$65</f>
        <v>221190.33189494465</v>
      </c>
      <c r="Q66" s="956">
        <f>Q60*$C$65</f>
        <v>241521.7250731322</v>
      </c>
      <c r="S66" s="956">
        <f>S60*$C$65</f>
        <v>262137.01620916394</v>
      </c>
      <c r="U66" s="956">
        <f>U60*$C$65</f>
        <v>283035.44718273147</v>
      </c>
      <c r="W66" s="956">
        <f>W60*$C$65</f>
        <v>304215.96593501931</v>
      </c>
      <c r="Y66" s="956">
        <f>Y60*$C$65</f>
        <v>325677.20949493861</v>
      </c>
      <c r="AA66" s="956">
        <f>AA60*$C$65</f>
        <v>347417.48624411575</v>
      </c>
      <c r="AC66" s="956">
        <f>AC60*$C$65</f>
        <v>369434.75738980714</v>
      </c>
      <c r="AE66" s="956">
        <f>AE60*$C$65</f>
        <v>391726.61761374772</v>
      </c>
      <c r="AG66" s="956">
        <f>AG60*$C$65</f>
        <v>414290.2748636785</v>
      </c>
    </row>
    <row r="67" spans="1:34" s="956" customFormat="1">
      <c r="A67" s="961"/>
      <c r="B67" s="961"/>
      <c r="C67" s="966"/>
      <c r="E67" s="960">
        <f>$E60*$C$65</f>
        <v>123799.7823357617</v>
      </c>
      <c r="G67" s="956">
        <f>G60*$C$65</f>
        <v>142709.50341811392</v>
      </c>
      <c r="I67" s="956">
        <f>I60*$C$65</f>
        <v>161903.04842584801</v>
      </c>
      <c r="K67" s="956">
        <f>K60*$C$65</f>
        <v>181380.89895104035</v>
      </c>
      <c r="M67" s="956">
        <f>M60*$C$65</f>
        <v>201143.31709860661</v>
      </c>
      <c r="O67" s="956">
        <f>O60*$C$65</f>
        <v>221190.33189494465</v>
      </c>
      <c r="Q67" s="956">
        <f>Q60*$C$65</f>
        <v>241521.7250731322</v>
      </c>
      <c r="S67" s="956">
        <f>S60*$C$65</f>
        <v>262137.01620916394</v>
      </c>
      <c r="U67" s="956">
        <f>U60*$C$65</f>
        <v>283035.44718273147</v>
      </c>
      <c r="W67" s="956">
        <f>W60*$C$65</f>
        <v>304215.96593501931</v>
      </c>
      <c r="Y67" s="956">
        <f>Y60*$C$65</f>
        <v>325677.20949493861</v>
      </c>
      <c r="AA67" s="956">
        <f>AA60*$C$65</f>
        <v>347417.48624411575</v>
      </c>
      <c r="AC67" s="956">
        <f>AC60*$C$65</f>
        <v>369434.75738980714</v>
      </c>
      <c r="AE67" s="956">
        <f>AE60*$C$65</f>
        <v>391726.61761374772</v>
      </c>
      <c r="AG67" s="956">
        <f>AG60*$C$65</f>
        <v>414290.2748636785</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247599.5646715234</v>
      </c>
      <c r="G70" s="956">
        <f>SUM(G66:G69)</f>
        <v>285419.00683622784</v>
      </c>
      <c r="I70" s="956">
        <f>SUM(I66:I69)</f>
        <v>323806.09685169603</v>
      </c>
      <c r="K70" s="956">
        <f>SUM(K66:K69)</f>
        <v>362761.7979020807</v>
      </c>
      <c r="M70" s="956">
        <f>SUM(M66:M69)</f>
        <v>402286.63419721322</v>
      </c>
      <c r="O70" s="956">
        <f>SUM(O66:O69)</f>
        <v>442380.66378988931</v>
      </c>
      <c r="Q70" s="956">
        <f>SUM(Q66:Q69)</f>
        <v>483043.4501462644</v>
      </c>
      <c r="S70" s="956">
        <f>SUM(S66:S69)</f>
        <v>524274.03241832787</v>
      </c>
      <c r="U70" s="956">
        <f>SUM(U66:U69)</f>
        <v>566070.89436546294</v>
      </c>
      <c r="W70" s="956">
        <f>SUM(W66:W69)</f>
        <v>608431.93187003862</v>
      </c>
      <c r="Y70" s="956">
        <f>SUM(Y66:Y69)</f>
        <v>651354.41898987722</v>
      </c>
      <c r="AA70" s="956">
        <f>SUM(AA66:AA69)</f>
        <v>694834.97248823149</v>
      </c>
      <c r="AC70" s="956">
        <f>SUM(AC66:AC69)</f>
        <v>738869.51477961428</v>
      </c>
      <c r="AE70" s="956">
        <f>SUM(AE66:AE69)</f>
        <v>783453.23522749543</v>
      </c>
      <c r="AG70" s="956">
        <f>SUM(AG66:AG69)</f>
        <v>828580.54972735699</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7" t="s">
        <v>1709</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2</v>
      </c>
      <c r="C5" s="266">
        <f>'Sources and Uses Budget'!$C4</f>
        <v>2</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50000</v>
      </c>
      <c r="C7" s="266">
        <f>'Sources and Uses Budget'!$C6</f>
        <v>50000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50002</v>
      </c>
      <c r="C9" s="270">
        <f>SUM(C5:C8)</f>
        <v>50002</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11895765</v>
      </c>
      <c r="C11" s="266">
        <f>'Sources and Uses Budget'!$C10</f>
        <v>11895765</v>
      </c>
      <c r="D11" s="270">
        <f t="shared" si="0"/>
        <v>0</v>
      </c>
      <c r="E11" s="268"/>
      <c r="F11" s="267"/>
    </row>
    <row r="12" spans="1:6" s="352" customFormat="1">
      <c r="A12" s="365" t="s">
        <v>595</v>
      </c>
      <c r="B12" s="270">
        <f>SUM(B10:B11)</f>
        <v>11895765</v>
      </c>
      <c r="C12" s="270">
        <f>SUM(C10:C11)</f>
        <v>11895765</v>
      </c>
      <c r="D12" s="270">
        <f t="shared" si="0"/>
        <v>0</v>
      </c>
      <c r="E12" s="268"/>
      <c r="F12" s="267"/>
    </row>
    <row r="13" spans="1:6" s="352" customFormat="1">
      <c r="A13" s="365" t="s">
        <v>84</v>
      </c>
      <c r="B13" s="270">
        <f>SUM(B9+B12)</f>
        <v>11945767</v>
      </c>
      <c r="C13" s="270">
        <f>SUM(C9+C12)</f>
        <v>11945767</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3739778</v>
      </c>
      <c r="C30" s="266">
        <f>'Sources and Uses Budget'!$C29</f>
        <v>3739778</v>
      </c>
      <c r="D30" s="270">
        <f t="shared" si="0"/>
        <v>0</v>
      </c>
      <c r="E30" s="268"/>
      <c r="F30" s="267"/>
    </row>
    <row r="31" spans="1:6" s="352" customFormat="1">
      <c r="A31" s="145" t="s">
        <v>598</v>
      </c>
      <c r="B31" s="266">
        <f>'Sources and Uses Budget'!$C30</f>
        <v>92613292</v>
      </c>
      <c r="C31" s="266">
        <f>'Sources and Uses Budget'!$C30</f>
        <v>92613292</v>
      </c>
      <c r="D31" s="270">
        <f t="shared" si="0"/>
        <v>0</v>
      </c>
      <c r="E31" s="268"/>
      <c r="F31" s="267"/>
    </row>
    <row r="32" spans="1:6" s="352" customFormat="1">
      <c r="A32" s="145" t="s">
        <v>599</v>
      </c>
      <c r="B32" s="266">
        <f>'Sources and Uses Budget'!$C31</f>
        <v>5644363</v>
      </c>
      <c r="C32" s="266">
        <f>'Sources and Uses Budget'!$C31</f>
        <v>5644363</v>
      </c>
      <c r="D32" s="270">
        <f t="shared" si="0"/>
        <v>0</v>
      </c>
      <c r="E32" s="268"/>
      <c r="F32" s="267"/>
    </row>
    <row r="33" spans="1:6" s="352" customFormat="1">
      <c r="A33" s="145" t="s">
        <v>137</v>
      </c>
      <c r="B33" s="266">
        <f>'Sources and Uses Budget'!$C32</f>
        <v>1615423</v>
      </c>
      <c r="C33" s="266">
        <f>'Sources and Uses Budget'!$C32</f>
        <v>1615423</v>
      </c>
      <c r="D33" s="270">
        <f t="shared" si="0"/>
        <v>0</v>
      </c>
      <c r="E33" s="268"/>
      <c r="F33" s="267"/>
    </row>
    <row r="34" spans="1:6" s="352" customFormat="1">
      <c r="A34" s="145" t="s">
        <v>138</v>
      </c>
      <c r="B34" s="266">
        <f>'Sources and Uses Budget'!$C33</f>
        <v>1615423</v>
      </c>
      <c r="C34" s="266">
        <f>'Sources and Uses Budget'!$C33</f>
        <v>1615423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2067258</v>
      </c>
      <c r="C36" s="266">
        <f>'Sources and Uses Budget'!$C35</f>
        <v>2067258</v>
      </c>
      <c r="D36" s="270">
        <f t="shared" si="0"/>
        <v>0</v>
      </c>
      <c r="E36" s="268"/>
      <c r="F36" s="267"/>
    </row>
    <row r="37" spans="1:6" s="352" customFormat="1">
      <c r="A37" s="283" t="s">
        <v>1628</v>
      </c>
      <c r="B37" s="266">
        <f>'Sources and Uses Budget'!$C36</f>
        <v>1893558</v>
      </c>
      <c r="C37" s="266">
        <f>'Sources and Uses Budget'!$C36</f>
        <v>1893558</v>
      </c>
      <c r="D37" s="270"/>
      <c r="E37" s="268"/>
      <c r="F37" s="267"/>
    </row>
    <row r="38" spans="1:6" s="352" customFormat="1">
      <c r="A38" s="155" t="str">
        <f>'Sources and Uses Budget'!A37</f>
        <v>Other: GC and Escalation/Design Contingency</v>
      </c>
      <c r="B38" s="266">
        <f>'Sources and Uses Budget'!$C37</f>
        <v>4502951</v>
      </c>
      <c r="C38" s="266">
        <f>'Sources and Uses Budget'!$C37</f>
        <v>4502951</v>
      </c>
      <c r="D38" s="270">
        <f t="shared" si="0"/>
        <v>0</v>
      </c>
      <c r="E38" s="268"/>
      <c r="F38" s="267"/>
    </row>
    <row r="39" spans="1:6" s="352" customFormat="1">
      <c r="A39" s="271" t="s">
        <v>143</v>
      </c>
      <c r="B39" s="270">
        <f>SUM(B30:B38)</f>
        <v>113692046</v>
      </c>
      <c r="C39" s="270">
        <f>SUM(C30:C38)</f>
        <v>113692046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5151109</v>
      </c>
      <c r="C41" s="266">
        <f>'Sources and Uses Budget'!$C40</f>
        <v>5151109</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5151109</v>
      </c>
      <c r="C43" s="270">
        <f>SUM(C41:C42)</f>
        <v>5151109</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13420738</v>
      </c>
      <c r="C46" s="266">
        <f>'Sources and Uses Budget'!$C45</f>
        <v>13420738</v>
      </c>
      <c r="D46" s="270">
        <f t="shared" si="0"/>
        <v>0</v>
      </c>
      <c r="E46" s="268"/>
      <c r="F46" s="267"/>
    </row>
    <row r="47" spans="1:6" s="352" customFormat="1">
      <c r="A47" s="145" t="s">
        <v>151</v>
      </c>
      <c r="B47" s="266">
        <f>'Sources and Uses Budget'!$C46</f>
        <v>1132655</v>
      </c>
      <c r="C47" s="266">
        <f>'Sources and Uses Budget'!$C46</f>
        <v>1132655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424657</v>
      </c>
      <c r="C50" s="266">
        <f>'Sources and Uses Budget'!$C49</f>
        <v>424657</v>
      </c>
      <c r="D50" s="270">
        <f t="shared" si="0"/>
        <v>0</v>
      </c>
      <c r="E50" s="268"/>
      <c r="F50" s="267"/>
    </row>
    <row r="51" spans="1:6" s="352" customFormat="1">
      <c r="A51" s="145" t="s">
        <v>156</v>
      </c>
      <c r="B51" s="266">
        <f>'Sources and Uses Budget'!$C50</f>
        <v>94678</v>
      </c>
      <c r="C51" s="266">
        <f>'Sources and Uses Budget'!$C50</f>
        <v>94678</v>
      </c>
      <c r="D51" s="270">
        <f t="shared" si="0"/>
        <v>0</v>
      </c>
      <c r="E51" s="268"/>
      <c r="F51" s="267"/>
    </row>
    <row r="52" spans="1:6" s="352" customFormat="1">
      <c r="A52" s="283" t="s">
        <v>154</v>
      </c>
      <c r="B52" s="266">
        <f>'Sources and Uses Budget'!$C51</f>
        <v>33147</v>
      </c>
      <c r="C52" s="266">
        <f>'Sources and Uses Budget'!$C51</f>
        <v>33147</v>
      </c>
      <c r="D52" s="270">
        <f t="shared" si="0"/>
        <v>0</v>
      </c>
      <c r="E52" s="268"/>
      <c r="F52" s="267"/>
    </row>
    <row r="53" spans="1:6" s="352" customFormat="1">
      <c r="A53" s="145" t="s">
        <v>155</v>
      </c>
      <c r="B53" s="266">
        <f>'Sources and Uses Budget'!$C52</f>
        <v>4180905</v>
      </c>
      <c r="C53" s="266">
        <f>'Sources and Uses Budget'!$C52</f>
        <v>4180905</v>
      </c>
      <c r="D53" s="270">
        <f t="shared" si="0"/>
        <v>0</v>
      </c>
      <c r="E53" s="268"/>
      <c r="F53" s="267"/>
    </row>
    <row r="54" spans="1:6" s="352" customFormat="1">
      <c r="A54" s="155" t="str">
        <f>'Sources and Uses Budget'!A53</f>
        <v>Other: Lender Expenses</v>
      </c>
      <c r="B54" s="266">
        <f>'Sources and Uses Budget'!$C53</f>
        <v>116400</v>
      </c>
      <c r="C54" s="266">
        <f>'Sources and Uses Budget'!$C53</f>
        <v>116400</v>
      </c>
      <c r="D54" s="270">
        <f t="shared" si="0"/>
        <v>0</v>
      </c>
      <c r="E54" s="268"/>
      <c r="F54" s="267"/>
    </row>
    <row r="55" spans="1:6" s="353" customFormat="1">
      <c r="A55" s="271" t="s">
        <v>157</v>
      </c>
      <c r="B55" s="273">
        <f>SUM(B46:B54)</f>
        <v>19403180</v>
      </c>
      <c r="C55" s="273">
        <f>SUM(C46:C54)</f>
        <v>19403180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487878</v>
      </c>
      <c r="C57" s="266">
        <f>'Sources and Uses Budget'!$C56</f>
        <v>487878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Lender Expenses and Legal</v>
      </c>
      <c r="B62" s="266">
        <f>'Sources and Uses Budget'!$C61</f>
        <v>140000</v>
      </c>
      <c r="C62" s="266">
        <f>'Sources and Uses Budget'!$C61</f>
        <v>140000</v>
      </c>
      <c r="D62" s="270">
        <f t="shared" si="0"/>
        <v>0</v>
      </c>
      <c r="E62" s="268"/>
      <c r="F62" s="267"/>
    </row>
    <row r="63" spans="1:6" s="352" customFormat="1" ht="13.65" customHeight="1">
      <c r="A63" s="271" t="s">
        <v>300</v>
      </c>
      <c r="B63" s="270">
        <f>SUM(B57:B62)</f>
        <v>677878</v>
      </c>
      <c r="C63" s="270">
        <f>SUM(C57:C62)</f>
        <v>677878</v>
      </c>
      <c r="D63" s="270">
        <f t="shared" si="0"/>
        <v>0</v>
      </c>
      <c r="E63" s="268"/>
      <c r="F63" s="267"/>
    </row>
    <row r="64" spans="1:6" s="352" customFormat="1">
      <c r="A64" s="274" t="s">
        <v>301</v>
      </c>
      <c r="B64" s="270">
        <f>SUM(B9+B12+B14+B15+B17+B26+B28+B39+B43+B44+B55+B63)</f>
        <v>150869980</v>
      </c>
      <c r="C64" s="270">
        <f>SUM(C9+C12+C14+C15+C17+C26+C28+C39+C43+C44+C55+C63)</f>
        <v>150869980</v>
      </c>
      <c r="D64" s="270">
        <f t="shared" si="0"/>
        <v>0</v>
      </c>
      <c r="E64" s="268"/>
      <c r="F64" s="267"/>
    </row>
    <row r="65" spans="1:6" s="352" customFormat="1" ht="22.8">
      <c r="A65" s="141" t="s">
        <v>1632</v>
      </c>
      <c r="B65" s="264"/>
      <c r="C65" s="264"/>
      <c r="D65" s="264"/>
      <c r="E65" s="282"/>
      <c r="F65" s="264"/>
    </row>
    <row r="66" spans="1:6" s="352" customFormat="1">
      <c r="A66" s="145" t="s">
        <v>170</v>
      </c>
      <c r="B66" s="266">
        <f>'Sources and Uses Budget'!$C65</f>
        <v>130000</v>
      </c>
      <c r="C66" s="266">
        <f>'Sources and Uses Budget'!$C65</f>
        <v>130000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Sponsor Legal</v>
      </c>
      <c r="B70" s="266">
        <f>'Sources and Uses Budget'!$C69</f>
        <v>71008</v>
      </c>
      <c r="C70" s="266">
        <f>'Sources and Uses Budget'!$C69</f>
        <v>71008</v>
      </c>
      <c r="D70" s="270">
        <f t="shared" si="0"/>
        <v>0</v>
      </c>
      <c r="E70" s="268"/>
      <c r="F70" s="267"/>
    </row>
    <row r="71" spans="1:6" s="352" customFormat="1">
      <c r="A71" s="149" t="s">
        <v>1633</v>
      </c>
      <c r="B71" s="270">
        <f>SUM(B66:B70)</f>
        <v>201008</v>
      </c>
      <c r="C71" s="270">
        <f>SUM(C66:C70)</f>
        <v>201008</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1389751</v>
      </c>
      <c r="C76" s="266">
        <f>'Sources and Uses Budget'!$C75</f>
        <v>1389751</v>
      </c>
      <c r="D76" s="270">
        <f t="shared" si="0"/>
        <v>0</v>
      </c>
      <c r="E76" s="268"/>
      <c r="F76" s="267"/>
    </row>
    <row r="77" spans="1:6" s="352" customFormat="1">
      <c r="A77" s="272" t="s">
        <v>34</v>
      </c>
      <c r="B77" s="266">
        <f>'Sources and Uses Budget'!$C76</f>
        <v>70200</v>
      </c>
      <c r="C77" s="266">
        <f>'Sources and Uses Budget'!$C76</f>
        <v>70200</v>
      </c>
      <c r="D77" s="270">
        <f t="shared" si="0"/>
        <v>0</v>
      </c>
      <c r="E77" s="268"/>
      <c r="F77" s="267"/>
    </row>
    <row r="78" spans="1:6" s="352" customFormat="1">
      <c r="A78" s="271" t="s">
        <v>605</v>
      </c>
      <c r="B78" s="270">
        <f>SUM(B73:B77)</f>
        <v>1459951</v>
      </c>
      <c r="C78" s="270">
        <f>SUM(C73:C77)</f>
        <v>1459951</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6184713</v>
      </c>
      <c r="C80" s="266">
        <f>'Sources and Uses Budget'!$C79</f>
        <v>6184713</v>
      </c>
      <c r="D80" s="270">
        <f t="shared" si="1"/>
        <v>0</v>
      </c>
      <c r="E80" s="268"/>
      <c r="F80" s="267"/>
    </row>
    <row r="81" spans="1:6" s="352" customFormat="1">
      <c r="A81" s="510" t="s">
        <v>58</v>
      </c>
      <c r="B81" s="266">
        <f>'Sources and Uses Budget'!$C80</f>
        <v>1078229</v>
      </c>
      <c r="C81" s="266">
        <f>'Sources and Uses Budget'!$C80</f>
        <v>1078229</v>
      </c>
      <c r="D81" s="270">
        <f>C81-B81</f>
        <v>0</v>
      </c>
      <c r="E81" s="268"/>
      <c r="F81" s="267"/>
    </row>
    <row r="82" spans="1:6" s="352" customFormat="1">
      <c r="A82" s="271" t="s">
        <v>1208</v>
      </c>
      <c r="B82" s="270">
        <f>SUM(B80:B81)</f>
        <v>7262942</v>
      </c>
      <c r="C82" s="270">
        <f>SUM(C80:C81)</f>
        <v>7262942</v>
      </c>
      <c r="D82" s="270">
        <f t="shared" si="1"/>
        <v>0</v>
      </c>
      <c r="E82" s="268"/>
      <c r="F82" s="267"/>
    </row>
    <row r="83" spans="1:6" s="352" customFormat="1">
      <c r="A83" s="264" t="s">
        <v>764</v>
      </c>
      <c r="B83" s="264"/>
      <c r="C83" s="264"/>
      <c r="D83" s="264"/>
      <c r="E83" s="282"/>
      <c r="F83" s="264"/>
    </row>
    <row r="84" spans="1:6" s="352" customFormat="1" ht="13.65" customHeight="1">
      <c r="A84" s="269" t="s">
        <v>765</v>
      </c>
      <c r="B84" s="266">
        <f>'Sources and Uses Budget'!$C83</f>
        <v>257977</v>
      </c>
      <c r="C84" s="266">
        <f>'Sources and Uses Budget'!$C83</f>
        <v>257977</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3536354</v>
      </c>
      <c r="C86" s="266">
        <f>'Sources and Uses Budget'!$C85</f>
        <v>3536354</v>
      </c>
      <c r="D86" s="270">
        <f t="shared" si="1"/>
        <v>0</v>
      </c>
      <c r="E86" s="268"/>
      <c r="F86" s="267"/>
    </row>
    <row r="87" spans="1:6" s="352" customFormat="1">
      <c r="A87" s="269" t="s">
        <v>768</v>
      </c>
      <c r="B87" s="266">
        <f>'Sources and Uses Budget'!$C86</f>
        <v>1908969</v>
      </c>
      <c r="C87" s="266">
        <f>'Sources and Uses Budget'!$C86</f>
        <v>1908969</v>
      </c>
      <c r="D87" s="270">
        <f t="shared" si="1"/>
        <v>0</v>
      </c>
      <c r="E87" s="268"/>
      <c r="F87" s="267"/>
    </row>
    <row r="88" spans="1:6" s="352" customFormat="1">
      <c r="A88" s="269" t="s">
        <v>769</v>
      </c>
      <c r="B88" s="266">
        <f>'Sources and Uses Budget'!$C87</f>
        <v>1412514</v>
      </c>
      <c r="C88" s="266">
        <f>'Sources and Uses Budget'!$C87</f>
        <v>1412514</v>
      </c>
      <c r="D88" s="270">
        <f t="shared" si="1"/>
        <v>0</v>
      </c>
      <c r="E88" s="268"/>
      <c r="F88" s="267"/>
    </row>
    <row r="89" spans="1:6" s="352" customFormat="1">
      <c r="A89" s="269" t="s">
        <v>770</v>
      </c>
      <c r="B89" s="266">
        <f>'Sources and Uses Budget'!$C88</f>
        <v>748485</v>
      </c>
      <c r="C89" s="266">
        <f>'Sources and Uses Budget'!$C88</f>
        <v>748485</v>
      </c>
      <c r="D89" s="270">
        <f t="shared" si="1"/>
        <v>0</v>
      </c>
      <c r="E89" s="268"/>
      <c r="F89" s="267"/>
    </row>
    <row r="90" spans="1:6" s="352" customFormat="1">
      <c r="A90" s="269" t="s">
        <v>771</v>
      </c>
      <c r="B90" s="266">
        <f>'Sources and Uses Budget'!$C89</f>
        <v>397800</v>
      </c>
      <c r="C90" s="266">
        <f>'Sources and Uses Budget'!$C89</f>
        <v>397800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56807</v>
      </c>
      <c r="C93" s="266">
        <f>'Sources and Uses Budget'!$C92</f>
        <v>56807</v>
      </c>
      <c r="D93" s="270">
        <f t="shared" si="1"/>
        <v>0</v>
      </c>
      <c r="E93" s="268"/>
      <c r="F93" s="267"/>
    </row>
    <row r="94" spans="1:6" s="352" customFormat="1">
      <c r="A94" s="272" t="s">
        <v>34</v>
      </c>
      <c r="B94" s="266">
        <f>'Sources and Uses Budget'!$C93</f>
        <v>56968</v>
      </c>
      <c r="C94" s="266">
        <f>'Sources and Uses Budget'!$C93</f>
        <v>56968</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8390874</v>
      </c>
      <c r="C97" s="270">
        <f>SUM(C84:C96)</f>
        <v>8390874</v>
      </c>
      <c r="D97" s="270">
        <f t="shared" si="1"/>
        <v>0</v>
      </c>
      <c r="E97" s="268"/>
      <c r="F97" s="267"/>
    </row>
    <row r="98" spans="1:6" s="352" customFormat="1">
      <c r="A98" s="271" t="s">
        <v>774</v>
      </c>
      <c r="B98" s="270">
        <f>SUM(B64+B71+B78+B82+B97)</f>
        <v>168184755</v>
      </c>
      <c r="C98" s="270">
        <f>SUM(C64+C71+C78+C82+C97)</f>
        <v>168184755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22211129</v>
      </c>
      <c r="C100" s="266">
        <f>'Sources and Uses Budget'!$C99</f>
        <v>22211129</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22211129</v>
      </c>
      <c r="C105" s="270">
        <f>SUM(C100:C104)</f>
        <v>22211129</v>
      </c>
      <c r="D105" s="270">
        <f t="shared" si="1"/>
        <v>0</v>
      </c>
      <c r="E105" s="268"/>
      <c r="F105" s="267"/>
    </row>
    <row r="106" spans="1:6" s="352" customFormat="1">
      <c r="A106" s="271" t="s">
        <v>779</v>
      </c>
      <c r="B106" s="273">
        <f>SUM(B98+B105)</f>
        <v>190395884</v>
      </c>
      <c r="C106" s="273">
        <f>SUM(C98+C105)</f>
        <v>190395884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3.2"/>
    <row r="4" spans="1:10" ht="12.75" customHeight="1">
      <c r="A4" s="1282" t="s">
        <v>2006</v>
      </c>
      <c r="B4" s="1282"/>
      <c r="C4" s="1282"/>
      <c r="D4" s="1282"/>
      <c r="E4" s="1282"/>
      <c r="F4" s="1282"/>
      <c r="G4" s="1282"/>
      <c r="H4" s="1282"/>
      <c r="I4" s="1282"/>
      <c r="J4" s="1282"/>
    </row>
    <row r="5" spans="1:10" ht="13.2">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3.2">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2"/>
    <row r="10" spans="1:10" ht="12.75" customHeight="1">
      <c r="A10" s="1286" t="s">
        <v>1847</v>
      </c>
      <c r="B10" s="1286"/>
      <c r="C10" s="1286"/>
      <c r="D10" s="1286"/>
      <c r="E10" s="1286"/>
      <c r="F10" s="1286"/>
      <c r="G10" s="1286"/>
      <c r="H10" s="1286"/>
      <c r="I10" s="1286"/>
      <c r="J10" s="1286"/>
    </row>
    <row r="11" spans="1:10" ht="13.2">
      <c r="A11" s="1286"/>
      <c r="B11" s="1286"/>
      <c r="C11" s="1286"/>
      <c r="D11" s="1286"/>
      <c r="E11" s="1286"/>
      <c r="F11" s="1286"/>
      <c r="G11" s="1286"/>
      <c r="H11" s="1286"/>
      <c r="I11" s="1286"/>
      <c r="J11" s="1286"/>
    </row>
    <row r="12" spans="1:10" ht="13.2">
      <c r="A12" s="1286"/>
      <c r="B12" s="1286"/>
      <c r="C12" s="1286"/>
      <c r="D12" s="1286"/>
      <c r="E12" s="1286"/>
      <c r="F12" s="1286"/>
      <c r="G12" s="1286"/>
      <c r="H12" s="1286"/>
      <c r="I12" s="1286"/>
      <c r="J12" s="1286"/>
    </row>
    <row r="13" spans="1:10" ht="13.2">
      <c r="A13" s="1286"/>
      <c r="B13" s="1286"/>
      <c r="C13" s="1286"/>
      <c r="D13" s="1286"/>
      <c r="E13" s="1286"/>
      <c r="F13" s="1286"/>
      <c r="G13" s="1286"/>
      <c r="H13" s="1286"/>
      <c r="I13" s="1286"/>
      <c r="J13" s="1286"/>
    </row>
    <row r="14" spans="1:10" ht="13.2">
      <c r="A14" s="1286"/>
      <c r="B14" s="1286"/>
      <c r="C14" s="1286"/>
      <c r="D14" s="1286"/>
      <c r="E14" s="1286"/>
      <c r="F14" s="1286"/>
      <c r="G14" s="1286"/>
      <c r="H14" s="1286"/>
      <c r="I14" s="1286"/>
      <c r="J14" s="1286"/>
    </row>
    <row r="15" spans="1:10" ht="13.2">
      <c r="A15" s="1286"/>
      <c r="B15" s="1286"/>
      <c r="C15" s="1286"/>
      <c r="D15" s="1286"/>
      <c r="E15" s="1286"/>
      <c r="F15" s="1286"/>
      <c r="G15" s="1286"/>
      <c r="H15" s="1286"/>
      <c r="I15" s="1286"/>
      <c r="J15" s="1286"/>
    </row>
    <row r="16" spans="1:10" ht="13.2">
      <c r="A16" s="524"/>
      <c r="B16" s="524"/>
      <c r="C16" s="524"/>
      <c r="D16" s="524"/>
      <c r="E16" s="524"/>
      <c r="F16" s="524"/>
      <c r="G16" s="524"/>
      <c r="H16" s="524"/>
      <c r="I16" s="524"/>
      <c r="J16" s="524"/>
    </row>
    <row r="17" spans="1:10" ht="13.2">
      <c r="A17" s="476" t="s">
        <v>1846</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285" t="s">
        <v>1188</v>
      </c>
      <c r="B19" s="1285"/>
      <c r="C19" s="1285"/>
      <c r="D19" s="1285"/>
      <c r="E19" s="1285"/>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282" t="s">
        <v>1189</v>
      </c>
      <c r="B76" s="1282"/>
      <c r="C76" s="1282"/>
      <c r="D76" s="1282"/>
      <c r="E76" s="1282"/>
      <c r="F76" s="1282"/>
      <c r="G76" s="1282"/>
      <c r="H76" s="1282"/>
      <c r="I76" s="1282"/>
      <c r="J76" s="1282"/>
    </row>
    <row r="77" spans="1:10" ht="13.2">
      <c r="A77" s="1282"/>
      <c r="B77" s="1282"/>
      <c r="C77" s="1282"/>
      <c r="D77" s="1282"/>
      <c r="E77" s="1282"/>
      <c r="F77" s="1282"/>
      <c r="G77" s="1282"/>
      <c r="H77" s="1282"/>
      <c r="I77" s="1282"/>
      <c r="J77" s="1282"/>
    </row>
    <row r="78" spans="1:10" ht="13.2">
      <c r="A78" s="1282"/>
      <c r="B78" s="1282"/>
      <c r="C78" s="1282"/>
      <c r="D78" s="1282"/>
      <c r="E78" s="1282"/>
      <c r="F78" s="1282"/>
      <c r="G78" s="1282"/>
      <c r="H78" s="1282"/>
      <c r="I78" s="1282"/>
      <c r="J78" s="1282"/>
    </row>
    <row r="79" spans="1:10" ht="13.2"/>
    <row r="80" spans="1:10" ht="13.2">
      <c r="A80" s="402" t="s">
        <v>1188</v>
      </c>
    </row>
    <row r="81" spans="1:9" ht="13.2"/>
    <row r="82" spans="1:9" ht="13.2"/>
    <row r="83" spans="1:9" ht="13.2"/>
    <row r="84" spans="1:9" ht="13.2"/>
    <row r="85" spans="1:9" ht="13.2"/>
    <row r="86" spans="1:9" ht="13.2"/>
    <row r="87" spans="1:9" ht="13.2"/>
    <row r="88" spans="1:9" ht="13.2"/>
    <row r="89" spans="1:9" ht="13.2">
      <c r="A89" s="1283" t="s">
        <v>1843</v>
      </c>
      <c r="B89" s="1283"/>
      <c r="C89" s="1283"/>
      <c r="D89" s="1283"/>
      <c r="E89" s="1283"/>
      <c r="F89" s="1283"/>
      <c r="G89" s="1283"/>
      <c r="H89" s="1283"/>
      <c r="I89" s="1283"/>
    </row>
    <row r="90" spans="1:9" ht="13.2">
      <c r="A90" s="1273" t="s">
        <v>2004</v>
      </c>
      <c r="B90" s="1273"/>
      <c r="C90" s="1273"/>
      <c r="D90" s="1273"/>
      <c r="E90" s="1273"/>
    </row>
    <row r="91" spans="1:9" ht="13.2">
      <c r="A91" s="1273" t="s">
        <v>2005</v>
      </c>
      <c r="B91" s="1273"/>
      <c r="C91" s="1273"/>
      <c r="D91" s="1273"/>
      <c r="E91" s="1273"/>
    </row>
    <row r="92" spans="1:9" ht="13.2">
      <c r="A92" s="1273" t="s">
        <v>1844</v>
      </c>
      <c r="B92" s="1273"/>
      <c r="C92" s="1273"/>
      <c r="D92" s="1273"/>
      <c r="E92" s="1273"/>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Normal="100" workbookViewId="0">
      <selection activeCell="D1134" sqref="D1134:F1139"/>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288" t="s">
        <v>2606</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65"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ht="14.4">
      <c r="A15" s="484"/>
      <c r="B15" s="485" t="s">
        <v>2761</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4">
      <c r="A20" s="484"/>
      <c r="B20" s="485" t="s">
        <v>2761</v>
      </c>
      <c r="D20" s="1290" t="s">
        <v>1895</v>
      </c>
      <c r="E20" s="1290"/>
      <c r="F20" s="1290"/>
      <c r="I20" s="490"/>
    </row>
    <row r="21" spans="1:9" ht="14.4">
      <c r="A21" s="484"/>
      <c r="D21" s="1290"/>
      <c r="E21" s="1290"/>
      <c r="F21" s="1290"/>
      <c r="I21" s="490"/>
    </row>
    <row r="22" spans="1:9" ht="14.4">
      <c r="A22" s="484"/>
      <c r="D22" s="392"/>
      <c r="E22" s="96" t="s">
        <v>1891</v>
      </c>
      <c r="F22" s="392"/>
      <c r="I22" s="490"/>
    </row>
    <row r="23" spans="1:9" ht="14.4">
      <c r="A23" s="484"/>
      <c r="B23" s="484"/>
      <c r="D23" s="446"/>
      <c r="I23" s="490"/>
    </row>
    <row r="24" spans="1:9" ht="14.4">
      <c r="A24" s="484"/>
      <c r="B24" s="485" t="s">
        <v>2762</v>
      </c>
      <c r="D24" s="1290" t="s">
        <v>1090</v>
      </c>
      <c r="E24" s="1290"/>
      <c r="F24" s="1290"/>
      <c r="I24" s="490"/>
    </row>
    <row r="25" spans="1:9" ht="14.4">
      <c r="A25" s="484"/>
      <c r="B25" s="484"/>
      <c r="D25" s="1290"/>
      <c r="E25" s="1290"/>
      <c r="F25" s="1290"/>
      <c r="I25" s="490"/>
    </row>
    <row r="26" spans="1:9">
      <c r="I26" s="490"/>
    </row>
    <row r="27" spans="1:9" ht="14.4">
      <c r="A27" s="484"/>
      <c r="B27" s="485" t="s">
        <v>2761</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2762</v>
      </c>
      <c r="D33" s="1290" t="s">
        <v>2008</v>
      </c>
      <c r="E33" s="1290"/>
      <c r="F33" s="1290"/>
      <c r="I33" s="490"/>
    </row>
    <row r="34" spans="1:9">
      <c r="D34" s="1290"/>
      <c r="E34" s="1290"/>
      <c r="F34" s="1290"/>
      <c r="I34" s="490"/>
    </row>
    <row r="35" spans="1:9" ht="14.4">
      <c r="A35" s="484"/>
      <c r="B35" s="484"/>
      <c r="D35" s="447"/>
      <c r="I35" s="490"/>
    </row>
    <row r="36" spans="1:9" ht="14.4" customHeight="1">
      <c r="A36" s="484"/>
      <c r="B36" s="485" t="s">
        <v>2762</v>
      </c>
      <c r="D36" s="1290" t="s">
        <v>1213</v>
      </c>
      <c r="E36" s="1290"/>
      <c r="F36" s="1290"/>
      <c r="I36" s="490"/>
    </row>
    <row r="37" spans="1:9" ht="14.4">
      <c r="A37" s="484"/>
      <c r="B37" s="484"/>
      <c r="D37" s="1290"/>
      <c r="E37" s="1290"/>
      <c r="F37" s="1290"/>
      <c r="I37" s="490"/>
    </row>
    <row r="38" spans="1:9" ht="14.4">
      <c r="A38" s="484"/>
      <c r="B38" s="484"/>
      <c r="D38" s="1290"/>
      <c r="E38" s="1290"/>
      <c r="F38" s="1290"/>
      <c r="I38" s="490"/>
    </row>
    <row r="39" spans="1:9" ht="14.4">
      <c r="A39" s="484"/>
      <c r="B39" s="484"/>
      <c r="D39" s="1290"/>
      <c r="E39" s="1290"/>
      <c r="F39" s="1290"/>
      <c r="I39" s="490"/>
    </row>
    <row r="40" spans="1:9" ht="14.4">
      <c r="A40" s="484"/>
      <c r="B40" s="484"/>
      <c r="I40" s="490"/>
    </row>
    <row r="41" spans="1:9" ht="14.4">
      <c r="A41" s="484"/>
      <c r="B41" s="485" t="s">
        <v>2762</v>
      </c>
      <c r="D41" s="1290" t="s">
        <v>1091</v>
      </c>
      <c r="E41" s="1290"/>
      <c r="F41" s="1290"/>
      <c r="I41" s="490"/>
    </row>
    <row r="42" spans="1:9" ht="14.4">
      <c r="A42" s="484"/>
      <c r="B42" s="484"/>
      <c r="D42" s="1290"/>
      <c r="E42" s="1290"/>
      <c r="F42" s="1290"/>
      <c r="I42" s="490"/>
    </row>
    <row r="43" spans="1:9" ht="14.4">
      <c r="A43" s="484"/>
      <c r="B43" s="484"/>
      <c r="D43" s="1290"/>
      <c r="E43" s="1290"/>
      <c r="F43" s="1290"/>
      <c r="I43" s="490"/>
    </row>
    <row r="44" spans="1:9" ht="14.4">
      <c r="A44" s="484"/>
      <c r="B44" s="484"/>
      <c r="D44" s="1290"/>
      <c r="E44" s="1290"/>
      <c r="F44" s="1290"/>
      <c r="I44" s="490"/>
    </row>
    <row r="45" spans="1:9" ht="14.4">
      <c r="A45" s="484"/>
      <c r="B45" s="484"/>
      <c r="D45" s="1290"/>
      <c r="E45" s="1290"/>
      <c r="F45" s="1290"/>
      <c r="I45" s="490"/>
    </row>
    <row r="46" spans="1:9" ht="14.4">
      <c r="A46" s="484"/>
      <c r="B46" s="484"/>
      <c r="D46" s="445"/>
      <c r="E46" s="445"/>
      <c r="F46" s="445"/>
      <c r="I46" s="490"/>
    </row>
    <row r="47" spans="1:9" ht="14.4">
      <c r="A47" s="484"/>
      <c r="B47" s="485" t="s">
        <v>2762</v>
      </c>
      <c r="D47" s="1290" t="s">
        <v>1092</v>
      </c>
      <c r="E47" s="1290"/>
      <c r="F47" s="1290"/>
      <c r="I47" s="490"/>
    </row>
    <row r="48" spans="1:9" ht="14.4">
      <c r="A48" s="484"/>
      <c r="B48" s="484"/>
      <c r="D48" s="1290"/>
      <c r="E48" s="1290"/>
      <c r="F48" s="1290"/>
      <c r="I48" s="490"/>
    </row>
    <row r="49" spans="1:9" ht="14.4">
      <c r="A49" s="484"/>
      <c r="B49" s="484"/>
      <c r="D49" s="1290"/>
      <c r="E49" s="1290"/>
      <c r="F49" s="1290"/>
      <c r="I49" s="490"/>
    </row>
    <row r="50" spans="1:9" ht="23.25" customHeight="1">
      <c r="A50" s="484"/>
      <c r="B50" s="484"/>
      <c r="D50" s="1290"/>
      <c r="E50" s="1290"/>
      <c r="F50" s="1290"/>
      <c r="I50" s="490"/>
    </row>
    <row r="51" spans="1:9" ht="14.4">
      <c r="A51" s="484"/>
      <c r="B51" s="484"/>
      <c r="D51" s="446"/>
      <c r="I51" s="490"/>
    </row>
    <row r="52" spans="1:9" ht="14.4" customHeight="1">
      <c r="A52" s="484"/>
      <c r="B52" s="485" t="s">
        <v>2762</v>
      </c>
      <c r="D52" s="1290" t="s">
        <v>1093</v>
      </c>
      <c r="E52" s="1290"/>
      <c r="F52" s="1290"/>
      <c r="I52" s="490"/>
    </row>
    <row r="53" spans="1:9" ht="14.4">
      <c r="A53" s="484"/>
      <c r="B53" s="484"/>
      <c r="D53" s="1290"/>
      <c r="E53" s="1290"/>
      <c r="F53" s="1290"/>
      <c r="I53" s="490"/>
    </row>
    <row r="54" spans="1:9" ht="14.4">
      <c r="A54" s="484"/>
      <c r="B54" s="484"/>
      <c r="D54" s="1290"/>
      <c r="E54" s="1290"/>
      <c r="F54" s="1290"/>
      <c r="I54" s="490"/>
    </row>
    <row r="55" spans="1:9" ht="14.4">
      <c r="A55" s="484"/>
      <c r="B55" s="484"/>
      <c r="I55" s="490"/>
    </row>
    <row r="56" spans="1:9" ht="14.4">
      <c r="A56" s="484"/>
      <c r="B56" s="485" t="s">
        <v>2761</v>
      </c>
      <c r="D56" s="1312" t="s">
        <v>1094</v>
      </c>
      <c r="E56" s="1312"/>
      <c r="F56" s="1312"/>
      <c r="I56" s="490"/>
    </row>
    <row r="57" spans="1:9" ht="14.4">
      <c r="A57" s="484"/>
      <c r="B57" s="484"/>
      <c r="D57" s="1312"/>
      <c r="E57" s="1312"/>
      <c r="F57" s="1312"/>
      <c r="I57" s="490"/>
    </row>
    <row r="58" spans="1:9" ht="14.4">
      <c r="A58" s="484"/>
      <c r="B58" s="484"/>
      <c r="D58" s="392" t="s">
        <v>1893</v>
      </c>
      <c r="E58" s="445"/>
      <c r="F58" s="445"/>
      <c r="I58" s="490"/>
    </row>
    <row r="59" spans="1:9" ht="14.4">
      <c r="A59" s="484"/>
      <c r="B59" s="484"/>
      <c r="D59" s="445"/>
      <c r="E59" s="312" t="s">
        <v>1892</v>
      </c>
      <c r="F59" s="445"/>
      <c r="I59" s="490"/>
    </row>
    <row r="60" spans="1:9">
      <c r="D60" s="447"/>
      <c r="I60" s="490"/>
    </row>
    <row r="61" spans="1:9" ht="14.4">
      <c r="A61" s="484"/>
      <c r="B61" s="485" t="s">
        <v>2762</v>
      </c>
      <c r="D61" s="1290" t="s">
        <v>1095</v>
      </c>
      <c r="E61" s="1290"/>
      <c r="F61" s="1290"/>
      <c r="I61" s="490"/>
    </row>
    <row r="62" spans="1:9">
      <c r="D62" s="1290"/>
      <c r="E62" s="1290"/>
      <c r="F62" s="1290"/>
      <c r="I62" s="490"/>
    </row>
    <row r="63" spans="1:9">
      <c r="D63" s="1290"/>
      <c r="E63" s="1290"/>
      <c r="F63" s="1290"/>
      <c r="I63" s="490"/>
    </row>
    <row r="64" spans="1:9">
      <c r="I64" s="490"/>
    </row>
    <row r="65" spans="1:9" ht="14.4">
      <c r="A65" s="484"/>
      <c r="B65" s="485" t="s">
        <v>2762</v>
      </c>
      <c r="D65" s="1290" t="s">
        <v>1096</v>
      </c>
      <c r="E65" s="1290"/>
      <c r="F65" s="1290"/>
      <c r="I65" s="490"/>
    </row>
    <row r="66" spans="1:9">
      <c r="D66" s="1290"/>
      <c r="E66" s="1290"/>
      <c r="F66" s="1290"/>
      <c r="I66" s="490"/>
    </row>
    <row r="67" spans="1:9">
      <c r="I67" s="490"/>
    </row>
    <row r="68" spans="1:9" ht="14.4">
      <c r="A68" s="484"/>
      <c r="B68" s="485" t="s">
        <v>2761</v>
      </c>
      <c r="D68" s="1290" t="s">
        <v>1097</v>
      </c>
      <c r="E68" s="1290"/>
      <c r="F68" s="1290"/>
      <c r="I68" s="490"/>
    </row>
    <row r="69" spans="1:9">
      <c r="D69" s="1290"/>
      <c r="E69" s="1290"/>
      <c r="F69" s="1290"/>
      <c r="I69" s="490"/>
    </row>
    <row r="70" spans="1:9">
      <c r="D70" s="1290"/>
      <c r="E70" s="1290"/>
      <c r="F70" s="1290"/>
      <c r="I70" s="490"/>
    </row>
    <row r="71" spans="1:9">
      <c r="I71" s="490"/>
    </row>
    <row r="72" spans="1:9" ht="14.4">
      <c r="A72" s="484"/>
      <c r="B72" s="485" t="s">
        <v>2761</v>
      </c>
      <c r="D72" s="1290" t="s">
        <v>1098</v>
      </c>
      <c r="E72" s="1290"/>
      <c r="F72" s="1290"/>
      <c r="I72" s="490"/>
    </row>
    <row r="73" spans="1:9">
      <c r="D73" s="1290"/>
      <c r="E73" s="1290"/>
      <c r="F73" s="1290"/>
      <c r="I73" s="490"/>
    </row>
    <row r="74" spans="1:9" ht="14.4">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65" customHeight="1">
      <c r="A80" s="484"/>
      <c r="B80" s="485" t="s">
        <v>2761</v>
      </c>
      <c r="D80" s="1290" t="s">
        <v>1244</v>
      </c>
      <c r="E80" s="1290"/>
      <c r="F80" s="1290"/>
      <c r="I80" s="490"/>
    </row>
    <row r="81" spans="1:9" ht="14.4">
      <c r="A81" s="484"/>
      <c r="B81" s="484"/>
      <c r="D81" s="1290"/>
      <c r="E81" s="1290"/>
      <c r="F81" s="1290"/>
      <c r="I81" s="490"/>
    </row>
    <row r="82" spans="1:9" ht="14.4">
      <c r="A82" s="484"/>
      <c r="B82" s="484"/>
      <c r="D82" s="1290"/>
      <c r="E82" s="1290"/>
      <c r="F82" s="1290"/>
      <c r="I82" s="490"/>
    </row>
    <row r="83" spans="1:9" ht="14.4">
      <c r="A83" s="484"/>
      <c r="B83" s="484"/>
      <c r="D83" s="1290"/>
      <c r="E83" s="1290"/>
      <c r="F83" s="1290"/>
      <c r="I83" s="490"/>
    </row>
    <row r="84" spans="1:9" ht="14.4">
      <c r="A84" s="484"/>
      <c r="B84" s="484"/>
      <c r="D84" s="1290"/>
      <c r="E84" s="1290"/>
      <c r="F84" s="1290"/>
      <c r="I84" s="490"/>
    </row>
    <row r="85" spans="1:9" ht="14.4">
      <c r="A85" s="484"/>
      <c r="B85" s="484"/>
      <c r="D85" s="1290"/>
      <c r="E85" s="1290"/>
      <c r="F85" s="1290"/>
      <c r="I85" s="490"/>
    </row>
    <row r="86" spans="1:9" ht="14.4">
      <c r="A86" s="484"/>
      <c r="B86" s="484"/>
      <c r="D86" s="1290"/>
      <c r="E86" s="1290"/>
      <c r="F86" s="1290"/>
      <c r="I86" s="490"/>
    </row>
    <row r="87" spans="1:9" ht="14.4">
      <c r="A87" s="484"/>
      <c r="B87" s="484"/>
      <c r="D87" s="1290"/>
      <c r="E87" s="1290"/>
      <c r="F87" s="1290"/>
      <c r="I87" s="490"/>
    </row>
    <row r="88" spans="1:9" ht="14.4">
      <c r="A88" s="484"/>
      <c r="B88" s="484"/>
      <c r="D88" s="385"/>
      <c r="E88" s="385"/>
      <c r="F88" s="385"/>
      <c r="I88" s="490"/>
    </row>
    <row r="89" spans="1:9" ht="15" customHeight="1">
      <c r="A89" s="484"/>
      <c r="B89" s="485" t="s">
        <v>2761</v>
      </c>
      <c r="D89" s="1290" t="s">
        <v>1730</v>
      </c>
      <c r="E89" s="1290"/>
      <c r="F89" s="1290"/>
      <c r="I89" s="490"/>
    </row>
    <row r="90" spans="1:9" ht="14.4">
      <c r="A90" s="484"/>
      <c r="B90" s="484"/>
      <c r="D90" s="1290"/>
      <c r="E90" s="1290"/>
      <c r="F90" s="1290"/>
      <c r="I90" s="490"/>
    </row>
    <row r="91" spans="1:9" ht="14.4">
      <c r="A91" s="484"/>
      <c r="B91" s="484"/>
      <c r="D91" s="445"/>
      <c r="E91" s="445"/>
      <c r="F91" s="445"/>
      <c r="I91" s="490"/>
    </row>
    <row r="92" spans="1:9" ht="14.4">
      <c r="A92" s="484"/>
      <c r="B92" s="485" t="s">
        <v>2762</v>
      </c>
      <c r="D92" s="1290" t="s">
        <v>1733</v>
      </c>
      <c r="E92" s="1290"/>
      <c r="F92" s="1290"/>
      <c r="I92" s="490"/>
    </row>
    <row r="93" spans="1:9" ht="14.4">
      <c r="A93" s="484"/>
      <c r="B93" s="484"/>
      <c r="D93" s="1290"/>
      <c r="E93" s="1290"/>
      <c r="F93" s="1290"/>
      <c r="I93" s="490"/>
    </row>
    <row r="94" spans="1:9" ht="14.4">
      <c r="A94" s="484"/>
      <c r="B94" s="484"/>
      <c r="D94" s="1290"/>
      <c r="E94" s="1290"/>
      <c r="F94" s="1290"/>
      <c r="I94" s="490"/>
    </row>
    <row r="95" spans="1:9" ht="14.4">
      <c r="A95" s="484"/>
      <c r="B95" s="484"/>
      <c r="D95" s="445"/>
      <c r="E95" s="445"/>
      <c r="F95" s="445"/>
      <c r="I95" s="490"/>
    </row>
    <row r="96" spans="1:9" ht="14.4">
      <c r="A96" s="484"/>
      <c r="B96" s="485" t="s">
        <v>2761</v>
      </c>
      <c r="D96" s="1290" t="s">
        <v>1732</v>
      </c>
      <c r="E96" s="1290"/>
      <c r="F96" s="1290"/>
      <c r="I96" s="490"/>
    </row>
    <row r="97" spans="1:9" s="982" customFormat="1" ht="14.4">
      <c r="A97" s="980"/>
      <c r="B97" s="980"/>
      <c r="C97" s="981"/>
      <c r="D97" s="1290"/>
      <c r="E97" s="1290"/>
      <c r="F97" s="1290"/>
      <c r="I97" s="1148"/>
    </row>
    <row r="98" spans="1:9" ht="14.4">
      <c r="A98" s="484"/>
      <c r="B98" s="484"/>
      <c r="D98" s="392"/>
      <c r="E98" s="312" t="s">
        <v>1896</v>
      </c>
      <c r="F98" s="445"/>
      <c r="I98" s="490"/>
    </row>
    <row r="99" spans="1:9" ht="14.4">
      <c r="A99" s="484"/>
      <c r="B99" s="484"/>
      <c r="D99" s="385"/>
      <c r="E99" s="385"/>
      <c r="F99" s="385"/>
      <c r="I99" s="490"/>
    </row>
    <row r="100" spans="1:9" ht="14.4">
      <c r="A100" s="484"/>
      <c r="B100" s="485" t="s">
        <v>2762</v>
      </c>
      <c r="D100" s="1290" t="s">
        <v>1731</v>
      </c>
      <c r="E100" s="1290"/>
      <c r="F100" s="1290"/>
      <c r="I100" s="490"/>
    </row>
    <row r="101" spans="1:9" ht="14.4">
      <c r="A101" s="484"/>
      <c r="B101" s="484"/>
      <c r="D101" s="1290"/>
      <c r="E101" s="1290"/>
      <c r="F101" s="1290"/>
      <c r="I101" s="490"/>
    </row>
    <row r="102" spans="1:9" ht="14.4">
      <c r="A102" s="484"/>
      <c r="B102" s="484"/>
      <c r="D102" s="445"/>
      <c r="E102" s="445"/>
      <c r="F102" s="445"/>
      <c r="I102" s="490"/>
    </row>
    <row r="103" spans="1:9" ht="14.4" customHeight="1">
      <c r="A103" s="484"/>
      <c r="B103" s="485" t="s">
        <v>2762</v>
      </c>
      <c r="D103" s="1290" t="s">
        <v>1193</v>
      </c>
      <c r="E103" s="1290"/>
      <c r="F103" s="1290"/>
      <c r="I103" s="490"/>
    </row>
    <row r="104" spans="1:9" ht="14.4">
      <c r="A104" s="484"/>
      <c r="B104" s="484"/>
      <c r="D104" s="1290"/>
      <c r="E104" s="1290"/>
      <c r="F104" s="1290"/>
      <c r="I104" s="490"/>
    </row>
    <row r="105" spans="1:9" ht="14.4">
      <c r="A105" s="484"/>
      <c r="B105" s="484"/>
      <c r="D105" s="1290"/>
      <c r="E105" s="1290"/>
      <c r="F105" s="1290"/>
      <c r="I105" s="490"/>
    </row>
    <row r="106" spans="1:9" ht="14.4">
      <c r="A106" s="484"/>
      <c r="B106" s="484"/>
      <c r="D106" s="1290"/>
      <c r="E106" s="1290"/>
      <c r="F106" s="1290"/>
      <c r="I106" s="490"/>
    </row>
    <row r="107" spans="1:9" ht="14.4">
      <c r="A107" s="484"/>
      <c r="B107" s="484"/>
      <c r="D107" s="1290"/>
      <c r="E107" s="1290"/>
      <c r="F107" s="1290"/>
      <c r="I107" s="490"/>
    </row>
    <row r="108" spans="1:9" ht="14.4">
      <c r="A108" s="484"/>
      <c r="B108" s="484"/>
      <c r="D108" s="1290"/>
      <c r="E108" s="1290"/>
      <c r="F108" s="1290"/>
      <c r="I108" s="490"/>
    </row>
    <row r="109" spans="1:9" ht="14.4">
      <c r="A109" s="484"/>
      <c r="B109" s="484"/>
      <c r="D109" s="1290"/>
      <c r="E109" s="1290"/>
      <c r="F109" s="1290"/>
      <c r="I109" s="490"/>
    </row>
    <row r="110" spans="1:9" ht="14.4">
      <c r="A110" s="484"/>
      <c r="B110" s="484"/>
      <c r="D110" s="1290"/>
      <c r="E110" s="1290"/>
      <c r="F110" s="1290"/>
      <c r="I110" s="490"/>
    </row>
    <row r="111" spans="1:9" ht="14.4">
      <c r="A111" s="484"/>
      <c r="B111" s="484"/>
      <c r="D111" s="1290"/>
      <c r="E111" s="1290"/>
      <c r="F111" s="1290"/>
      <c r="I111" s="490"/>
    </row>
    <row r="112" spans="1:9" ht="14.4">
      <c r="A112" s="484"/>
      <c r="B112" s="484"/>
      <c r="D112" s="1290"/>
      <c r="E112" s="1290"/>
      <c r="F112" s="1290"/>
      <c r="I112" s="490"/>
    </row>
    <row r="113" spans="1:9" ht="14.4">
      <c r="A113" s="484"/>
      <c r="B113" s="484"/>
      <c r="D113" s="1290"/>
      <c r="E113" s="1290"/>
      <c r="F113" s="1290"/>
      <c r="I113" s="490"/>
    </row>
    <row r="114" spans="1:9" ht="14.4">
      <c r="A114" s="484"/>
      <c r="B114" s="484"/>
      <c r="D114" s="1290"/>
      <c r="E114" s="1290"/>
      <c r="F114" s="1290"/>
      <c r="I114" s="490"/>
    </row>
    <row r="115" spans="1:9" ht="14.4">
      <c r="A115" s="484"/>
      <c r="B115" s="484"/>
      <c r="D115" s="1290"/>
      <c r="E115" s="1290"/>
      <c r="F115" s="1290"/>
      <c r="I115" s="490"/>
    </row>
    <row r="116" spans="1:9" ht="14.4">
      <c r="A116" s="484"/>
      <c r="B116" s="484"/>
      <c r="D116" s="1290"/>
      <c r="E116" s="1290"/>
      <c r="F116" s="1290"/>
      <c r="I116" s="490"/>
    </row>
    <row r="117" spans="1:9" ht="14.4">
      <c r="A117" s="484"/>
      <c r="B117" s="484"/>
      <c r="D117" s="1290"/>
      <c r="E117" s="1290"/>
      <c r="F117" s="1290"/>
      <c r="I117" s="490"/>
    </row>
    <row r="118" spans="1:9" ht="14.4">
      <c r="A118" s="484"/>
      <c r="B118" s="484"/>
      <c r="D118" s="524"/>
      <c r="E118" s="524"/>
      <c r="F118" s="524"/>
      <c r="I118" s="490"/>
    </row>
    <row r="119" spans="1:9" ht="14.25" customHeight="1">
      <c r="A119" s="484"/>
      <c r="B119" s="485" t="s">
        <v>2762</v>
      </c>
      <c r="D119" s="1308" t="s">
        <v>1102</v>
      </c>
      <c r="E119" s="1308"/>
      <c r="F119" s="1308"/>
      <c r="I119" s="490"/>
    </row>
    <row r="120" spans="1:9" ht="14.4">
      <c r="A120" s="484"/>
      <c r="B120" s="484"/>
      <c r="D120" s="1308"/>
      <c r="E120" s="1308"/>
      <c r="F120" s="1308"/>
      <c r="I120" s="490"/>
    </row>
    <row r="121" spans="1:9" ht="14.4">
      <c r="A121" s="484"/>
      <c r="B121" s="484"/>
      <c r="D121" s="1308"/>
      <c r="E121" s="1308"/>
      <c r="F121" s="1308"/>
      <c r="I121" s="490"/>
    </row>
    <row r="122" spans="1:9" ht="14.4">
      <c r="A122" s="484"/>
      <c r="B122" s="484"/>
      <c r="D122" s="1308"/>
      <c r="E122" s="1308"/>
      <c r="F122" s="1308"/>
      <c r="I122" s="490"/>
    </row>
    <row r="123" spans="1:9" ht="14.4">
      <c r="A123" s="484"/>
      <c r="B123" s="484"/>
      <c r="D123" s="1308"/>
      <c r="E123" s="1308"/>
      <c r="F123" s="1308"/>
      <c r="I123" s="490"/>
    </row>
    <row r="124" spans="1:9" ht="14.4">
      <c r="A124" s="484"/>
      <c r="B124" s="484"/>
      <c r="D124" s="1308"/>
      <c r="E124" s="1308"/>
      <c r="F124" s="1308"/>
      <c r="I124" s="490"/>
    </row>
    <row r="125" spans="1:9" ht="14.4">
      <c r="A125" s="484"/>
      <c r="B125" s="484"/>
      <c r="D125" s="1308"/>
      <c r="E125" s="1308"/>
      <c r="F125" s="1308"/>
      <c r="I125" s="490"/>
    </row>
    <row r="126" spans="1:9" ht="14.4">
      <c r="A126" s="484"/>
      <c r="B126" s="484"/>
      <c r="D126" s="1308"/>
      <c r="E126" s="1308"/>
      <c r="F126" s="1308"/>
      <c r="I126" s="490"/>
    </row>
    <row r="127" spans="1:9">
      <c r="C127" s="402"/>
      <c r="D127" s="525"/>
      <c r="E127" s="525"/>
      <c r="F127" s="525"/>
      <c r="I127" s="490"/>
    </row>
    <row r="128" spans="1:9" ht="14.4">
      <c r="A128" s="484"/>
      <c r="B128" s="485" t="s">
        <v>2761</v>
      </c>
      <c r="C128" s="402"/>
      <c r="D128" s="1308" t="s">
        <v>2009</v>
      </c>
      <c r="E128" s="1308"/>
      <c r="F128" s="1308"/>
      <c r="I128" s="490"/>
    </row>
    <row r="129" spans="1:9" ht="14.4">
      <c r="A129" s="484"/>
      <c r="B129" s="484"/>
      <c r="C129" s="402"/>
      <c r="D129" s="1308"/>
      <c r="E129" s="1308"/>
      <c r="F129" s="1308"/>
      <c r="I129" s="490"/>
    </row>
    <row r="130" spans="1:9">
      <c r="I130" s="490"/>
    </row>
    <row r="131" spans="1:9" ht="14.4">
      <c r="A131" s="484"/>
      <c r="B131" s="485" t="s">
        <v>2761</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4">
      <c r="A137" s="484"/>
      <c r="B137" s="485" t="s">
        <v>2761</v>
      </c>
      <c r="D137" s="1290" t="s">
        <v>1104</v>
      </c>
      <c r="E137" s="1290"/>
      <c r="F137" s="1290"/>
      <c r="I137" s="490"/>
    </row>
    <row r="138" spans="1:9" s="417" customFormat="1" ht="13.65" customHeight="1">
      <c r="A138" s="488"/>
      <c r="B138" s="488"/>
      <c r="C138" s="488"/>
      <c r="D138" s="1290"/>
      <c r="E138" s="1290"/>
      <c r="F138" s="1290"/>
      <c r="I138" s="1149"/>
    </row>
    <row r="139" spans="1:9" ht="13.65" customHeight="1">
      <c r="D139" s="1290"/>
      <c r="E139" s="1290"/>
      <c r="F139" s="1290"/>
      <c r="I139" s="490"/>
    </row>
    <row r="140" spans="1:9" ht="13.65" customHeight="1">
      <c r="D140" s="1290"/>
      <c r="E140" s="1290"/>
      <c r="F140" s="1290"/>
      <c r="I140" s="490"/>
    </row>
    <row r="141" spans="1:9" ht="13.65" customHeight="1">
      <c r="D141" s="1290"/>
      <c r="E141" s="1290"/>
      <c r="F141" s="1290"/>
      <c r="I141" s="490"/>
    </row>
    <row r="142" spans="1:9" ht="13.65" customHeight="1">
      <c r="A142" s="489"/>
      <c r="B142" s="489"/>
      <c r="D142" s="1290"/>
      <c r="E142" s="1290"/>
      <c r="F142" s="1290"/>
      <c r="I142" s="490"/>
    </row>
    <row r="143" spans="1:9" ht="13.65" customHeight="1">
      <c r="D143" s="1290"/>
      <c r="E143" s="1290"/>
      <c r="F143" s="1290"/>
      <c r="I143" s="490"/>
    </row>
    <row r="144" spans="1:9" ht="13.65" customHeight="1">
      <c r="D144" s="1290"/>
      <c r="E144" s="1290"/>
      <c r="F144" s="1290"/>
      <c r="I144" s="490"/>
    </row>
    <row r="145" spans="2:9" ht="13.65" customHeight="1">
      <c r="D145" s="1290"/>
      <c r="E145" s="1290"/>
      <c r="F145" s="1290"/>
      <c r="I145" s="490"/>
    </row>
    <row r="146" spans="2:9" ht="13.65" customHeight="1">
      <c r="D146" s="1290"/>
      <c r="E146" s="1290"/>
      <c r="F146" s="1290"/>
      <c r="I146" s="490"/>
    </row>
    <row r="147" spans="2:9" ht="13.65" customHeight="1">
      <c r="D147" s="1290"/>
      <c r="E147" s="1290"/>
      <c r="F147" s="1290"/>
      <c r="I147" s="490"/>
    </row>
    <row r="148" spans="2:9" ht="13.65" customHeight="1">
      <c r="D148" s="1290"/>
      <c r="E148" s="1290"/>
      <c r="F148" s="1290"/>
      <c r="I148" s="490"/>
    </row>
    <row r="149" spans="2:9" ht="13.65" customHeight="1">
      <c r="D149" s="1290"/>
      <c r="E149" s="1290"/>
      <c r="F149" s="1290"/>
      <c r="I149" s="490"/>
    </row>
    <row r="150" spans="2:9" ht="13.65" customHeight="1">
      <c r="D150" s="476"/>
      <c r="E150" s="446"/>
      <c r="F150" s="446"/>
      <c r="I150" s="490"/>
    </row>
    <row r="151" spans="2:9" ht="13.65" customHeight="1">
      <c r="B151" s="485" t="s">
        <v>2762</v>
      </c>
      <c r="D151" s="1290" t="s">
        <v>1176</v>
      </c>
      <c r="E151" s="1290"/>
      <c r="F151" s="1290"/>
      <c r="I151" s="490"/>
    </row>
    <row r="152" spans="2:9" ht="13.65" customHeight="1">
      <c r="D152" s="1290"/>
      <c r="E152" s="1290"/>
      <c r="F152" s="1290"/>
      <c r="I152" s="490"/>
    </row>
    <row r="153" spans="2:9" ht="13.65" customHeight="1">
      <c r="D153" s="1290"/>
      <c r="E153" s="1290"/>
      <c r="F153" s="1290"/>
      <c r="I153" s="490"/>
    </row>
    <row r="154" spans="2:9" ht="13.65" customHeight="1">
      <c r="D154" s="1290"/>
      <c r="E154" s="1290"/>
      <c r="F154" s="1290"/>
      <c r="I154" s="490"/>
    </row>
    <row r="155" spans="2:9" ht="13.65" customHeight="1">
      <c r="D155" s="1290"/>
      <c r="E155" s="1290"/>
      <c r="F155" s="1290"/>
      <c r="I155" s="490"/>
    </row>
    <row r="156" spans="2:9" ht="13.65" customHeight="1">
      <c r="D156" s="1290"/>
      <c r="E156" s="1290"/>
      <c r="F156" s="1290"/>
      <c r="I156" s="490"/>
    </row>
    <row r="157" spans="2:9" ht="13.65" customHeight="1">
      <c r="D157" s="1290"/>
      <c r="E157" s="1290"/>
      <c r="F157" s="1290"/>
      <c r="I157" s="490"/>
    </row>
    <row r="158" spans="2:9" ht="13.65" customHeight="1">
      <c r="D158" s="1290"/>
      <c r="E158" s="1290"/>
      <c r="F158" s="1290"/>
      <c r="I158" s="490"/>
    </row>
    <row r="159" spans="2:9" ht="13.65" customHeight="1">
      <c r="D159" s="1290"/>
      <c r="E159" s="1290"/>
      <c r="F159" s="1290"/>
      <c r="I159" s="490"/>
    </row>
    <row r="160" spans="2:9" ht="13.65" customHeight="1">
      <c r="D160" s="1290"/>
      <c r="E160" s="1290"/>
      <c r="F160" s="1290"/>
      <c r="I160" s="490"/>
    </row>
    <row r="161" spans="1:9" ht="13.65" customHeight="1">
      <c r="D161" s="1290"/>
      <c r="E161" s="1290"/>
      <c r="F161" s="1290"/>
      <c r="I161" s="490"/>
    </row>
    <row r="162" spans="1:9" ht="13.65" customHeight="1">
      <c r="D162" s="1290"/>
      <c r="E162" s="1290"/>
      <c r="F162" s="1290"/>
      <c r="I162" s="490"/>
    </row>
    <row r="163" spans="1:9" ht="13.65" customHeight="1">
      <c r="D163" s="1290"/>
      <c r="E163" s="1290"/>
      <c r="F163" s="1290"/>
      <c r="I163" s="490"/>
    </row>
    <row r="164" spans="1:9" ht="13.65" customHeight="1">
      <c r="D164" s="1290"/>
      <c r="E164" s="1290"/>
      <c r="F164" s="1290"/>
      <c r="I164" s="490"/>
    </row>
    <row r="165" spans="1:9" ht="13.65" customHeight="1">
      <c r="D165" s="1290"/>
      <c r="E165" s="1290"/>
      <c r="F165" s="1290"/>
      <c r="I165" s="490"/>
    </row>
    <row r="166" spans="1:9" ht="13.65" customHeight="1">
      <c r="D166" s="1290"/>
      <c r="E166" s="1290"/>
      <c r="F166" s="1290"/>
      <c r="I166" s="490"/>
    </row>
    <row r="167" spans="1:9" ht="13.65" customHeight="1">
      <c r="D167" s="1290"/>
      <c r="E167" s="1290"/>
      <c r="F167" s="1290"/>
      <c r="I167" s="490"/>
    </row>
    <row r="168" spans="1:9" ht="13.65" customHeight="1">
      <c r="D168" s="1290"/>
      <c r="E168" s="1290"/>
      <c r="F168" s="1290"/>
      <c r="I168" s="490"/>
    </row>
    <row r="169" spans="1:9" ht="13.65" customHeight="1">
      <c r="D169" s="1309" t="s">
        <v>2031</v>
      </c>
      <c r="E169" s="1309"/>
      <c r="F169" s="1309"/>
      <c r="G169" s="507"/>
      <c r="I169" s="490"/>
    </row>
    <row r="170" spans="1:9" ht="13.65" customHeight="1">
      <c r="D170" s="1304"/>
      <c r="E170" s="1304"/>
      <c r="F170" s="1304"/>
      <c r="G170" s="1304"/>
      <c r="I170" s="490"/>
    </row>
    <row r="171" spans="1:9" ht="14.4" customHeight="1">
      <c r="A171" s="489"/>
      <c r="B171" s="485" t="s">
        <v>2762</v>
      </c>
      <c r="C171" s="476"/>
      <c r="D171" s="1269" t="s">
        <v>2167</v>
      </c>
      <c r="E171" s="1269"/>
      <c r="F171" s="1269"/>
      <c r="G171" s="476"/>
      <c r="I171" s="490"/>
    </row>
    <row r="172" spans="1:9" ht="14.4" customHeight="1">
      <c r="A172" s="489"/>
      <c r="B172" s="489"/>
      <c r="C172" s="476"/>
      <c r="D172" s="1269"/>
      <c r="E172" s="1269"/>
      <c r="F172" s="1269"/>
      <c r="G172" s="476"/>
      <c r="I172" s="490"/>
    </row>
    <row r="173" spans="1:9" ht="14.4" customHeight="1">
      <c r="A173" s="489"/>
      <c r="B173" s="489"/>
      <c r="C173" s="476"/>
      <c r="D173" s="1269"/>
      <c r="E173" s="1269"/>
      <c r="F173" s="1269"/>
      <c r="G173" s="476"/>
      <c r="I173" s="490"/>
    </row>
    <row r="174" spans="1:9" ht="14.4" customHeight="1">
      <c r="A174" s="489"/>
      <c r="B174" s="489"/>
      <c r="C174" s="476"/>
      <c r="D174" s="1269"/>
      <c r="E174" s="1269"/>
      <c r="F174" s="1269"/>
      <c r="G174" s="476"/>
      <c r="I174" s="490"/>
    </row>
    <row r="175" spans="1:9" ht="13.65" customHeight="1">
      <c r="A175" s="489"/>
      <c r="B175" s="489"/>
      <c r="C175" s="476"/>
      <c r="D175" s="1269"/>
      <c r="E175" s="1269"/>
      <c r="F175" s="1269"/>
      <c r="G175" s="476"/>
      <c r="I175" s="490"/>
    </row>
    <row r="176" spans="1:9" ht="13.65" customHeight="1">
      <c r="A176" s="489"/>
      <c r="B176" s="489"/>
      <c r="C176" s="476"/>
      <c r="D176" s="476"/>
      <c r="E176" s="476"/>
      <c r="F176" s="476"/>
      <c r="G176" s="476"/>
      <c r="I176" s="490"/>
    </row>
    <row r="177" spans="1:9" ht="13.65" customHeight="1">
      <c r="A177" s="489"/>
      <c r="B177" s="485" t="s">
        <v>2761</v>
      </c>
      <c r="C177" s="476"/>
      <c r="D177" s="1269" t="s">
        <v>1105</v>
      </c>
      <c r="E177" s="1269"/>
      <c r="F177" s="1269"/>
      <c r="G177" s="476"/>
      <c r="I177" s="490"/>
    </row>
    <row r="178" spans="1:9" ht="13.65" customHeight="1">
      <c r="A178" s="489"/>
      <c r="B178" s="489"/>
      <c r="C178" s="476"/>
      <c r="D178" s="1269"/>
      <c r="E178" s="1269"/>
      <c r="F178" s="1269"/>
      <c r="G178" s="476"/>
      <c r="I178" s="490"/>
    </row>
    <row r="179" spans="1:9" ht="13.65" customHeight="1">
      <c r="A179" s="489"/>
      <c r="B179" s="489"/>
      <c r="C179" s="476"/>
      <c r="D179" s="1269"/>
      <c r="E179" s="1269"/>
      <c r="F179" s="1269"/>
      <c r="G179" s="476"/>
      <c r="I179" s="490"/>
    </row>
    <row r="180" spans="1:9" ht="13.65" customHeight="1">
      <c r="A180" s="489"/>
      <c r="B180" s="489"/>
      <c r="C180" s="476"/>
      <c r="D180" s="1269"/>
      <c r="E180" s="1269"/>
      <c r="F180" s="1269"/>
      <c r="G180" s="476"/>
      <c r="I180" s="490"/>
    </row>
    <row r="181" spans="1:9" ht="13.65" customHeight="1">
      <c r="D181" s="446"/>
      <c r="E181" s="446"/>
      <c r="F181" s="446"/>
      <c r="I181" s="490"/>
    </row>
    <row r="182" spans="1:9" ht="13.65" hidden="1" customHeight="1">
      <c r="B182" s="485" t="s">
        <v>306</v>
      </c>
      <c r="D182" s="1294" t="s">
        <v>2010</v>
      </c>
      <c r="E182" s="1294"/>
      <c r="F182" s="1294"/>
      <c r="I182" s="490"/>
    </row>
    <row r="183" spans="1:9" ht="13.65" hidden="1" customHeight="1">
      <c r="D183" s="1294"/>
      <c r="E183" s="1294"/>
      <c r="F183" s="1294"/>
      <c r="I183" s="490"/>
    </row>
    <row r="184" spans="1:9" ht="13.65" hidden="1" customHeight="1">
      <c r="D184" s="1294"/>
      <c r="E184" s="1294"/>
      <c r="F184" s="1294"/>
      <c r="I184" s="490"/>
    </row>
    <row r="185" spans="1:9" ht="13.65"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65"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2761</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2762</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2762</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2762</v>
      </c>
      <c r="D209" s="386" t="s">
        <v>1867</v>
      </c>
      <c r="E209" s="385"/>
      <c r="F209" s="385"/>
      <c r="I209" s="490"/>
    </row>
    <row r="210" spans="1:9" ht="14.4">
      <c r="A210" s="484"/>
      <c r="B210" s="484"/>
      <c r="D210" s="1305" t="s">
        <v>1874</v>
      </c>
      <c r="E210" s="1305"/>
      <c r="F210" s="1305"/>
      <c r="I210" s="490"/>
    </row>
    <row r="211" spans="1:9">
      <c r="D211" s="385"/>
      <c r="E211" s="1307" t="s">
        <v>1900</v>
      </c>
      <c r="F211" s="1307"/>
      <c r="I211" s="490"/>
    </row>
    <row r="212" spans="1:9">
      <c r="D212" s="447"/>
      <c r="I212" s="490"/>
    </row>
    <row r="213" spans="1:9">
      <c r="B213" s="485" t="s">
        <v>2762</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4">
      <c r="A217" s="484"/>
      <c r="B217" s="485" t="s">
        <v>2762</v>
      </c>
      <c r="D217" s="1290" t="s">
        <v>1215</v>
      </c>
      <c r="E217" s="1290"/>
      <c r="F217" s="1290"/>
      <c r="I217" s="490"/>
    </row>
    <row r="218" spans="1:9" ht="14.4" customHeight="1">
      <c r="A218" s="484"/>
      <c r="B218" s="402"/>
      <c r="D218" s="1290"/>
      <c r="E218" s="1290"/>
      <c r="F218" s="1290"/>
      <c r="I218" s="490"/>
    </row>
    <row r="219" spans="1:9" ht="14.4">
      <c r="A219" s="484"/>
      <c r="D219" s="1290"/>
      <c r="E219" s="1290"/>
      <c r="F219" s="1290"/>
      <c r="I219" s="490"/>
    </row>
    <row r="220" spans="1:9" ht="14.4">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207</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65" customHeight="1">
      <c r="A227" s="490"/>
      <c r="C227" s="490"/>
      <c r="D227" s="1299" t="s">
        <v>545</v>
      </c>
      <c r="E227" s="1299"/>
      <c r="F227" s="1299"/>
      <c r="I227" s="490"/>
    </row>
    <row r="228" spans="1:9" ht="14.4">
      <c r="A228" s="484"/>
      <c r="B228" s="485" t="s">
        <v>2761</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4">
      <c r="A231" s="484"/>
      <c r="B231" s="484"/>
      <c r="D231" s="1290"/>
      <c r="E231" s="1290"/>
      <c r="F231" s="1290"/>
      <c r="I231" s="490"/>
    </row>
    <row r="232" spans="1:9" ht="14.4">
      <c r="A232" s="484"/>
      <c r="B232" s="484"/>
      <c r="D232" s="445"/>
      <c r="E232" s="445"/>
      <c r="F232" s="445"/>
      <c r="I232" s="490"/>
    </row>
    <row r="233" spans="1:9" ht="14.4">
      <c r="A233" s="484"/>
      <c r="B233" s="485" t="s">
        <v>2761</v>
      </c>
      <c r="D233" s="1290" t="s">
        <v>1742</v>
      </c>
      <c r="E233" s="1290"/>
      <c r="F233" s="1290"/>
      <c r="I233" s="490"/>
    </row>
    <row r="234" spans="1:9" ht="14.4">
      <c r="A234" s="484"/>
      <c r="B234" s="484"/>
      <c r="D234" s="1290"/>
      <c r="E234" s="1290"/>
      <c r="F234" s="1290"/>
      <c r="I234" s="490"/>
    </row>
    <row r="235" spans="1:9" ht="14.4">
      <c r="A235" s="484"/>
      <c r="B235" s="484"/>
      <c r="D235" s="1290"/>
      <c r="E235" s="1290"/>
      <c r="F235" s="1290"/>
      <c r="I235" s="490"/>
    </row>
    <row r="236" spans="1:9" ht="14.4">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4">
      <c r="A239" s="484"/>
      <c r="B239" s="484"/>
      <c r="D239" s="1290" t="s">
        <v>1117</v>
      </c>
      <c r="E239" s="1290"/>
      <c r="F239" s="1290"/>
      <c r="I239" s="490"/>
    </row>
    <row r="240" spans="1:9" ht="14.4">
      <c r="A240" s="484"/>
      <c r="B240" s="484"/>
      <c r="D240" s="1290"/>
      <c r="E240" s="1290"/>
      <c r="F240" s="1290"/>
      <c r="I240" s="490"/>
    </row>
    <row r="241" spans="1:9" ht="14.4">
      <c r="A241" s="484"/>
      <c r="B241" s="484"/>
      <c r="D241" s="1290"/>
      <c r="E241" s="1290"/>
      <c r="F241" s="1290"/>
      <c r="I241" s="490"/>
    </row>
    <row r="242" spans="1:9" ht="14.4">
      <c r="A242" s="484"/>
      <c r="B242" s="484"/>
      <c r="D242" s="1290"/>
      <c r="E242" s="1290"/>
      <c r="F242" s="1290"/>
      <c r="I242" s="490"/>
    </row>
    <row r="243" spans="1:9" ht="14.4">
      <c r="A243" s="484"/>
      <c r="B243" s="484"/>
      <c r="D243" s="1290"/>
      <c r="E243" s="1290"/>
      <c r="F243" s="1290"/>
      <c r="I243" s="490"/>
    </row>
    <row r="244" spans="1:9" ht="14.4">
      <c r="A244" s="484"/>
      <c r="B244" s="484"/>
      <c r="D244" s="446"/>
      <c r="E244" s="446"/>
      <c r="F244" s="446"/>
      <c r="I244" s="490"/>
    </row>
    <row r="245" spans="1:9" ht="14.4">
      <c r="A245" s="484"/>
      <c r="B245" s="485" t="s">
        <v>2761</v>
      </c>
      <c r="D245" s="1290" t="s">
        <v>2012</v>
      </c>
      <c r="E245" s="1290"/>
      <c r="F245" s="1290"/>
      <c r="I245" s="490"/>
    </row>
    <row r="246" spans="1:9" ht="14.4">
      <c r="A246" s="484"/>
      <c r="B246" s="484"/>
      <c r="D246" s="1290"/>
      <c r="E246" s="1290"/>
      <c r="F246" s="1290"/>
      <c r="I246" s="490"/>
    </row>
    <row r="247" spans="1:9" ht="14.4">
      <c r="A247" s="484"/>
      <c r="B247" s="484"/>
      <c r="D247" s="1290"/>
      <c r="E247" s="1290"/>
      <c r="F247" s="1290"/>
      <c r="I247" s="490"/>
    </row>
    <row r="248" spans="1:9" ht="14.4">
      <c r="A248" s="484"/>
      <c r="B248" s="484"/>
      <c r="E248" s="1031" t="s">
        <v>1868</v>
      </c>
      <c r="I248" s="490"/>
    </row>
    <row r="249" spans="1:9" ht="14.4">
      <c r="A249" s="484"/>
      <c r="B249" s="484"/>
      <c r="D249" s="446"/>
      <c r="E249" s="446"/>
      <c r="F249" s="446"/>
      <c r="I249" s="490"/>
    </row>
    <row r="250" spans="1:9" ht="14.4" customHeight="1">
      <c r="A250" s="484"/>
      <c r="B250" s="485" t="s">
        <v>2762</v>
      </c>
      <c r="D250" s="1290" t="s">
        <v>2013</v>
      </c>
      <c r="E250" s="1290"/>
      <c r="F250" s="1290"/>
      <c r="I250" s="490"/>
    </row>
    <row r="251" spans="1:9" ht="14.4">
      <c r="A251" s="484"/>
      <c r="B251" s="484"/>
      <c r="D251" s="1290"/>
      <c r="E251" s="1290"/>
      <c r="F251" s="1290"/>
      <c r="I251" s="490"/>
    </row>
    <row r="252" spans="1:9" ht="14.4">
      <c r="A252" s="484"/>
      <c r="B252" s="484"/>
      <c r="D252" s="1290"/>
      <c r="E252" s="1290"/>
      <c r="F252" s="1290"/>
      <c r="I252" s="490"/>
    </row>
    <row r="253" spans="1:9" ht="14.4">
      <c r="A253" s="484"/>
      <c r="B253" s="484"/>
      <c r="D253" s="1290"/>
      <c r="E253" s="1290"/>
      <c r="F253" s="1290"/>
      <c r="I253" s="490"/>
    </row>
    <row r="254" spans="1:9" ht="14.4">
      <c r="A254" s="484"/>
      <c r="B254" s="484"/>
      <c r="D254" s="1290"/>
      <c r="E254" s="1290"/>
      <c r="F254" s="1290"/>
      <c r="I254" s="490"/>
    </row>
    <row r="255" spans="1:9" ht="14.4">
      <c r="A255" s="484"/>
      <c r="B255" s="484"/>
      <c r="D255" s="445"/>
      <c r="E255" s="445"/>
      <c r="F255" s="445"/>
      <c r="I255" s="490"/>
    </row>
    <row r="256" spans="1:9" ht="14.4">
      <c r="A256" s="484"/>
      <c r="B256" s="485" t="s">
        <v>2761</v>
      </c>
      <c r="D256" s="392" t="s">
        <v>2014</v>
      </c>
      <c r="E256" s="445"/>
      <c r="F256" s="445"/>
      <c r="I256" s="490"/>
    </row>
    <row r="257" spans="1:9" ht="14.4">
      <c r="A257" s="484"/>
      <c r="B257" s="484"/>
      <c r="E257" s="1031" t="s">
        <v>1869</v>
      </c>
      <c r="I257" s="490"/>
    </row>
    <row r="258" spans="1:9">
      <c r="D258" s="446"/>
      <c r="E258" s="446"/>
      <c r="F258" s="446"/>
      <c r="I258" s="490"/>
    </row>
    <row r="259" spans="1:9" ht="14.4">
      <c r="A259" s="484"/>
      <c r="B259" s="485" t="s">
        <v>2761</v>
      </c>
      <c r="D259" s="1290" t="s">
        <v>1118</v>
      </c>
      <c r="E259" s="1290"/>
      <c r="F259" s="1290"/>
      <c r="I259" s="490"/>
    </row>
    <row r="260" spans="1:9" ht="14.4">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268</v>
      </c>
      <c r="E266" s="1299"/>
      <c r="F266" s="1299"/>
      <c r="I266" s="490"/>
    </row>
    <row r="267" spans="1:9" ht="14.4" customHeight="1">
      <c r="A267" s="484"/>
      <c r="B267" s="485" t="s">
        <v>2761</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 customHeight="1">
      <c r="A271" s="484"/>
      <c r="B271" s="485" t="s">
        <v>2762</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4">
      <c r="A278" s="484"/>
      <c r="B278" s="485" t="s">
        <v>2761</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208</v>
      </c>
      <c r="E287" s="1299"/>
      <c r="F287" s="1299"/>
      <c r="I287" s="490"/>
    </row>
    <row r="288" spans="1:9" ht="15.75" customHeight="1">
      <c r="A288" s="484"/>
      <c r="B288" s="484"/>
      <c r="D288" s="1302" t="s">
        <v>1123</v>
      </c>
      <c r="E288" s="1302"/>
      <c r="F288" s="1302"/>
      <c r="I288" s="490"/>
    </row>
    <row r="289" spans="1:9">
      <c r="E289" s="446"/>
      <c r="F289" s="446"/>
      <c r="I289" s="490"/>
    </row>
    <row r="290" spans="1:9" ht="14.4">
      <c r="A290" s="484"/>
      <c r="B290" s="485" t="s">
        <v>2762</v>
      </c>
      <c r="D290" s="1290" t="s">
        <v>1124</v>
      </c>
      <c r="E290" s="1290"/>
      <c r="F290" s="1290"/>
      <c r="I290" s="490"/>
    </row>
    <row r="291" spans="1:9" ht="14.4">
      <c r="A291" s="484"/>
      <c r="B291" s="484"/>
      <c r="D291" s="1290"/>
      <c r="E291" s="1290"/>
      <c r="F291" s="1290"/>
      <c r="I291" s="490"/>
    </row>
    <row r="292" spans="1:9">
      <c r="D292" s="446"/>
      <c r="E292" s="446"/>
      <c r="F292" s="446"/>
      <c r="I292" s="490"/>
    </row>
    <row r="293" spans="1:9" ht="14.4">
      <c r="A293" s="484"/>
      <c r="B293" s="485" t="s">
        <v>2762</v>
      </c>
      <c r="D293" s="1290" t="s">
        <v>1125</v>
      </c>
      <c r="E293" s="1290"/>
      <c r="F293" s="1290"/>
      <c r="I293" s="490"/>
    </row>
    <row r="294" spans="1:9" ht="14.4">
      <c r="A294" s="484"/>
      <c r="B294" s="484"/>
      <c r="D294" s="1290"/>
      <c r="E294" s="1290"/>
      <c r="F294" s="1290"/>
      <c r="I294" s="490"/>
    </row>
    <row r="295" spans="1:9" ht="14.4">
      <c r="A295" s="484"/>
      <c r="B295" s="484"/>
      <c r="D295" s="1290"/>
      <c r="E295" s="1290"/>
      <c r="F295" s="1290"/>
      <c r="I295" s="490"/>
    </row>
    <row r="296" spans="1:9">
      <c r="D296" s="446"/>
      <c r="E296" s="446"/>
      <c r="F296" s="446"/>
      <c r="I296" s="490"/>
    </row>
    <row r="297" spans="1:9" ht="14.4">
      <c r="A297" s="484"/>
      <c r="B297" s="485" t="s">
        <v>2762</v>
      </c>
      <c r="D297" s="1290" t="s">
        <v>1126</v>
      </c>
      <c r="E297" s="1290"/>
      <c r="F297" s="1290"/>
      <c r="I297" s="490"/>
    </row>
    <row r="298" spans="1:9" ht="14.4">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1127</v>
      </c>
      <c r="E303" s="1291"/>
      <c r="F303" s="1291"/>
      <c r="I303" s="490"/>
    </row>
    <row r="304" spans="1:9">
      <c r="C304" s="490"/>
      <c r="D304" s="493"/>
      <c r="I304" s="490"/>
    </row>
    <row r="305" spans="1:9">
      <c r="B305" s="485" t="s">
        <v>2762</v>
      </c>
      <c r="D305" s="1291" t="s">
        <v>1128</v>
      </c>
      <c r="E305" s="1291"/>
      <c r="F305" s="1291"/>
      <c r="I305" s="490"/>
    </row>
    <row r="306" spans="1:9" ht="14.4">
      <c r="A306" s="484"/>
      <c r="B306" s="484"/>
      <c r="D306" s="494"/>
      <c r="E306" s="495"/>
      <c r="F306" s="495"/>
      <c r="I306" s="490"/>
    </row>
    <row r="307" spans="1:9" ht="13.65" customHeight="1">
      <c r="B307" s="485" t="s">
        <v>2762</v>
      </c>
      <c r="D307" s="1314" t="s">
        <v>1218</v>
      </c>
      <c r="E307" s="1314"/>
      <c r="F307" s="1314"/>
      <c r="I307" s="490"/>
    </row>
    <row r="308" spans="1:9" ht="14.4">
      <c r="A308" s="484"/>
      <c r="B308" s="484"/>
      <c r="D308" s="1314"/>
      <c r="E308" s="1314"/>
      <c r="F308" s="1314"/>
      <c r="I308" s="490"/>
    </row>
    <row r="309" spans="1:9" ht="14.4">
      <c r="A309" s="484"/>
      <c r="B309" s="484"/>
      <c r="D309" s="1314"/>
      <c r="E309" s="1314"/>
      <c r="F309" s="1314"/>
      <c r="I309" s="490"/>
    </row>
    <row r="310" spans="1:9" ht="14.4">
      <c r="A310" s="484"/>
      <c r="B310" s="484"/>
      <c r="D310" s="1314"/>
      <c r="E310" s="1314"/>
      <c r="F310" s="1314"/>
      <c r="I310" s="490"/>
    </row>
    <row r="311" spans="1:9" ht="14.4">
      <c r="A311" s="484"/>
      <c r="B311" s="484"/>
      <c r="D311" s="1314"/>
      <c r="E311" s="1314"/>
      <c r="F311" s="1314"/>
      <c r="I311" s="490"/>
    </row>
    <row r="312" spans="1:9" ht="14.4">
      <c r="A312" s="484"/>
      <c r="B312" s="484"/>
      <c r="D312" s="494"/>
      <c r="E312" s="495"/>
      <c r="F312" s="495"/>
      <c r="I312" s="490"/>
    </row>
    <row r="313" spans="1:9" ht="13.65" customHeight="1">
      <c r="B313" s="485" t="s">
        <v>2762</v>
      </c>
      <c r="D313" s="1314" t="s">
        <v>1129</v>
      </c>
      <c r="E313" s="1314"/>
      <c r="F313" s="1314"/>
      <c r="I313" s="490"/>
    </row>
    <row r="314" spans="1:9">
      <c r="D314" s="1314"/>
      <c r="E314" s="1314"/>
      <c r="F314" s="1314"/>
      <c r="I314" s="490"/>
    </row>
    <row r="315" spans="1:9" ht="14.4">
      <c r="A315" s="484"/>
      <c r="B315" s="484"/>
      <c r="D315" s="494"/>
      <c r="E315" s="495"/>
      <c r="F315" s="495"/>
      <c r="I315" s="490"/>
    </row>
    <row r="316" spans="1:9">
      <c r="B316" s="485" t="s">
        <v>2762</v>
      </c>
      <c r="D316" s="1291" t="s">
        <v>1130</v>
      </c>
      <c r="E316" s="1291"/>
      <c r="F316" s="1291"/>
      <c r="I316" s="490"/>
    </row>
    <row r="317" spans="1:9">
      <c r="E317" s="446"/>
      <c r="F317" s="446"/>
      <c r="I317" s="490"/>
    </row>
    <row r="318" spans="1:9" ht="14.4">
      <c r="A318" s="484"/>
      <c r="B318" s="485" t="s">
        <v>2762</v>
      </c>
      <c r="D318" s="1290" t="s">
        <v>2198</v>
      </c>
      <c r="E318" s="1290"/>
      <c r="F318" s="1290"/>
      <c r="I318" s="490"/>
    </row>
    <row r="319" spans="1:9" ht="14.4">
      <c r="A319" s="484"/>
      <c r="B319" s="484"/>
      <c r="D319" s="1290"/>
      <c r="E319" s="1290"/>
      <c r="F319" s="1290"/>
      <c r="I319" s="490"/>
    </row>
    <row r="320" spans="1:9" ht="14.4">
      <c r="A320" s="484"/>
      <c r="B320" s="484"/>
      <c r="D320" s="1290"/>
      <c r="E320" s="1290"/>
      <c r="F320" s="1290"/>
      <c r="I320" s="490"/>
    </row>
    <row r="321" spans="1:9" ht="14.4">
      <c r="A321" s="484"/>
      <c r="B321" s="484"/>
      <c r="D321" s="1290"/>
      <c r="E321" s="1290"/>
      <c r="F321" s="1290"/>
      <c r="I321" s="490"/>
    </row>
    <row r="322" spans="1:9" ht="14.4">
      <c r="A322" s="484"/>
      <c r="B322" s="484"/>
      <c r="D322" s="1290"/>
      <c r="E322" s="1290"/>
      <c r="F322" s="1290"/>
      <c r="I322" s="490"/>
    </row>
    <row r="323" spans="1:9" ht="14.4">
      <c r="A323" s="484"/>
      <c r="B323" s="484"/>
      <c r="D323" s="1290"/>
      <c r="E323" s="1290"/>
      <c r="F323" s="1290"/>
      <c r="I323" s="490"/>
    </row>
    <row r="324" spans="1:9" ht="14.4">
      <c r="A324" s="484"/>
      <c r="B324" s="484"/>
      <c r="D324" s="1290"/>
      <c r="E324" s="1290"/>
      <c r="F324" s="1290"/>
      <c r="I324" s="490"/>
    </row>
    <row r="325" spans="1:9" ht="14.4">
      <c r="A325" s="484"/>
      <c r="B325" s="484"/>
      <c r="D325" s="1290"/>
      <c r="E325" s="1290"/>
      <c r="F325" s="1290"/>
      <c r="I325" s="490"/>
    </row>
    <row r="326" spans="1:9" ht="14.4">
      <c r="A326" s="484"/>
      <c r="B326" s="484"/>
      <c r="D326" s="1290"/>
      <c r="E326" s="1290"/>
      <c r="F326" s="1290"/>
      <c r="I326" s="490"/>
    </row>
    <row r="327" spans="1:9" ht="14.4">
      <c r="A327" s="484"/>
      <c r="B327" s="484"/>
      <c r="D327" s="1290"/>
      <c r="E327" s="1290"/>
      <c r="F327" s="1290"/>
      <c r="I327" s="490"/>
    </row>
    <row r="328" spans="1:9" ht="14.4">
      <c r="A328" s="484"/>
      <c r="B328" s="484"/>
      <c r="D328" s="1290"/>
      <c r="E328" s="1290"/>
      <c r="F328" s="1290"/>
      <c r="I328" s="490"/>
    </row>
    <row r="329" spans="1:9" ht="14.4">
      <c r="A329" s="484"/>
      <c r="B329" s="484"/>
      <c r="D329" s="1290"/>
      <c r="E329" s="1290"/>
      <c r="F329" s="1290"/>
      <c r="I329" s="490"/>
    </row>
    <row r="330" spans="1:9" ht="14.4">
      <c r="A330" s="484"/>
      <c r="B330" s="484"/>
      <c r="D330" s="1290"/>
      <c r="E330" s="1290"/>
      <c r="F330" s="1290"/>
      <c r="I330" s="490"/>
    </row>
    <row r="331" spans="1:9" ht="14.4">
      <c r="A331" s="484"/>
      <c r="B331" s="484"/>
      <c r="D331" s="1290"/>
      <c r="E331" s="1290"/>
      <c r="F331" s="1290"/>
      <c r="I331" s="490"/>
    </row>
    <row r="332" spans="1:9" ht="14.4">
      <c r="A332" s="484"/>
      <c r="B332" s="484"/>
      <c r="D332" s="1290"/>
      <c r="E332" s="1290"/>
      <c r="F332" s="1290"/>
      <c r="I332" s="490"/>
    </row>
    <row r="333" spans="1:9">
      <c r="D333" s="446"/>
      <c r="E333" s="446"/>
      <c r="F333" s="446"/>
      <c r="I333" s="490"/>
    </row>
    <row r="334" spans="1:9" ht="14.4">
      <c r="A334" s="484"/>
      <c r="B334" s="485" t="s">
        <v>2762</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2762</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8" thickBot="1">
      <c r="A351" s="1017"/>
      <c r="B351" s="1017"/>
      <c r="C351" s="1017"/>
      <c r="D351" s="1323" t="s">
        <v>978</v>
      </c>
      <c r="E351" s="1323"/>
      <c r="F351" s="1323"/>
      <c r="G351" s="1022"/>
      <c r="H351" s="1022"/>
      <c r="I351" s="1150"/>
    </row>
    <row r="352" spans="1:9" ht="13.8"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4">
      <c r="A355" s="484"/>
      <c r="B355" s="485" t="s">
        <v>2762</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4">
      <c r="A360" s="484"/>
      <c r="B360" s="485" t="s">
        <v>2762</v>
      </c>
      <c r="C360" s="476"/>
      <c r="D360" s="1304" t="s">
        <v>2016</v>
      </c>
      <c r="E360" s="1304"/>
      <c r="F360" s="1304"/>
      <c r="I360" s="480"/>
    </row>
    <row r="361" spans="1:9">
      <c r="A361" s="476"/>
      <c r="B361" s="476"/>
      <c r="C361" s="476"/>
      <c r="D361" s="447"/>
      <c r="E361" s="447"/>
      <c r="F361" s="446"/>
      <c r="I361" s="490"/>
    </row>
    <row r="362" spans="1:9">
      <c r="A362" s="476"/>
      <c r="B362" s="485" t="s">
        <v>2762</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5" customHeight="1">
      <c r="A375" s="476"/>
      <c r="B375" s="485" t="s">
        <v>2762</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2762</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4">
      <c r="A387" s="484"/>
      <c r="B387" s="485" t="s">
        <v>2762</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65"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2762</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 customHeight="1">
      <c r="A423" s="484"/>
      <c r="B423" s="485" t="s">
        <v>2762</v>
      </c>
      <c r="D423" s="1269" t="s">
        <v>1855</v>
      </c>
      <c r="E423" s="1269"/>
      <c r="F423" s="1269"/>
      <c r="I423" s="490"/>
    </row>
    <row r="424" spans="1:9" ht="14.4" customHeight="1">
      <c r="A424" s="484"/>
      <c r="D424" s="1269"/>
      <c r="E424" s="1269"/>
      <c r="F424" s="1269"/>
      <c r="I424" s="490"/>
    </row>
    <row r="425" spans="1:9" ht="14.4" customHeight="1">
      <c r="A425" s="484"/>
      <c r="D425" s="1269"/>
      <c r="E425" s="1269"/>
      <c r="F425" s="1269"/>
      <c r="I425" s="490"/>
    </row>
    <row r="426" spans="1:9" ht="14.4" customHeight="1">
      <c r="A426" s="484"/>
      <c r="D426" s="1269"/>
      <c r="E426" s="1269"/>
      <c r="F426" s="1269"/>
      <c r="I426" s="490"/>
    </row>
    <row r="427" spans="1:9" ht="14.4" customHeight="1">
      <c r="A427" s="484"/>
      <c r="D427" s="1269"/>
      <c r="E427" s="1269"/>
      <c r="F427" s="1269"/>
      <c r="I427" s="490"/>
    </row>
    <row r="428" spans="1:9" ht="14.4" customHeight="1">
      <c r="A428" s="484"/>
      <c r="D428" s="385"/>
      <c r="E428" s="385"/>
      <c r="F428" s="385"/>
      <c r="I428" s="490"/>
    </row>
    <row r="429" spans="1:9" ht="13.65" customHeight="1">
      <c r="A429" s="484"/>
      <c r="B429" s="485" t="s">
        <v>2762</v>
      </c>
      <c r="C429" s="476"/>
      <c r="D429" s="1269" t="s">
        <v>1239</v>
      </c>
      <c r="E429" s="1269"/>
      <c r="F429" s="1269"/>
      <c r="I429" s="490"/>
    </row>
    <row r="430" spans="1:9" ht="14.4">
      <c r="A430" s="497"/>
      <c r="B430" s="497"/>
      <c r="C430" s="476"/>
      <c r="D430" s="1269"/>
      <c r="E430" s="1269"/>
      <c r="F430" s="1269"/>
      <c r="I430" s="490"/>
    </row>
    <row r="431" spans="1:9" ht="14.4">
      <c r="A431" s="497"/>
      <c r="B431" s="497"/>
      <c r="C431" s="476"/>
      <c r="D431" s="1269"/>
      <c r="E431" s="1269"/>
      <c r="F431" s="1269"/>
      <c r="I431" s="490"/>
    </row>
    <row r="432" spans="1:9" ht="14.4">
      <c r="A432" s="497"/>
      <c r="B432" s="497"/>
      <c r="C432" s="476"/>
      <c r="D432" s="1269"/>
      <c r="E432" s="1269"/>
      <c r="F432" s="1269"/>
      <c r="I432" s="490"/>
    </row>
    <row r="433" spans="1:9" ht="15.75" customHeight="1">
      <c r="A433" s="497"/>
      <c r="B433" s="497"/>
      <c r="C433" s="476"/>
      <c r="D433" s="1296" t="s">
        <v>2613</v>
      </c>
      <c r="E433" s="1269"/>
      <c r="F433" s="1269"/>
      <c r="I433" s="490"/>
    </row>
    <row r="434" spans="1:9">
      <c r="D434" s="446"/>
      <c r="E434" s="446"/>
      <c r="F434" s="446"/>
      <c r="I434" s="490"/>
    </row>
    <row r="435" spans="1:9" ht="14.4">
      <c r="A435" s="484"/>
      <c r="B435" s="485" t="s">
        <v>2762</v>
      </c>
      <c r="C435" s="487"/>
      <c r="D435" s="1290" t="s">
        <v>2018</v>
      </c>
      <c r="E435" s="1290"/>
      <c r="F435" s="1290"/>
      <c r="I435" s="490"/>
    </row>
    <row r="436" spans="1:9" ht="14.4">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65" customHeight="1">
      <c r="D465" s="1290"/>
      <c r="E465" s="1290"/>
      <c r="F465" s="1290"/>
      <c r="I465" s="490"/>
    </row>
    <row r="466" spans="1:9">
      <c r="D466" s="446"/>
      <c r="E466" s="446"/>
      <c r="F466" s="446"/>
      <c r="I466" s="490"/>
    </row>
    <row r="467" spans="1:9" ht="14.4">
      <c r="A467" s="484"/>
      <c r="B467" s="485" t="s">
        <v>2762</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4">
      <c r="B471" s="485" t="s">
        <v>2762</v>
      </c>
      <c r="C471" s="484"/>
      <c r="D471" s="1290" t="s">
        <v>1196</v>
      </c>
      <c r="E471" s="1290"/>
      <c r="F471" s="1290"/>
      <c r="I471" s="490"/>
    </row>
    <row r="472" spans="1:9">
      <c r="D472" s="1290"/>
      <c r="E472" s="1290"/>
      <c r="F472" s="1290"/>
      <c r="I472" s="490"/>
    </row>
    <row r="473" spans="1:9">
      <c r="D473" s="446"/>
      <c r="E473" s="446"/>
      <c r="F473" s="446"/>
      <c r="I473" s="490"/>
    </row>
    <row r="474" spans="1:9" ht="14.4">
      <c r="B474" s="485" t="s">
        <v>2762</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2762</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2762</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2762</v>
      </c>
      <c r="C486" s="402"/>
      <c r="D486" s="1290"/>
      <c r="E486" s="1290"/>
      <c r="F486" s="1290"/>
      <c r="I486" s="490"/>
    </row>
    <row r="487" spans="1:9">
      <c r="A487" s="402"/>
      <c r="C487" s="402"/>
      <c r="D487" s="1290"/>
      <c r="E487" s="1290"/>
      <c r="F487" s="1290"/>
      <c r="I487" s="490"/>
    </row>
    <row r="488" spans="1:9">
      <c r="A488" s="402"/>
      <c r="B488" s="485" t="s">
        <v>2762</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2762</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ht="14.4">
      <c r="A499" s="484"/>
      <c r="B499" s="484"/>
      <c r="D499" s="1304" t="s">
        <v>1140</v>
      </c>
      <c r="E499" s="1304"/>
      <c r="F499" s="1304"/>
      <c r="I499" s="490"/>
    </row>
    <row r="500" spans="1:9" ht="14.4">
      <c r="A500" s="484"/>
      <c r="B500" s="484"/>
      <c r="D500" s="447"/>
      <c r="I500" s="490"/>
    </row>
    <row r="501" spans="1:9" ht="14.4">
      <c r="A501" s="484"/>
      <c r="B501" s="485" t="s">
        <v>2762</v>
      </c>
      <c r="D501" s="1269" t="s">
        <v>1141</v>
      </c>
      <c r="E501" s="1269"/>
      <c r="F501" s="1269"/>
      <c r="I501" s="490"/>
    </row>
    <row r="502" spans="1:9" ht="14.4">
      <c r="A502" s="484"/>
      <c r="B502" s="484"/>
      <c r="D502" s="1269"/>
      <c r="E502" s="1269"/>
      <c r="F502" s="1269"/>
      <c r="I502" s="490"/>
    </row>
    <row r="503" spans="1:9" ht="14.4">
      <c r="A503" s="484"/>
      <c r="B503" s="484"/>
      <c r="D503" s="446"/>
      <c r="I503" s="490"/>
    </row>
    <row r="504" spans="1:9" ht="12.75" customHeight="1">
      <c r="B504" s="485" t="s">
        <v>2762</v>
      </c>
      <c r="D504" s="1294" t="s">
        <v>1272</v>
      </c>
      <c r="E504" s="1294"/>
      <c r="F504" s="1294"/>
      <c r="I504" s="490"/>
    </row>
    <row r="505" spans="1:9" ht="14.4">
      <c r="A505" s="484"/>
      <c r="D505" s="1294"/>
      <c r="E505" s="1294"/>
      <c r="F505" s="1294"/>
      <c r="I505" s="490"/>
    </row>
    <row r="506" spans="1:9" ht="14.4">
      <c r="A506" s="484"/>
      <c r="B506" s="484"/>
      <c r="D506" s="1294"/>
      <c r="E506" s="1294"/>
      <c r="F506" s="1294"/>
      <c r="I506" s="490"/>
    </row>
    <row r="507" spans="1:9" ht="14.4">
      <c r="A507" s="484"/>
      <c r="B507" s="484"/>
      <c r="D507" s="1294"/>
      <c r="E507" s="1294"/>
      <c r="F507" s="1294"/>
      <c r="I507" s="490"/>
    </row>
    <row r="508" spans="1:9" ht="14.4">
      <c r="A508" s="484"/>
      <c r="D508" s="520"/>
      <c r="E508" s="520"/>
      <c r="F508" s="520"/>
      <c r="I508" s="490"/>
    </row>
    <row r="509" spans="1:9" ht="14.4">
      <c r="A509" s="484"/>
      <c r="B509" s="485" t="s">
        <v>2762</v>
      </c>
      <c r="D509" s="1291" t="s">
        <v>1142</v>
      </c>
      <c r="E509" s="1291"/>
      <c r="F509" s="1291"/>
      <c r="I509" s="490"/>
    </row>
    <row r="510" spans="1:9" ht="14.4">
      <c r="A510" s="484"/>
      <c r="B510" s="484"/>
      <c r="D510" s="446"/>
      <c r="I510" s="490"/>
    </row>
    <row r="511" spans="1:9" ht="14.4">
      <c r="A511" s="484"/>
      <c r="B511" s="485" t="s">
        <v>2762</v>
      </c>
      <c r="D511" s="1290" t="s">
        <v>1143</v>
      </c>
      <c r="E511" s="1290"/>
      <c r="F511" s="1290"/>
      <c r="I511" s="490"/>
    </row>
    <row r="512" spans="1:9" ht="14.4">
      <c r="A512" s="484"/>
      <c r="D512" s="1290"/>
      <c r="E512" s="1290"/>
      <c r="F512" s="1290"/>
      <c r="I512" s="490"/>
    </row>
    <row r="513" spans="1:9">
      <c r="A513" s="490"/>
      <c r="B513" s="490"/>
      <c r="D513" s="447"/>
      <c r="I513" s="490"/>
    </row>
    <row r="514" spans="1:9">
      <c r="A514" s="490"/>
      <c r="B514" s="485" t="s">
        <v>2762</v>
      </c>
      <c r="D514" s="1291" t="s">
        <v>1144</v>
      </c>
      <c r="E514" s="1291"/>
      <c r="F514" s="1291"/>
      <c r="I514" s="490"/>
    </row>
    <row r="515" spans="1:9">
      <c r="D515" s="446"/>
      <c r="E515" s="446"/>
      <c r="F515" s="446"/>
      <c r="I515" s="490"/>
    </row>
    <row r="516" spans="1:9">
      <c r="B516" s="485" t="s">
        <v>2762</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4">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2761</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2761</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 customHeight="1">
      <c r="A536" s="483"/>
      <c r="B536" s="485" t="s">
        <v>2762</v>
      </c>
      <c r="C536" s="483"/>
      <c r="D536" s="1290" t="s">
        <v>2637</v>
      </c>
      <c r="E536" s="1290"/>
      <c r="F536" s="1290"/>
      <c r="I536" s="490"/>
    </row>
    <row r="537" spans="1:9" ht="13.2"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1080</v>
      </c>
      <c r="E547" s="1291"/>
      <c r="F547" s="1291"/>
      <c r="I547" s="490"/>
    </row>
    <row r="548" spans="1:9">
      <c r="C548" s="487"/>
      <c r="D548" s="446"/>
      <c r="E548" s="446"/>
      <c r="F548" s="446"/>
      <c r="I548" s="490"/>
    </row>
    <row r="549" spans="1:9" ht="13.65" customHeight="1">
      <c r="A549" s="484"/>
      <c r="B549" s="485" t="s">
        <v>2761</v>
      </c>
      <c r="C549" s="487"/>
      <c r="D549" s="1291" t="s">
        <v>883</v>
      </c>
      <c r="E549" s="1291"/>
      <c r="F549" s="1291"/>
      <c r="I549" s="490"/>
    </row>
    <row r="550" spans="1:9" ht="13.65" customHeight="1">
      <c r="A550" s="487"/>
      <c r="B550" s="487"/>
      <c r="C550" s="487"/>
      <c r="D550" s="446"/>
      <c r="I550" s="490"/>
    </row>
    <row r="551" spans="1:9" ht="14.4">
      <c r="A551" s="484"/>
      <c r="B551" s="485" t="s">
        <v>2761</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4">
      <c r="A554" s="484"/>
      <c r="B554" s="485" t="s">
        <v>2761</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4">
      <c r="A557" s="484"/>
      <c r="B557" s="485" t="s">
        <v>2761</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4">
      <c r="A560" s="484"/>
      <c r="B560" s="485" t="s">
        <v>2761</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4">
      <c r="A564" s="484"/>
      <c r="B564" s="485" t="s">
        <v>2762</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4">
      <c r="A567" s="484"/>
      <c r="B567" s="485" t="s">
        <v>2761</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4">
      <c r="A570" s="484"/>
      <c r="B570" s="485" t="s">
        <v>2761</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4">
      <c r="A573" s="484"/>
      <c r="B573" s="484"/>
      <c r="C573" s="487"/>
      <c r="E573" s="446"/>
      <c r="F573" s="446"/>
      <c r="I573" s="490"/>
    </row>
    <row r="574" spans="1:9" ht="14.4">
      <c r="A574" s="484"/>
      <c r="B574" s="485" t="s">
        <v>2761</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4">
      <c r="A579" s="484"/>
      <c r="B579" s="485" t="s">
        <v>2761</v>
      </c>
      <c r="C579" s="487"/>
      <c r="D579" s="1290" t="s">
        <v>2021</v>
      </c>
      <c r="E579" s="1290"/>
      <c r="F579" s="1290"/>
      <c r="I579" s="490"/>
    </row>
    <row r="580" spans="1:9" ht="14.4">
      <c r="A580" s="484"/>
      <c r="B580" s="484"/>
      <c r="C580" s="487"/>
      <c r="D580" s="1290"/>
      <c r="E580" s="1290"/>
      <c r="F580" s="1290"/>
      <c r="I580" s="490"/>
    </row>
    <row r="581" spans="1:9" ht="14.4">
      <c r="A581" s="484"/>
      <c r="B581" s="484"/>
      <c r="C581" s="487"/>
      <c r="D581" s="1290"/>
      <c r="E581" s="1290"/>
      <c r="F581" s="1290"/>
      <c r="I581" s="490"/>
    </row>
    <row r="582" spans="1:9" ht="14.4">
      <c r="A582" s="484"/>
      <c r="B582" s="484"/>
      <c r="C582" s="487"/>
      <c r="D582" s="1290"/>
      <c r="E582" s="1290"/>
      <c r="F582" s="1290"/>
      <c r="I582" s="490"/>
    </row>
    <row r="583" spans="1:9" ht="14.4">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209</v>
      </c>
      <c r="E586" s="1292"/>
      <c r="F586" s="1292"/>
      <c r="I586" s="490"/>
    </row>
    <row r="587" spans="1:9">
      <c r="A587" s="483"/>
      <c r="B587" s="483"/>
      <c r="C587" s="483"/>
      <c r="D587" s="1294" t="s">
        <v>1066</v>
      </c>
      <c r="E587" s="1294"/>
      <c r="F587" s="1294"/>
      <c r="I587" s="490"/>
    </row>
    <row r="588" spans="1:9">
      <c r="A588" s="402"/>
      <c r="B588" s="402"/>
      <c r="C588" s="483"/>
      <c r="D588" s="499"/>
      <c r="I588" s="490"/>
    </row>
    <row r="589" spans="1:9" hidden="1">
      <c r="A589" s="483"/>
      <c r="B589" s="485" t="s">
        <v>306</v>
      </c>
      <c r="D589" s="1294" t="s">
        <v>887</v>
      </c>
      <c r="E589" s="1294"/>
      <c r="F589" s="1294"/>
      <c r="I589" s="490"/>
    </row>
    <row r="590" spans="1:9" hidden="1">
      <c r="A590" s="490"/>
      <c r="B590" s="490"/>
      <c r="D590" s="476"/>
      <c r="I590" s="490"/>
    </row>
    <row r="591" spans="1:9">
      <c r="A591" s="490"/>
      <c r="B591" s="485" t="s">
        <v>2761</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2762</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2761</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2762</v>
      </c>
      <c r="D603" s="1294" t="s">
        <v>1068</v>
      </c>
      <c r="E603" s="1294"/>
      <c r="F603" s="1294"/>
      <c r="I603" s="490"/>
    </row>
    <row r="604" spans="1:9">
      <c r="A604" s="490"/>
      <c r="B604" s="490"/>
      <c r="D604" s="1294"/>
      <c r="E604" s="1294"/>
      <c r="F604" s="1294"/>
      <c r="I604" s="490"/>
    </row>
    <row r="605" spans="1:9" ht="14.4">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2761</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2761</v>
      </c>
      <c r="C621" s="483"/>
      <c r="D621" s="1306" t="s">
        <v>2604</v>
      </c>
      <c r="E621" s="1306"/>
      <c r="F621" s="1306"/>
      <c r="I621" s="490"/>
    </row>
    <row r="622" spans="1:9">
      <c r="C622" s="483"/>
      <c r="D622" s="444"/>
      <c r="E622" s="444"/>
      <c r="F622" s="444"/>
      <c r="I622" s="490"/>
    </row>
    <row r="623" spans="1:9" ht="12.75" customHeight="1">
      <c r="A623" s="490"/>
      <c r="B623" s="485" t="s">
        <v>2761</v>
      </c>
      <c r="D623" s="1301" t="s">
        <v>1110</v>
      </c>
      <c r="E623" s="1301"/>
      <c r="F623" s="1301"/>
      <c r="I623" s="490"/>
    </row>
    <row r="624" spans="1:9">
      <c r="D624" s="1301"/>
      <c r="E624" s="1301"/>
      <c r="F624" s="1301"/>
      <c r="I624" s="490"/>
    </row>
    <row r="625" spans="1:9">
      <c r="I625" s="490"/>
    </row>
    <row r="626" spans="1:9">
      <c r="B626" s="485" t="s">
        <v>2761</v>
      </c>
      <c r="D626" s="1301" t="s">
        <v>1111</v>
      </c>
      <c r="E626" s="1301"/>
      <c r="F626" s="1301"/>
      <c r="I626" s="490"/>
    </row>
    <row r="627" spans="1:9">
      <c r="C627" s="500"/>
      <c r="D627" s="1301"/>
      <c r="E627" s="1301"/>
      <c r="F627" s="1301"/>
      <c r="I627" s="490"/>
    </row>
    <row r="628" spans="1:9">
      <c r="C628" s="500"/>
      <c r="I628" s="490"/>
    </row>
    <row r="629" spans="1:9">
      <c r="B629" s="485" t="s">
        <v>2762</v>
      </c>
      <c r="C629" s="500"/>
      <c r="D629" s="1301" t="s">
        <v>1112</v>
      </c>
      <c r="E629" s="1301"/>
      <c r="F629" s="1301"/>
      <c r="I629" s="490"/>
    </row>
    <row r="630" spans="1:9">
      <c r="C630" s="500"/>
      <c r="D630" s="1301"/>
      <c r="E630" s="1301"/>
      <c r="F630" s="1301"/>
      <c r="I630" s="500"/>
    </row>
    <row r="631" spans="1:9">
      <c r="C631" s="500"/>
      <c r="I631" s="490"/>
    </row>
    <row r="632" spans="1:9">
      <c r="B632" s="485" t="s">
        <v>2762</v>
      </c>
      <c r="C632" s="500"/>
      <c r="D632" s="1306" t="s">
        <v>2549</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2761</v>
      </c>
      <c r="D638" s="1317" t="s">
        <v>2024</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4">
      <c r="A645" s="484"/>
      <c r="B645" s="485" t="s">
        <v>2762</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4">
      <c r="A648" s="484"/>
      <c r="B648" s="485" t="s">
        <v>2762</v>
      </c>
      <c r="C648" s="487"/>
      <c r="D648" s="1290" t="s">
        <v>1224</v>
      </c>
      <c r="E648" s="1290"/>
      <c r="F648" s="1290"/>
      <c r="I648" s="490"/>
    </row>
    <row r="649" spans="1:9" ht="14.4">
      <c r="A649" s="484"/>
      <c r="B649" s="484"/>
      <c r="C649" s="487"/>
      <c r="D649" s="1290"/>
      <c r="E649" s="1290"/>
      <c r="F649" s="1290"/>
      <c r="I649" s="490"/>
    </row>
    <row r="650" spans="1:9" ht="14.4">
      <c r="A650" s="484"/>
      <c r="B650" s="484"/>
      <c r="C650" s="487"/>
      <c r="D650" s="1290"/>
      <c r="E650" s="1290"/>
      <c r="F650" s="1290"/>
      <c r="I650" s="490"/>
    </row>
    <row r="651" spans="1:9">
      <c r="A651" s="487"/>
      <c r="B651" s="485" t="s">
        <v>2762</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2762</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 customHeight="1">
      <c r="A662" s="484"/>
      <c r="B662" s="484"/>
      <c r="C662" s="487"/>
      <c r="D662" s="385"/>
      <c r="E662" s="385"/>
      <c r="F662" s="385"/>
      <c r="I662" s="490"/>
    </row>
    <row r="663" spans="1:9" ht="12.75" customHeight="1">
      <c r="A663" s="483"/>
      <c r="B663" s="485" t="s">
        <v>2762</v>
      </c>
      <c r="C663" s="487"/>
      <c r="D663" s="1290" t="s">
        <v>1282</v>
      </c>
      <c r="E663" s="1290"/>
      <c r="F663" s="1290"/>
      <c r="I663" s="490"/>
    </row>
    <row r="664" spans="1:9" ht="14.4">
      <c r="A664" s="483"/>
      <c r="B664" s="484"/>
      <c r="C664" s="487"/>
      <c r="D664" s="1290"/>
      <c r="E664" s="1290"/>
      <c r="F664" s="1290"/>
      <c r="I664" s="490"/>
    </row>
    <row r="665" spans="1:9" ht="14.4">
      <c r="A665" s="483"/>
      <c r="B665" s="484"/>
      <c r="C665" s="487"/>
      <c r="D665" s="1290"/>
      <c r="E665" s="1290"/>
      <c r="F665" s="1290"/>
      <c r="I665" s="490"/>
    </row>
    <row r="666" spans="1:9" ht="14.4">
      <c r="A666" s="483"/>
      <c r="B666" s="484"/>
      <c r="C666" s="487"/>
      <c r="D666" s="1290"/>
      <c r="E666" s="1290"/>
      <c r="F666" s="1290"/>
      <c r="I666" s="490"/>
    </row>
    <row r="667" spans="1:9" ht="14.4">
      <c r="A667" s="483"/>
      <c r="B667" s="484"/>
      <c r="C667" s="487"/>
      <c r="D667" s="1290"/>
      <c r="E667" s="1290"/>
      <c r="F667" s="1290"/>
      <c r="I667" s="490"/>
    </row>
    <row r="668" spans="1:9" ht="14.25" customHeight="1">
      <c r="A668" s="483"/>
      <c r="B668" s="484"/>
      <c r="C668" s="487"/>
      <c r="F668" s="386"/>
      <c r="I668" s="490"/>
    </row>
    <row r="669" spans="1:9" ht="12.75" customHeight="1">
      <c r="A669" s="483"/>
      <c r="B669" s="485" t="s">
        <v>2762</v>
      </c>
      <c r="C669" s="487"/>
      <c r="D669" s="1290" t="s">
        <v>1281</v>
      </c>
      <c r="E669" s="1290"/>
      <c r="F669" s="1290"/>
      <c r="I669" s="490"/>
    </row>
    <row r="670" spans="1:9" ht="14.4">
      <c r="A670" s="483"/>
      <c r="B670" s="484"/>
      <c r="C670" s="487"/>
      <c r="D670" s="1290"/>
      <c r="E670" s="1290"/>
      <c r="F670" s="1290"/>
      <c r="I670" s="490"/>
    </row>
    <row r="671" spans="1:9" ht="14.4">
      <c r="A671" s="484"/>
      <c r="B671" s="484"/>
      <c r="C671" s="487"/>
      <c r="D671" s="1290"/>
      <c r="E671" s="1290"/>
      <c r="F671" s="1290"/>
      <c r="I671" s="490"/>
    </row>
    <row r="672" spans="1:9" ht="14.4">
      <c r="A672" s="484"/>
      <c r="B672" s="484"/>
      <c r="C672" s="487"/>
      <c r="D672" s="1290"/>
      <c r="E672" s="1290"/>
      <c r="F672" s="1290"/>
      <c r="I672" s="490"/>
    </row>
    <row r="673" spans="1:11" ht="14.4">
      <c r="A673" s="484"/>
      <c r="B673" s="484"/>
      <c r="C673" s="487"/>
      <c r="D673" s="445"/>
      <c r="E673" s="445"/>
      <c r="F673" s="445"/>
      <c r="I673" s="490"/>
    </row>
    <row r="674" spans="1:11" ht="12.75" customHeight="1">
      <c r="A674" s="483"/>
      <c r="B674" s="485" t="s">
        <v>2762</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ht="14.4">
      <c r="A690" s="484"/>
      <c r="B690" s="485" t="s">
        <v>2761</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4">
      <c r="A695" s="484"/>
      <c r="B695" s="485" t="s">
        <v>2761</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4">
      <c r="A699" s="484"/>
      <c r="B699" s="485" t="s">
        <v>2761</v>
      </c>
      <c r="C699" s="483"/>
      <c r="D699" s="1291" t="s">
        <v>916</v>
      </c>
      <c r="E699" s="1291"/>
      <c r="F699" s="1291"/>
      <c r="H699" s="501"/>
      <c r="I699" s="483"/>
      <c r="J699" s="501"/>
      <c r="K699" s="501"/>
    </row>
    <row r="700" spans="1:11" ht="14.4">
      <c r="A700" s="484"/>
      <c r="B700" s="484"/>
      <c r="C700" s="483"/>
      <c r="D700" s="1291" t="s">
        <v>893</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4">
      <c r="A703" s="484"/>
      <c r="B703" s="485" t="s">
        <v>2762</v>
      </c>
      <c r="C703" s="483"/>
      <c r="D703" s="1291" t="s">
        <v>2400</v>
      </c>
      <c r="E703" s="1291"/>
      <c r="F703" s="1291"/>
      <c r="H703" s="501"/>
      <c r="I703" s="483"/>
      <c r="J703" s="501"/>
      <c r="K703" s="501"/>
    </row>
    <row r="704" spans="1:11" ht="14.4">
      <c r="A704" s="484"/>
      <c r="B704" s="484"/>
      <c r="C704" s="483"/>
      <c r="D704" s="1291" t="s">
        <v>893</v>
      </c>
      <c r="E704" s="1291"/>
      <c r="F704" s="129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4">
      <c r="A707" s="484"/>
      <c r="B707" s="485" t="s">
        <v>2761</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2761</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4">
      <c r="A717" s="484"/>
      <c r="B717" s="485" t="s">
        <v>2762</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2762</v>
      </c>
      <c r="C730" s="483"/>
      <c r="D730" s="1290" t="s">
        <v>2393</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2762</v>
      </c>
      <c r="C734" s="483"/>
      <c r="D734" s="1290" t="s">
        <v>2392</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2762</v>
      </c>
      <c r="C738" s="483"/>
      <c r="D738" s="1290" t="s">
        <v>2391</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4">
      <c r="A743" s="484"/>
      <c r="B743" s="485" t="s">
        <v>2762</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4">
      <c r="A749" s="484"/>
      <c r="B749" s="485" t="s">
        <v>2762</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2614</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65"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ht="14.4">
      <c r="A763" s="484"/>
      <c r="B763" s="485" t="s">
        <v>2761</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4">
      <c r="A770" s="503"/>
      <c r="B770" s="485" t="s">
        <v>2761</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4">
      <c r="A775" s="484"/>
      <c r="B775" s="485" t="s">
        <v>2762</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4">
      <c r="A779" s="484"/>
      <c r="B779" s="485" t="s">
        <v>2762</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2762</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1789</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1829</v>
      </c>
      <c r="E788" s="1319"/>
      <c r="F788" s="1319"/>
      <c r="G788" s="3"/>
      <c r="I788" s="490"/>
    </row>
    <row r="789" spans="1:11">
      <c r="A789" s="57"/>
      <c r="B789" s="57"/>
      <c r="C789" s="354"/>
      <c r="D789" s="1304" t="s">
        <v>1743</v>
      </c>
      <c r="E789" s="1304"/>
      <c r="F789" s="1304"/>
      <c r="G789" s="3"/>
      <c r="I789" s="490"/>
    </row>
    <row r="790" spans="1:11">
      <c r="A790" s="57"/>
      <c r="B790" s="57"/>
      <c r="C790" s="354"/>
      <c r="D790" s="447"/>
      <c r="E790" s="447"/>
      <c r="F790" s="447"/>
      <c r="G790" s="3"/>
      <c r="I790" s="490"/>
    </row>
    <row r="791" spans="1:11">
      <c r="A791" s="57"/>
      <c r="B791" s="485" t="s">
        <v>2762</v>
      </c>
      <c r="C791" s="354"/>
      <c r="D791" s="1321" t="s">
        <v>1744</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2762</v>
      </c>
      <c r="C795" s="172"/>
      <c r="D795" s="1321" t="s">
        <v>1745</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4">
      <c r="A799" s="175"/>
      <c r="B799" s="485" t="s">
        <v>2762</v>
      </c>
      <c r="C799" s="984"/>
      <c r="D799" s="1321" t="s">
        <v>1746</v>
      </c>
      <c r="E799" s="1321"/>
      <c r="F799" s="1321"/>
      <c r="G799" s="983"/>
      <c r="I799" s="483"/>
    </row>
    <row r="800" spans="1:11" ht="14.4">
      <c r="A800" s="175"/>
      <c r="B800" s="175"/>
      <c r="C800" s="984"/>
      <c r="D800" s="1321"/>
      <c r="E800" s="1321"/>
      <c r="F800" s="1321"/>
      <c r="G800" s="983"/>
      <c r="I800" s="490"/>
    </row>
    <row r="801" spans="1:9" ht="14.4">
      <c r="A801" s="175"/>
      <c r="B801" s="175"/>
      <c r="C801" s="984"/>
      <c r="D801" s="1321"/>
      <c r="E801" s="1321"/>
      <c r="F801" s="1321"/>
      <c r="G801" s="983"/>
      <c r="I801" s="490"/>
    </row>
    <row r="802" spans="1:9" ht="14.4">
      <c r="A802" s="175"/>
      <c r="B802" s="175"/>
      <c r="C802" s="984"/>
      <c r="D802" s="118"/>
      <c r="E802" s="3"/>
      <c r="F802" s="3"/>
      <c r="G802" s="983"/>
      <c r="I802" s="490"/>
    </row>
    <row r="803" spans="1:9" ht="14.4">
      <c r="A803" s="175"/>
      <c r="B803" s="485" t="s">
        <v>2762</v>
      </c>
      <c r="C803" s="984"/>
      <c r="D803" s="1321" t="s">
        <v>1747</v>
      </c>
      <c r="E803" s="1321"/>
      <c r="F803" s="1321"/>
      <c r="G803" s="983"/>
      <c r="I803" s="483"/>
    </row>
    <row r="804" spans="1:9" ht="14.4">
      <c r="A804" s="175"/>
      <c r="B804" s="175"/>
      <c r="C804" s="984"/>
      <c r="D804" s="1321"/>
      <c r="E804" s="1321"/>
      <c r="F804" s="1321"/>
      <c r="G804" s="983"/>
      <c r="I804" s="490"/>
    </row>
    <row r="805" spans="1:9" ht="14.4">
      <c r="A805" s="175"/>
      <c r="B805" s="175"/>
      <c r="C805" s="984"/>
      <c r="D805" s="1321"/>
      <c r="E805" s="1321"/>
      <c r="F805" s="1321"/>
      <c r="G805" s="983"/>
      <c r="I805" s="490"/>
    </row>
    <row r="806" spans="1:9" ht="14.4">
      <c r="A806" s="175"/>
      <c r="B806" s="175"/>
      <c r="C806" s="984"/>
      <c r="D806" s="1321"/>
      <c r="E806" s="1321"/>
      <c r="F806" s="1321"/>
      <c r="G806" s="983"/>
      <c r="I806" s="490"/>
    </row>
    <row r="807" spans="1:9" ht="14.4">
      <c r="A807" s="175"/>
      <c r="B807" s="175"/>
      <c r="C807" s="984"/>
      <c r="D807" s="1321"/>
      <c r="E807" s="1321"/>
      <c r="F807" s="1321"/>
      <c r="G807" s="983"/>
      <c r="I807" s="490"/>
    </row>
    <row r="808" spans="1:9" ht="14.4">
      <c r="A808" s="175"/>
      <c r="B808" s="175"/>
      <c r="C808" s="984"/>
      <c r="D808" s="1321"/>
      <c r="E808" s="1321"/>
      <c r="F808" s="1321"/>
      <c r="G808" s="983"/>
      <c r="I808" s="490"/>
    </row>
    <row r="809" spans="1:9" ht="14.4">
      <c r="A809" s="175"/>
      <c r="B809" s="175"/>
      <c r="C809" s="984"/>
      <c r="D809" s="1321" t="s">
        <v>1790</v>
      </c>
      <c r="E809" s="1321"/>
      <c r="F809" s="1321"/>
      <c r="G809" s="983"/>
      <c r="I809" s="490"/>
    </row>
    <row r="810" spans="1:9" ht="14.4">
      <c r="A810" s="175"/>
      <c r="B810" s="175"/>
      <c r="C810" s="984"/>
      <c r="D810" s="1321"/>
      <c r="E810" s="1321"/>
      <c r="F810" s="1321"/>
      <c r="G810" s="983"/>
      <c r="I810" s="490"/>
    </row>
    <row r="811" spans="1:9" ht="14.4">
      <c r="A811" s="175"/>
      <c r="B811" s="175"/>
      <c r="C811" s="984"/>
      <c r="D811" s="1321"/>
      <c r="E811" s="1321"/>
      <c r="F811" s="1321"/>
      <c r="G811" s="983"/>
      <c r="I811" s="490"/>
    </row>
    <row r="812" spans="1:9" ht="14.4">
      <c r="A812" s="175"/>
      <c r="B812" s="354"/>
      <c r="C812" s="984"/>
      <c r="D812" s="985"/>
      <c r="E812" s="985"/>
      <c r="F812" s="985"/>
      <c r="G812" s="983"/>
      <c r="I812" s="490"/>
    </row>
    <row r="813" spans="1:9" ht="14.4">
      <c r="A813" s="175"/>
      <c r="B813" s="485" t="s">
        <v>2762</v>
      </c>
      <c r="C813" s="984"/>
      <c r="D813" s="1321" t="s">
        <v>1748</v>
      </c>
      <c r="E813" s="1321"/>
      <c r="F813" s="1321"/>
      <c r="G813" s="983"/>
      <c r="I813" s="483"/>
    </row>
    <row r="814" spans="1:9" ht="14.4">
      <c r="A814" s="175"/>
      <c r="B814" s="175"/>
      <c r="C814" s="984"/>
      <c r="D814" s="1321"/>
      <c r="E814" s="1321"/>
      <c r="F814" s="1321"/>
      <c r="G814" s="983"/>
      <c r="I814" s="490"/>
    </row>
    <row r="815" spans="1:9" ht="14.4">
      <c r="A815" s="175"/>
      <c r="B815" s="175"/>
      <c r="C815" s="984"/>
      <c r="D815" s="1321"/>
      <c r="E815" s="1321"/>
      <c r="F815" s="1321"/>
      <c r="G815" s="983"/>
      <c r="I815" s="490"/>
    </row>
    <row r="816" spans="1:9" ht="14.4">
      <c r="A816" s="175"/>
      <c r="B816" s="175"/>
      <c r="C816" s="984"/>
      <c r="D816" s="1321"/>
      <c r="E816" s="1321"/>
      <c r="F816" s="1321"/>
      <c r="G816" s="983"/>
      <c r="I816" s="490"/>
    </row>
    <row r="817" spans="1:9" ht="14.4">
      <c r="A817" s="175"/>
      <c r="B817" s="175"/>
      <c r="C817" s="984"/>
      <c r="D817" s="1321"/>
      <c r="E817" s="1321"/>
      <c r="F817" s="1321"/>
      <c r="G817" s="983"/>
      <c r="I817" s="490"/>
    </row>
    <row r="818" spans="1:9" ht="14.4">
      <c r="A818" s="175"/>
      <c r="B818" s="175"/>
      <c r="C818" s="984"/>
      <c r="D818" s="1321"/>
      <c r="E818" s="1321"/>
      <c r="F818" s="1321"/>
      <c r="G818" s="983"/>
      <c r="I818" s="490"/>
    </row>
    <row r="819" spans="1:9" ht="14.4">
      <c r="A819" s="175"/>
      <c r="B819" s="175"/>
      <c r="C819" s="984"/>
      <c r="D819" s="977"/>
      <c r="E819" s="977"/>
      <c r="F819" s="977"/>
      <c r="G819" s="983"/>
      <c r="I819" s="490"/>
    </row>
    <row r="820" spans="1:9" ht="14.4">
      <c r="A820" s="175"/>
      <c r="B820" s="485" t="s">
        <v>2762</v>
      </c>
      <c r="C820" s="984"/>
      <c r="D820" s="1321" t="s">
        <v>1749</v>
      </c>
      <c r="E820" s="1321"/>
      <c r="F820" s="1321"/>
      <c r="G820" s="983"/>
      <c r="I820" s="483"/>
    </row>
    <row r="821" spans="1:9" ht="14.4">
      <c r="A821" s="175"/>
      <c r="B821" s="175"/>
      <c r="C821" s="984"/>
      <c r="D821" s="1321"/>
      <c r="E821" s="1321"/>
      <c r="F821" s="1321"/>
      <c r="G821" s="983"/>
      <c r="I821" s="490"/>
    </row>
    <row r="822" spans="1:9" ht="14.4">
      <c r="A822" s="175"/>
      <c r="B822" s="175"/>
      <c r="C822" s="984"/>
      <c r="D822" s="1321"/>
      <c r="E822" s="1321"/>
      <c r="F822" s="1321"/>
      <c r="G822" s="983"/>
      <c r="I822" s="490"/>
    </row>
    <row r="823" spans="1:9" ht="14.4">
      <c r="A823" s="175"/>
      <c r="B823" s="175"/>
      <c r="C823" s="984"/>
      <c r="D823" s="1321"/>
      <c r="E823" s="1321"/>
      <c r="F823" s="1321"/>
      <c r="G823" s="983"/>
      <c r="I823" s="490"/>
    </row>
    <row r="824" spans="1:9" ht="14.4">
      <c r="A824" s="175"/>
      <c r="B824" s="175"/>
      <c r="C824" s="984"/>
      <c r="D824" s="1321"/>
      <c r="E824" s="1321"/>
      <c r="F824" s="1321"/>
      <c r="G824" s="983"/>
      <c r="I824" s="490"/>
    </row>
    <row r="825" spans="1:9" ht="14.4">
      <c r="A825" s="175"/>
      <c r="B825" s="175"/>
      <c r="C825" s="984"/>
      <c r="D825" s="1321"/>
      <c r="E825" s="1321"/>
      <c r="F825" s="1321"/>
      <c r="G825" s="983"/>
      <c r="I825" s="490"/>
    </row>
    <row r="826" spans="1:9" ht="14.4">
      <c r="A826" s="175"/>
      <c r="B826" s="175"/>
      <c r="C826" s="984"/>
      <c r="D826" s="977"/>
      <c r="E826" s="977"/>
      <c r="F826" s="977"/>
      <c r="G826" s="983"/>
      <c r="I826" s="490"/>
    </row>
    <row r="827" spans="1:9" ht="14.4">
      <c r="A827" s="175"/>
      <c r="B827" s="485" t="s">
        <v>2762</v>
      </c>
      <c r="C827" s="984"/>
      <c r="D827" s="1295" t="s">
        <v>1750</v>
      </c>
      <c r="E827" s="1295"/>
      <c r="F827" s="1295"/>
      <c r="G827" s="983"/>
      <c r="I827" s="483"/>
    </row>
    <row r="828" spans="1:9" ht="14.4">
      <c r="A828" s="175"/>
      <c r="B828" s="175"/>
      <c r="C828" s="984"/>
      <c r="D828" s="1295"/>
      <c r="E828" s="1295"/>
      <c r="F828" s="1295"/>
      <c r="G828" s="983"/>
      <c r="I828" s="490"/>
    </row>
    <row r="829" spans="1:9">
      <c r="A829" s="13"/>
      <c r="B829" s="13"/>
      <c r="C829" s="984"/>
      <c r="D829" s="1295"/>
      <c r="E829" s="1295"/>
      <c r="F829" s="1295"/>
      <c r="G829" s="983"/>
      <c r="I829" s="490"/>
    </row>
    <row r="830" spans="1:9" ht="14.4">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2761</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2761</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2762</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2762</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2762</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2761</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2761</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2762</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2762</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2762</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2761</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2761</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2761</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2762</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2762</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2762</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2762</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2761</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2761</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2761</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2762</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2762</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2762</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2762</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2761</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2762</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2762</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2761</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2762</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2762</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2761</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2762</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2762</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2762</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2762</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2761</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306</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2762</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2617</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2762</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2761</v>
      </c>
      <c r="C1067" s="402"/>
      <c r="D1067" s="402" t="s">
        <v>1800</v>
      </c>
      <c r="I1067" s="490"/>
    </row>
    <row r="1068" spans="1:9">
      <c r="A1068" s="402"/>
      <c r="B1068" s="402"/>
      <c r="C1068" s="402"/>
      <c r="I1068" s="490"/>
    </row>
    <row r="1069" spans="1:9">
      <c r="A1069" s="402"/>
      <c r="B1069" s="485" t="s">
        <v>2761</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2761</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2761</v>
      </c>
      <c r="C1081" s="402"/>
      <c r="D1081" s="1334" t="s">
        <v>2623</v>
      </c>
      <c r="E1081" s="1334"/>
      <c r="F1081" s="1334"/>
      <c r="I1081" s="490"/>
    </row>
    <row r="1082" spans="1:9">
      <c r="A1082" s="402"/>
      <c r="B1082" s="402"/>
      <c r="C1082" s="402"/>
      <c r="D1082" s="1334"/>
      <c r="E1082" s="1334"/>
      <c r="F1082" s="1334"/>
      <c r="I1082" s="490"/>
    </row>
    <row r="1083" spans="1:9">
      <c r="A1083" s="402"/>
      <c r="B1083" s="402"/>
      <c r="C1083" s="402"/>
      <c r="D1083" s="527" t="s">
        <v>2622</v>
      </c>
      <c r="I1083" s="490"/>
    </row>
    <row r="1084" spans="1:9">
      <c r="A1084" s="402"/>
      <c r="B1084" s="402"/>
      <c r="C1084" s="402"/>
      <c r="D1084" s="527"/>
      <c r="I1084" s="490"/>
    </row>
    <row r="1085" spans="1:9">
      <c r="A1085" s="402"/>
      <c r="B1085" s="485" t="s">
        <v>2762</v>
      </c>
      <c r="C1085" s="402"/>
      <c r="D1085" s="119" t="s">
        <v>2631</v>
      </c>
      <c r="I1085" s="490"/>
    </row>
    <row r="1086" spans="1:9">
      <c r="A1086" s="402"/>
      <c r="B1086" s="402"/>
      <c r="C1086" s="402"/>
      <c r="D1086" s="1266" t="s">
        <v>2633</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2762</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2634</v>
      </c>
      <c r="I1098" s="490"/>
    </row>
    <row r="1099" spans="1:9">
      <c r="A1099" s="402"/>
      <c r="B1099" s="402"/>
      <c r="C1099" s="402"/>
      <c r="I1099" s="490"/>
    </row>
    <row r="1100" spans="1:9">
      <c r="A1100" s="402"/>
      <c r="B1100" s="485" t="s">
        <v>2762</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2762</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2638</v>
      </c>
      <c r="E1109" s="1266"/>
      <c r="F1109" s="1266"/>
      <c r="I1109" s="490"/>
    </row>
    <row r="1110" spans="1:9">
      <c r="A1110" s="402"/>
      <c r="B1110" s="402"/>
      <c r="C1110" s="402"/>
      <c r="D1110" s="527"/>
      <c r="I1110" s="490"/>
    </row>
    <row r="1111" spans="1:9">
      <c r="A1111" s="402"/>
      <c r="B1111" s="485" t="s">
        <v>2762</v>
      </c>
      <c r="C1111" s="402"/>
      <c r="D1111" s="1331" t="s">
        <v>2586</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2762</v>
      </c>
      <c r="C1115" s="402"/>
      <c r="D1115" s="1331" t="s">
        <v>2605</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2762</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2761</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2762</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2762</v>
      </c>
      <c r="C1134" s="402"/>
      <c r="D1134" s="1272" t="s">
        <v>2615</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2762</v>
      </c>
      <c r="C1141" s="402"/>
      <c r="D1141" s="1287" t="s">
        <v>2587</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workbookViewId="0">
      <selection activeCell="T190" sqref="T190:AE190"/>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2428</v>
      </c>
      <c r="BE1" s="3"/>
      <c r="BF1" s="3"/>
    </row>
    <row r="2" spans="1:58" ht="12.9" customHeight="1">
      <c r="BD2" s="3" t="s">
        <v>2429</v>
      </c>
      <c r="BE2" s="3" t="s">
        <v>2430</v>
      </c>
      <c r="BF2" s="3" t="s">
        <v>2431</v>
      </c>
    </row>
    <row r="3" spans="1:58" ht="12.9" customHeight="1">
      <c r="BD3" s="3" t="s">
        <v>2523</v>
      </c>
      <c r="BE3" t="str">
        <f>AC220</f>
        <v>Bay Area ((Alameda, Contra Costa, Marin, San Francisco, San Mateo, Santa Clara, and Santa Cruz Counties)</v>
      </c>
    </row>
    <row r="4" spans="1:58" ht="12.9" customHeight="1">
      <c r="BD4" s="3" t="s">
        <v>2438</v>
      </c>
      <c r="BE4" s="1180"/>
    </row>
    <row r="5" spans="1:58" ht="12.9" customHeight="1">
      <c r="BD5" s="3" t="s">
        <v>2439</v>
      </c>
      <c r="BE5">
        <f>SUMIF($AC$726:$AC$760,"&lt;=20%",$G$726:G$760)</f>
        <v>0</v>
      </c>
      <c r="BF5" s="3" t="s">
        <v>2444</v>
      </c>
    </row>
    <row r="6" spans="1:58" ht="12.9" customHeight="1">
      <c r="BD6" s="3" t="s">
        <v>2440</v>
      </c>
      <c r="BE6" s="1183">
        <f>SUMIF($AC$726:$AC$760,"&lt;=25%",$G$726:G$760)-SUM($BE$5:BE5)</f>
        <v>0</v>
      </c>
    </row>
    <row r="7" spans="1:58" ht="12.9" customHeight="1">
      <c r="BD7" s="1181" t="s">
        <v>2432</v>
      </c>
      <c r="BE7" s="1183">
        <f>SUMIF($AC$726:$AC$760,"&lt;=30%",$G$726:G$760)-SUM($BE$5:BE6)</f>
        <v>24</v>
      </c>
    </row>
    <row r="8" spans="1:58"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894"/>
      <c r="AV8" s="894"/>
      <c r="AW8" s="894"/>
      <c r="AX8" s="894"/>
      <c r="AY8" s="894"/>
      <c r="BD8" s="3" t="s">
        <v>2441</v>
      </c>
      <c r="BE8" s="1183">
        <f>SUMIF($AC$726:$AC$760,"&lt;=35%",$G$726:G$760)-SUM($BE$5:BE7)</f>
        <v>0</v>
      </c>
    </row>
    <row r="9" spans="1:58" ht="12.9" customHeight="1">
      <c r="A9" s="1845" t="s">
        <v>2033</v>
      </c>
      <c r="B9" s="1845"/>
      <c r="C9" s="1845"/>
      <c r="D9" s="1845"/>
      <c r="E9" s="1845"/>
      <c r="F9" s="1845"/>
      <c r="G9" s="1845"/>
      <c r="H9" s="1845"/>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c r="AP9" s="1845"/>
      <c r="AQ9" s="1845"/>
      <c r="AR9" s="1845"/>
      <c r="AS9" s="1845"/>
      <c r="AT9" s="1845"/>
      <c r="AU9" s="13"/>
      <c r="AV9" s="13"/>
      <c r="AW9" s="13"/>
      <c r="AX9" s="13"/>
      <c r="AY9" s="13"/>
      <c r="BD9" s="1182" t="s">
        <v>2433</v>
      </c>
      <c r="BE9" s="1183">
        <f>SUMIF($AC$726:$AC$760,"&lt;=40%",$G$726:G$760)-SUM($BE$5:BE8)</f>
        <v>0</v>
      </c>
    </row>
    <row r="10" spans="1:58" ht="12.9" customHeight="1">
      <c r="A10" s="1845" t="s">
        <v>2607</v>
      </c>
      <c r="B10" s="1845"/>
      <c r="C10" s="1845"/>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c r="AP10" s="1845"/>
      <c r="AQ10" s="1845"/>
      <c r="AR10" s="1845"/>
      <c r="AS10" s="1845"/>
      <c r="AT10" s="1845"/>
      <c r="AU10" s="13"/>
      <c r="AV10" s="13"/>
      <c r="AW10" s="13"/>
      <c r="AX10" s="13"/>
      <c r="AY10" s="13"/>
      <c r="BD10" s="3" t="s">
        <v>2442</v>
      </c>
      <c r="BE10" s="1183">
        <f>SUMIF($AC$726:$AC$760,"&lt;=45%",$G$726:G$760)-SUM($BE$5:BE9)</f>
        <v>0</v>
      </c>
    </row>
    <row r="11" spans="1:58" ht="12.9" customHeight="1">
      <c r="A11" s="1845" t="s">
        <v>2531</v>
      </c>
      <c r="B11" s="1845"/>
      <c r="C11" s="1845"/>
      <c r="D11" s="1845"/>
      <c r="E11" s="1845"/>
      <c r="F11" s="1845"/>
      <c r="G11" s="1845"/>
      <c r="H11" s="1845"/>
      <c r="I11" s="1845"/>
      <c r="J11" s="1845"/>
      <c r="K11" s="1845"/>
      <c r="L11" s="1845"/>
      <c r="M11" s="1845"/>
      <c r="N11" s="1845"/>
      <c r="O11" s="1845"/>
      <c r="P11" s="1845"/>
      <c r="Q11" s="1845"/>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c r="AT11" s="1845"/>
      <c r="AU11" s="13"/>
      <c r="AV11" s="13"/>
      <c r="AW11" s="13"/>
      <c r="AX11" s="13"/>
      <c r="AY11" s="13"/>
      <c r="BD11" s="1181" t="s">
        <v>2434</v>
      </c>
      <c r="BE11" s="1183">
        <f>SUMIF($AC$726:$AC$760,"&lt;=50%",$G$726:G$760)-SUM($BE$5:BE10)</f>
        <v>46</v>
      </c>
    </row>
    <row r="12" spans="1:58" ht="12.9" customHeight="1">
      <c r="A12" s="1846" t="s">
        <v>2642</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c r="BD12" s="3" t="s">
        <v>2443</v>
      </c>
      <c r="BE12" s="1183">
        <f>SUMIF($AC$726:$AC$760,"&lt;=55%",$G$726:G$760)-SUM($BE$5:BE11)</f>
        <v>0</v>
      </c>
    </row>
    <row r="13" spans="1:58" ht="12.9"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2435</v>
      </c>
      <c r="BE13" s="1183">
        <f>SUMIF($AC$726:$AC$760,"&lt;=60%",$G$726:G$760)-SUM($BE$5:BE12)</f>
        <v>68</v>
      </c>
    </row>
    <row r="14" spans="1:58" ht="12.9"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2436</v>
      </c>
      <c r="BE14" s="1183">
        <f>SUMIF($AC$726:$AC$760,"&lt;=70%",$G$726:G$760)-SUM($BE$5:BE13)</f>
        <v>94</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 customHeight="1">
      <c r="A16" s="57" t="s">
        <v>2035</v>
      </c>
      <c r="C16" s="4"/>
      <c r="D16" s="4"/>
      <c r="E16" s="4"/>
      <c r="F16" s="4"/>
      <c r="G16" s="4"/>
      <c r="H16" s="1582" t="s">
        <v>2643</v>
      </c>
      <c r="I16" s="1554"/>
      <c r="J16" s="1554"/>
      <c r="K16" s="1554"/>
      <c r="L16" s="1554"/>
      <c r="M16" s="1554"/>
      <c r="N16" s="1554"/>
      <c r="O16" s="1554"/>
      <c r="P16" s="1554"/>
      <c r="Q16" s="1554"/>
      <c r="R16" s="1554"/>
      <c r="S16" s="1554"/>
      <c r="T16" s="1554"/>
      <c r="U16" s="1554"/>
      <c r="V16" s="1554"/>
      <c r="W16" s="1554"/>
      <c r="X16" s="1554"/>
      <c r="Y16" s="1554"/>
      <c r="Z16" s="1554"/>
      <c r="AA16" s="1554"/>
      <c r="AB16" s="1554"/>
      <c r="AC16" s="1554"/>
      <c r="AD16" s="1554"/>
      <c r="AE16" s="1554"/>
      <c r="AF16" s="1554"/>
      <c r="AG16" s="1554"/>
      <c r="AH16" s="1554"/>
      <c r="AI16" s="1554"/>
      <c r="AJ16" s="1554"/>
      <c r="BD16" s="1182" t="s">
        <v>655</v>
      </c>
      <c r="BE16" s="1183" t="str">
        <f>Application!H18</f>
        <v>Block 5 Apartments</v>
      </c>
    </row>
    <row r="17" spans="1:58" ht="12.9" customHeight="1">
      <c r="BD17" s="1181" t="s">
        <v>2449</v>
      </c>
      <c r="BE17" s="1183">
        <f>Application!AA943</f>
        <v>0</v>
      </c>
    </row>
    <row r="18" spans="1:58" ht="12.9" customHeight="1">
      <c r="A18" s="57" t="s">
        <v>101</v>
      </c>
      <c r="C18" s="4"/>
      <c r="D18" s="4"/>
      <c r="E18" s="4"/>
      <c r="F18" s="4"/>
      <c r="G18" s="4"/>
      <c r="H18" s="1422" t="s">
        <v>2644</v>
      </c>
      <c r="I18" s="1535"/>
      <c r="J18" s="1535"/>
      <c r="K18" s="1535"/>
      <c r="L18" s="1535"/>
      <c r="M18" s="1535"/>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BD18" s="1182" t="s">
        <v>2450</v>
      </c>
      <c r="BE18" s="1183">
        <f>AA943</f>
        <v>0</v>
      </c>
    </row>
    <row r="19" spans="1:58" ht="12.9" customHeight="1">
      <c r="BD19" s="1181" t="s">
        <v>2451</v>
      </c>
      <c r="BE19" s="1183">
        <f>Application!M26</f>
        <v>9287656</v>
      </c>
    </row>
    <row r="20" spans="1:58" ht="12.9" customHeight="1">
      <c r="A20" s="1847" t="s">
        <v>872</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896"/>
      <c r="AV20" s="896"/>
      <c r="AW20" s="896"/>
      <c r="AX20" s="896"/>
      <c r="AY20" s="896"/>
      <c r="BD20" s="1182" t="s">
        <v>2452</v>
      </c>
      <c r="BE20" s="1183">
        <f>Application!M27</f>
        <v>0</v>
      </c>
    </row>
    <row r="21" spans="1:58" ht="12.9" customHeight="1">
      <c r="A21" s="1854" t="s">
        <v>1008</v>
      </c>
      <c r="B21" s="1854"/>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897"/>
      <c r="AN21" s="897"/>
      <c r="AO21" s="897"/>
      <c r="AP21" s="897"/>
      <c r="AQ21" s="897"/>
      <c r="AR21" s="897"/>
      <c r="AS21" s="897"/>
      <c r="AT21" s="897"/>
      <c r="AU21" s="897"/>
      <c r="AV21" s="897"/>
      <c r="AW21" s="897"/>
      <c r="AX21" s="897"/>
      <c r="AY21" s="897"/>
      <c r="BD21" s="1181" t="s">
        <v>2453</v>
      </c>
      <c r="BE21" s="1183">
        <f>Application!AM562</f>
        <v>53597685.266545199</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200035551</v>
      </c>
      <c r="BF22" s="3" t="s">
        <v>2524</v>
      </c>
    </row>
    <row r="23" spans="1:58" ht="12.9"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2454</v>
      </c>
      <c r="BE23" s="1183">
        <f>'Sources and Uses Budget'!B4</f>
        <v>2</v>
      </c>
    </row>
    <row r="24" spans="1:58" ht="12.9"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2455</v>
      </c>
      <c r="BE24" s="1183">
        <f>Application!AG459</f>
        <v>321988</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 Average Income</v>
      </c>
    </row>
    <row r="26" spans="1:58" ht="12.9" customHeight="1">
      <c r="A26" s="4"/>
      <c r="C26" s="4"/>
      <c r="D26" s="4"/>
      <c r="E26" s="4"/>
      <c r="F26" s="4"/>
      <c r="G26" s="4"/>
      <c r="H26" s="4"/>
      <c r="I26" s="4"/>
      <c r="J26" s="4"/>
      <c r="K26" s="4"/>
      <c r="L26" s="4"/>
      <c r="M26" s="1849">
        <f>'Basis &amp; Credits'!AB56</f>
        <v>9287656</v>
      </c>
      <c r="N26" s="1849"/>
      <c r="O26" s="1849"/>
      <c r="P26" s="1849"/>
      <c r="Q26" s="1849"/>
      <c r="R26" s="4" t="s">
        <v>758</v>
      </c>
      <c r="S26" s="4"/>
      <c r="T26" s="4"/>
      <c r="U26" s="4"/>
      <c r="V26" s="4"/>
      <c r="W26" s="4"/>
      <c r="X26" s="4"/>
      <c r="Y26" s="4"/>
      <c r="Z26" s="4"/>
      <c r="AF26" s="4"/>
      <c r="AG26" s="4"/>
      <c r="AH26" s="4"/>
      <c r="AI26" s="4"/>
      <c r="AJ26" s="4"/>
      <c r="AK26" s="4"/>
      <c r="BD26" s="1182" t="s">
        <v>1627</v>
      </c>
      <c r="BE26" s="1183" t="b">
        <f>Application!M365="Yes"</f>
        <v>0</v>
      </c>
    </row>
    <row r="27" spans="1:58" ht="12.9" customHeight="1">
      <c r="A27" s="4"/>
      <c r="C27" s="4"/>
      <c r="D27" s="4"/>
      <c r="E27" s="4"/>
      <c r="F27" s="4"/>
      <c r="G27" s="4"/>
      <c r="H27" s="4"/>
      <c r="I27" s="4"/>
      <c r="J27" s="4"/>
      <c r="K27" s="4"/>
      <c r="L27" s="4"/>
      <c r="M27" s="1366">
        <f>'Basis &amp; Credits'!AB78</f>
        <v>0</v>
      </c>
      <c r="N27" s="1366"/>
      <c r="O27" s="1366"/>
      <c r="P27" s="1366"/>
      <c r="Q27" s="1366"/>
      <c r="R27" s="3" t="s">
        <v>1266</v>
      </c>
      <c r="S27" s="4"/>
      <c r="T27" s="4"/>
      <c r="U27" s="4"/>
      <c r="V27" s="4"/>
      <c r="W27" s="4"/>
      <c r="X27" s="4"/>
      <c r="Y27" s="4"/>
      <c r="Z27" s="4"/>
      <c r="AF27" s="4"/>
      <c r="AG27" s="4"/>
      <c r="AH27" s="4"/>
      <c r="AI27" s="4"/>
      <c r="AJ27" s="4"/>
      <c r="AK27" s="4"/>
      <c r="BD27" s="1181" t="s">
        <v>2054</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 customHeight="1">
      <c r="A29" s="1548" t="s">
        <v>2102</v>
      </c>
      <c r="B29" s="1548"/>
      <c r="C29" s="1548"/>
      <c r="D29" s="1548"/>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548"/>
      <c r="AM29" s="1548"/>
      <c r="AN29" s="1548"/>
      <c r="AO29" s="1548"/>
      <c r="AP29" s="1548"/>
      <c r="AQ29" s="1548"/>
      <c r="AR29" s="1548"/>
      <c r="AS29" s="1548"/>
      <c r="AT29" s="1548"/>
      <c r="BD29" s="1181" t="s">
        <v>2458</v>
      </c>
      <c r="BE29" s="1183" t="b">
        <f>Application!M367="Yes"</f>
        <v>0</v>
      </c>
    </row>
    <row r="30" spans="1:58" ht="12.9" customHeight="1">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548"/>
      <c r="AM30" s="1548"/>
      <c r="AN30" s="1548"/>
      <c r="AO30" s="1548"/>
      <c r="AP30" s="1548"/>
      <c r="AQ30" s="1548"/>
      <c r="AR30" s="1548"/>
      <c r="AS30" s="1548"/>
      <c r="AT30" s="1548"/>
      <c r="AZ30" s="20"/>
      <c r="BD30" s="1182" t="s">
        <v>28</v>
      </c>
      <c r="BE30" s="1183" t="b">
        <f>Application!AJ364="Yes"</f>
        <v>1</v>
      </c>
    </row>
    <row r="31" spans="1:58" ht="12.9" customHeight="1">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548"/>
      <c r="AM31" s="1548"/>
      <c r="AN31" s="1548"/>
      <c r="AO31" s="1548"/>
      <c r="AP31" s="1548"/>
      <c r="AQ31" s="1548"/>
      <c r="AR31" s="1548"/>
      <c r="AS31" s="1548"/>
      <c r="AT31" s="1548"/>
      <c r="AU31" s="20"/>
      <c r="AV31" s="20"/>
      <c r="AW31" s="20"/>
      <c r="AX31" s="20"/>
      <c r="AY31" s="20"/>
      <c r="AZ31" s="20"/>
      <c r="BD31" s="1181" t="s">
        <v>2459</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 hidden="1" customHeight="1">
      <c r="A33" s="519" t="s">
        <v>1277</v>
      </c>
      <c r="C33" s="519"/>
      <c r="D33" s="519"/>
      <c r="E33" s="519"/>
      <c r="F33" s="519"/>
      <c r="G33" s="519"/>
      <c r="H33" s="519"/>
      <c r="I33" s="519"/>
      <c r="J33" s="519"/>
      <c r="K33" s="519"/>
      <c r="L33" s="519"/>
      <c r="M33" s="519"/>
      <c r="N33" s="519"/>
      <c r="O33" s="1431" t="s">
        <v>668</v>
      </c>
      <c r="P33" s="1431"/>
      <c r="Q33" s="1848" t="s">
        <v>2103</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c r="BD33" s="1181" t="s">
        <v>2525</v>
      </c>
      <c r="BE33" s="1183" t="str">
        <f>Application!D220</f>
        <v>South and West Bay Region: San Mateo and Santa Clara Counties</v>
      </c>
    </row>
    <row r="34" spans="1:57" ht="12.9" hidden="1" customHeight="1">
      <c r="A34" s="1548" t="s">
        <v>2104</v>
      </c>
      <c r="B34" s="1548"/>
      <c r="C34" s="1548"/>
      <c r="D34" s="1548"/>
      <c r="E34" s="1548"/>
      <c r="F34" s="1548"/>
      <c r="G34" s="1548"/>
      <c r="H34" s="1548"/>
      <c r="I34" s="1548"/>
      <c r="J34" s="1548"/>
      <c r="K34" s="1548"/>
      <c r="L34" s="1548"/>
      <c r="M34" s="1548"/>
      <c r="N34" s="1548"/>
      <c r="O34" s="1548"/>
      <c r="P34" s="1548"/>
      <c r="Q34" s="1548"/>
      <c r="R34" s="1548"/>
      <c r="S34" s="1548"/>
      <c r="T34" s="1548"/>
      <c r="U34" s="1548"/>
      <c r="V34" s="1548"/>
      <c r="W34" s="1548"/>
      <c r="X34" s="1548"/>
      <c r="Y34" s="1548"/>
      <c r="Z34" s="1548"/>
      <c r="AA34" s="1548"/>
      <c r="AB34" s="1548"/>
      <c r="AC34" s="1548"/>
      <c r="AD34" s="1548"/>
      <c r="AE34" s="1548"/>
      <c r="AF34" s="1548"/>
      <c r="AG34" s="1548"/>
      <c r="AH34" s="1548"/>
      <c r="AI34" s="1548"/>
      <c r="AJ34" s="1548"/>
      <c r="AK34" s="1548"/>
      <c r="AL34" s="1548"/>
      <c r="AM34" s="1548"/>
      <c r="AN34" s="1548"/>
      <c r="AO34" s="1548"/>
      <c r="AP34" s="1548"/>
      <c r="AQ34" s="1548"/>
      <c r="AR34" s="1548"/>
      <c r="AS34" s="1548"/>
      <c r="AT34" s="1548"/>
      <c r="AU34" s="20"/>
      <c r="AV34" s="20"/>
      <c r="AW34" s="20"/>
      <c r="AX34" s="20"/>
      <c r="AY34" s="20"/>
      <c r="AZ34" s="20"/>
      <c r="BD34" s="1182" t="s">
        <v>2461</v>
      </c>
      <c r="BE34" s="1183" t="str">
        <f>Application!I185</f>
        <v>10123 North Wolfe Road</v>
      </c>
    </row>
    <row r="35" spans="1:57" ht="12.9" hidden="1" customHeight="1">
      <c r="A35" s="1548"/>
      <c r="B35" s="1548"/>
      <c r="C35" s="1548"/>
      <c r="D35" s="1548"/>
      <c r="E35" s="1548"/>
      <c r="F35" s="1548"/>
      <c r="G35" s="1548"/>
      <c r="H35" s="1548"/>
      <c r="I35" s="1548"/>
      <c r="J35" s="1548"/>
      <c r="K35" s="1548"/>
      <c r="L35" s="1548"/>
      <c r="M35" s="1548"/>
      <c r="N35" s="1548"/>
      <c r="O35" s="1548"/>
      <c r="P35" s="1548"/>
      <c r="Q35" s="1548"/>
      <c r="R35" s="1548"/>
      <c r="S35" s="1548"/>
      <c r="T35" s="1548"/>
      <c r="U35" s="1548"/>
      <c r="V35" s="1548"/>
      <c r="W35" s="1548"/>
      <c r="X35" s="1548"/>
      <c r="Y35" s="1548"/>
      <c r="Z35" s="1548"/>
      <c r="AA35" s="1548"/>
      <c r="AB35" s="1548"/>
      <c r="AC35" s="1548"/>
      <c r="AD35" s="1548"/>
      <c r="AE35" s="1548"/>
      <c r="AF35" s="1548"/>
      <c r="AG35" s="1548"/>
      <c r="AH35" s="1548"/>
      <c r="AI35" s="1548"/>
      <c r="AJ35" s="1548"/>
      <c r="AK35" s="1548"/>
      <c r="AL35" s="1548"/>
      <c r="AM35" s="1548"/>
      <c r="AN35" s="1548"/>
      <c r="AO35" s="1548"/>
      <c r="AP35" s="1548"/>
      <c r="AQ35" s="1548"/>
      <c r="AR35" s="1548"/>
      <c r="AS35" s="1548"/>
      <c r="AT35" s="1548"/>
      <c r="AU35" s="20"/>
      <c r="AV35" s="20"/>
      <c r="AW35" s="20"/>
      <c r="AX35" s="20"/>
      <c r="AY35" s="20"/>
      <c r="AZ35" s="20"/>
      <c r="BD35" s="1181" t="s">
        <v>2462</v>
      </c>
      <c r="BE35" s="1183" t="str">
        <f>IF(Application!E187="","",Application!E187)</f>
        <v/>
      </c>
    </row>
    <row r="36" spans="1:57" ht="12.9" hidden="1" customHeight="1">
      <c r="A36" s="1548"/>
      <c r="B36" s="1548"/>
      <c r="C36" s="1548"/>
      <c r="D36" s="1548"/>
      <c r="E36" s="1548"/>
      <c r="F36" s="1548"/>
      <c r="G36" s="1548"/>
      <c r="H36" s="1548"/>
      <c r="I36" s="1548"/>
      <c r="J36" s="1548"/>
      <c r="K36" s="1548"/>
      <c r="L36" s="1548"/>
      <c r="M36" s="1548"/>
      <c r="N36" s="1548"/>
      <c r="O36" s="1548"/>
      <c r="P36" s="1548"/>
      <c r="Q36" s="1548"/>
      <c r="R36" s="1548"/>
      <c r="S36" s="1548"/>
      <c r="T36" s="1548"/>
      <c r="U36" s="1548"/>
      <c r="V36" s="1548"/>
      <c r="W36" s="1548"/>
      <c r="X36" s="1548"/>
      <c r="Y36" s="1548"/>
      <c r="Z36" s="1548"/>
      <c r="AA36" s="1548"/>
      <c r="AB36" s="1548"/>
      <c r="AC36" s="1548"/>
      <c r="AD36" s="1548"/>
      <c r="AE36" s="1548"/>
      <c r="AF36" s="1548"/>
      <c r="AG36" s="1548"/>
      <c r="AH36" s="1548"/>
      <c r="AI36" s="1548"/>
      <c r="AJ36" s="1548"/>
      <c r="AK36" s="1548"/>
      <c r="AL36" s="1548"/>
      <c r="AM36" s="1548"/>
      <c r="AN36" s="1548"/>
      <c r="AO36" s="1548"/>
      <c r="AP36" s="1548"/>
      <c r="AQ36" s="1548"/>
      <c r="AR36" s="1548"/>
      <c r="AS36" s="1548"/>
      <c r="AT36" s="1548"/>
      <c r="AU36" s="20"/>
      <c r="AV36" s="20"/>
      <c r="AW36" s="20"/>
      <c r="AX36" s="20"/>
      <c r="AY36" s="20"/>
      <c r="AZ36" s="20"/>
      <c r="BD36" s="1182" t="s">
        <v>2463</v>
      </c>
      <c r="BE36" s="1183" t="str">
        <f>Application!I189</f>
        <v>Cupertino</v>
      </c>
    </row>
    <row r="37" spans="1:57" ht="12.9" hidden="1" customHeight="1">
      <c r="A37" s="1548"/>
      <c r="B37" s="1548"/>
      <c r="C37" s="1548"/>
      <c r="D37" s="1548"/>
      <c r="E37" s="1548"/>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48"/>
      <c r="AC37" s="1548"/>
      <c r="AD37" s="1548"/>
      <c r="AE37" s="1548"/>
      <c r="AF37" s="1548"/>
      <c r="AG37" s="1548"/>
      <c r="AH37" s="1548"/>
      <c r="AI37" s="1548"/>
      <c r="AJ37" s="1548"/>
      <c r="AK37" s="1548"/>
      <c r="AL37" s="1548"/>
      <c r="AM37" s="1548"/>
      <c r="AN37" s="1548"/>
      <c r="AO37" s="1548"/>
      <c r="AP37" s="1548"/>
      <c r="AQ37" s="1548"/>
      <c r="AR37" s="1548"/>
      <c r="AS37" s="1548"/>
      <c r="AT37" s="1548"/>
      <c r="AZ37" s="20"/>
      <c r="BD37" s="1181" t="s">
        <v>2464</v>
      </c>
      <c r="BE37" s="1183" t="str">
        <f>Application!T189</f>
        <v>Santa Clara</v>
      </c>
    </row>
    <row r="38" spans="1:57" ht="12.9" hidden="1" customHeight="1">
      <c r="A38" s="3"/>
      <c r="AZ38" s="20"/>
      <c r="BD38" s="1182" t="s">
        <v>2465</v>
      </c>
      <c r="BE38" s="1183">
        <f>Application!I190</f>
        <v>95014</v>
      </c>
    </row>
    <row r="39" spans="1:57" ht="12.9"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2466</v>
      </c>
      <c r="BE39" s="1183">
        <f>Application!AG446</f>
        <v>234</v>
      </c>
    </row>
    <row r="40" spans="1:57" ht="12.9"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383</v>
      </c>
      <c r="BE40" s="1183">
        <f>Application!AG449</f>
        <v>232</v>
      </c>
    </row>
    <row r="41" spans="1:57" ht="12.9"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286</v>
      </c>
      <c r="BE41" s="1183">
        <f>Application!AG447</f>
        <v>0</v>
      </c>
    </row>
    <row r="42" spans="1:57" ht="12.9"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2467</v>
      </c>
      <c r="BE42" s="1185">
        <f>Application!AC761</f>
        <v>0.58965517241379306</v>
      </c>
    </row>
    <row r="43" spans="1:57" ht="12.9"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2468</v>
      </c>
      <c r="BE43" s="1185">
        <f>Application!AH761</f>
        <v>0.54286165385703122</v>
      </c>
    </row>
    <row r="44" spans="1:57" ht="12.9"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2469</v>
      </c>
      <c r="BE44" s="1183">
        <f>Application!AC463</f>
        <v>854852.782051282</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2.9"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2471</v>
      </c>
      <c r="BE46" s="1183" t="b">
        <f>Application!T195="Yes"</f>
        <v>1</v>
      </c>
    </row>
    <row r="47" spans="1:57" ht="12.9"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2472</v>
      </c>
      <c r="BE47" s="1183" t="b">
        <f>Application!T196="Yes"</f>
        <v>0</v>
      </c>
    </row>
    <row r="48" spans="1:57" ht="12.9"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2473</v>
      </c>
      <c r="BE48" s="1183" t="str">
        <f>Application!M252</f>
        <v>Managing GP Entity to be formed later</v>
      </c>
    </row>
    <row r="49" spans="1:57" ht="12.9"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2474</v>
      </c>
      <c r="BE49" s="1183" t="str">
        <f>Application!M255</f>
        <v>Andrea Osgood</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Eden Housing, Inc.</v>
      </c>
    </row>
    <row r="51" spans="1:57" ht="12.9"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2476</v>
      </c>
      <c r="BE51" s="1183" t="str">
        <f>Application!M260</f>
        <v>Administrative GP Entity to be formed later</v>
      </c>
    </row>
    <row r="52" spans="1:57" ht="12.9"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2477</v>
      </c>
      <c r="BE52" s="1183" t="str">
        <f>Application!M263</f>
        <v>Andrea Osgood</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Eden Housing, Inc.</v>
      </c>
    </row>
    <row r="54" spans="1:57" ht="12.9"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2479</v>
      </c>
      <c r="BE54" s="1183">
        <f>Application!M268</f>
        <v>0</v>
      </c>
    </row>
    <row r="55" spans="1:57" ht="12.9"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2480</v>
      </c>
      <c r="BE55" s="1183">
        <f>Application!M271</f>
        <v>0</v>
      </c>
    </row>
    <row r="56" spans="1:57" ht="12.9"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2481</v>
      </c>
      <c r="BE56" s="1183">
        <f>Application!AA274</f>
        <v>0</v>
      </c>
    </row>
    <row r="57" spans="1:57" ht="12.9"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2482</v>
      </c>
      <c r="BE57" s="1183" t="str">
        <f>Application!H296</f>
        <v>Eden Housing, Inc.</v>
      </c>
    </row>
    <row r="58" spans="1:57" ht="12.9"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2483</v>
      </c>
      <c r="BE58" s="1183" t="str">
        <f>Application!H297</f>
        <v>22645 Grand Street</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Hayward, CA 94541</v>
      </c>
    </row>
    <row r="60" spans="1:57" ht="12.9"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2485</v>
      </c>
      <c r="BE60" s="1183" t="str">
        <f>Application!H299</f>
        <v>Andrea Osgood</v>
      </c>
    </row>
    <row r="61" spans="1:57" ht="12.9"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2486</v>
      </c>
      <c r="BE61" s="1183" t="str">
        <f>Application!H302</f>
        <v>aosgood@edenhousing.org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0.81720139999999997</v>
      </c>
    </row>
    <row r="63" spans="1:57" ht="12.9"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 customHeight="1">
      <c r="A65" s="1557" t="s">
        <v>2111</v>
      </c>
      <c r="B65" s="1557"/>
      <c r="C65" s="1557"/>
      <c r="D65" s="1557"/>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557"/>
      <c r="AM65" s="1557"/>
      <c r="AN65" s="1557"/>
      <c r="AO65" s="1557"/>
      <c r="AP65" s="1557"/>
      <c r="AQ65" s="1557"/>
      <c r="AR65" s="1557"/>
      <c r="AS65" s="1557"/>
      <c r="AT65" s="1557"/>
      <c r="AU65" s="21"/>
      <c r="AV65" s="21"/>
      <c r="AW65" s="21"/>
      <c r="AX65" s="21"/>
      <c r="AY65" s="21"/>
      <c r="AZ65" s="20"/>
      <c r="BD65" s="1181" t="s">
        <v>2522</v>
      </c>
      <c r="BE65" s="1183" t="str">
        <f>Z205</f>
        <v>(select)</v>
      </c>
    </row>
    <row r="66" spans="1:57" ht="12.9" customHeight="1">
      <c r="A66" s="1557"/>
      <c r="B66" s="1557"/>
      <c r="C66" s="1557"/>
      <c r="D66" s="1557"/>
      <c r="E66" s="1557"/>
      <c r="F66" s="1557"/>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557"/>
      <c r="AM66" s="1557"/>
      <c r="AN66" s="1557"/>
      <c r="AO66" s="1557"/>
      <c r="AP66" s="1557"/>
      <c r="AQ66" s="1557"/>
      <c r="AR66" s="1557"/>
      <c r="AS66" s="1557"/>
      <c r="AT66" s="1557"/>
      <c r="AU66" s="21"/>
      <c r="AV66" s="21"/>
      <c r="AW66" s="21"/>
      <c r="AX66" s="21"/>
      <c r="AY66" s="21"/>
      <c r="AZ66" s="20"/>
      <c r="BD66" s="1182" t="s">
        <v>2489</v>
      </c>
      <c r="BE66" s="1183" t="b">
        <f>Application!Z205="State Farmworker Credit"</f>
        <v>0</v>
      </c>
    </row>
    <row r="67" spans="1:57" ht="12.9" customHeight="1">
      <c r="A67" s="1557"/>
      <c r="B67" s="1557"/>
      <c r="C67" s="1557"/>
      <c r="D67" s="1557"/>
      <c r="E67" s="1557"/>
      <c r="F67" s="1557"/>
      <c r="G67" s="1557"/>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557"/>
      <c r="AM67" s="1557"/>
      <c r="AN67" s="1557"/>
      <c r="AO67" s="1557"/>
      <c r="AP67" s="1557"/>
      <c r="AQ67" s="1557"/>
      <c r="AR67" s="1557"/>
      <c r="AS67" s="1557"/>
      <c r="AT67" s="1557"/>
      <c r="AZ67" s="20"/>
      <c r="BD67" s="1181" t="s">
        <v>2490</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9639667</v>
      </c>
    </row>
    <row r="69" spans="1:57" ht="12.9" customHeight="1">
      <c r="A69" s="1557" t="s">
        <v>2112</v>
      </c>
      <c r="B69" s="1557"/>
      <c r="C69" s="1557"/>
      <c r="D69" s="1557"/>
      <c r="E69" s="1557"/>
      <c r="F69" s="1557"/>
      <c r="G69" s="1557"/>
      <c r="H69" s="1557"/>
      <c r="I69" s="1557"/>
      <c r="J69" s="1557"/>
      <c r="K69" s="1557"/>
      <c r="L69" s="1557"/>
      <c r="M69" s="1557"/>
      <c r="N69" s="1557"/>
      <c r="O69" s="1557"/>
      <c r="P69" s="1557"/>
      <c r="Q69" s="1557"/>
      <c r="R69" s="1557"/>
      <c r="S69" s="1557"/>
      <c r="T69" s="1557"/>
      <c r="U69" s="1557"/>
      <c r="V69" s="1557"/>
      <c r="W69" s="1557"/>
      <c r="X69" s="1557"/>
      <c r="Y69" s="1557"/>
      <c r="Z69" s="1557"/>
      <c r="AA69" s="1557"/>
      <c r="AB69" s="1557"/>
      <c r="AC69" s="1557"/>
      <c r="AD69" s="1557"/>
      <c r="AE69" s="1557"/>
      <c r="AF69" s="1557"/>
      <c r="AG69" s="1557"/>
      <c r="AH69" s="1557"/>
      <c r="AI69" s="1557"/>
      <c r="AJ69" s="1557"/>
      <c r="AK69" s="1557"/>
      <c r="AL69" s="1557"/>
      <c r="AM69" s="1557"/>
      <c r="AN69" s="1557"/>
      <c r="AO69" s="1557"/>
      <c r="AP69" s="1557"/>
      <c r="AQ69" s="1557"/>
      <c r="AR69" s="1557"/>
      <c r="AS69" s="1557"/>
      <c r="AT69" s="1557"/>
      <c r="AZ69" s="20"/>
      <c r="BD69" s="1181" t="s">
        <v>2492</v>
      </c>
      <c r="BE69" s="1183" t="str">
        <f>Application!W708</f>
        <v>California Municipal Finance Authority</v>
      </c>
    </row>
    <row r="70" spans="1:57" ht="12.9" customHeight="1">
      <c r="A70" s="1557"/>
      <c r="B70" s="1557"/>
      <c r="C70" s="1557"/>
      <c r="D70" s="1557"/>
      <c r="E70" s="1557"/>
      <c r="F70" s="1557"/>
      <c r="G70" s="1557"/>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c r="AH70" s="1557"/>
      <c r="AI70" s="1557"/>
      <c r="AJ70" s="1557"/>
      <c r="AK70" s="1557"/>
      <c r="AL70" s="1557"/>
      <c r="AM70" s="1557"/>
      <c r="AN70" s="1557"/>
      <c r="AO70" s="1557"/>
      <c r="AP70" s="1557"/>
      <c r="AQ70" s="1557"/>
      <c r="AR70" s="1557"/>
      <c r="AS70" s="1557"/>
      <c r="AT70" s="1557"/>
      <c r="AU70" s="20"/>
      <c r="AV70" s="20"/>
      <c r="AW70" s="20"/>
      <c r="AX70" s="20"/>
      <c r="AY70" s="20"/>
      <c r="AZ70" s="20"/>
      <c r="BD70" s="1182" t="s">
        <v>2493</v>
      </c>
      <c r="BE70" s="1183">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 customHeight="1">
      <c r="A72" s="1548" t="s">
        <v>2113</v>
      </c>
      <c r="B72" s="1548"/>
      <c r="C72" s="1548"/>
      <c r="D72" s="1548"/>
      <c r="E72" s="1548"/>
      <c r="F72" s="1548"/>
      <c r="G72" s="1548"/>
      <c r="H72" s="1548"/>
      <c r="I72" s="1548"/>
      <c r="J72" s="1548"/>
      <c r="K72" s="1548"/>
      <c r="L72" s="1548"/>
      <c r="M72" s="1548"/>
      <c r="N72" s="1548"/>
      <c r="O72" s="1548"/>
      <c r="P72" s="1548"/>
      <c r="Q72" s="1548"/>
      <c r="R72" s="1548"/>
      <c r="S72" s="1548"/>
      <c r="T72" s="1548"/>
      <c r="U72" s="1548"/>
      <c r="V72" s="1548"/>
      <c r="W72" s="1548"/>
      <c r="X72" s="1548"/>
      <c r="Y72" s="1548"/>
      <c r="Z72" s="1548"/>
      <c r="AA72" s="1548"/>
      <c r="AB72" s="1548"/>
      <c r="AC72" s="1548"/>
      <c r="AD72" s="1548"/>
      <c r="AE72" s="1548"/>
      <c r="AF72" s="1548"/>
      <c r="AG72" s="1548"/>
      <c r="AH72" s="1548"/>
      <c r="AI72" s="1548"/>
      <c r="AJ72" s="1548"/>
      <c r="AK72" s="1548"/>
      <c r="AL72" s="1548"/>
      <c r="AM72" s="1548"/>
      <c r="AN72" s="1548"/>
      <c r="AO72" s="1548"/>
      <c r="AP72" s="1548"/>
      <c r="AQ72" s="1548"/>
      <c r="AR72" s="1548"/>
      <c r="AS72" s="1548"/>
      <c r="AT72" s="1548"/>
      <c r="AU72" s="20"/>
      <c r="AV72" s="20"/>
      <c r="AW72" s="20"/>
      <c r="AX72" s="20"/>
      <c r="AY72" s="20"/>
      <c r="AZ72" s="20"/>
      <c r="BD72" s="1182" t="s">
        <v>2494</v>
      </c>
      <c r="BE72" s="1183">
        <f>'Points System'!AF827</f>
        <v>10</v>
      </c>
    </row>
    <row r="73" spans="1:57" ht="12.9" customHeight="1">
      <c r="A73" s="1548"/>
      <c r="B73" s="1548"/>
      <c r="C73" s="1548"/>
      <c r="D73" s="1548"/>
      <c r="E73" s="1548"/>
      <c r="F73" s="1548"/>
      <c r="G73" s="1548"/>
      <c r="H73" s="1548"/>
      <c r="I73" s="1548"/>
      <c r="J73" s="1548"/>
      <c r="K73" s="1548"/>
      <c r="L73" s="1548"/>
      <c r="M73" s="1548"/>
      <c r="N73" s="1548"/>
      <c r="O73" s="1548"/>
      <c r="P73" s="1548"/>
      <c r="Q73" s="1548"/>
      <c r="R73" s="1548"/>
      <c r="S73" s="1548"/>
      <c r="T73" s="1548"/>
      <c r="U73" s="1548"/>
      <c r="V73" s="1548"/>
      <c r="W73" s="1548"/>
      <c r="X73" s="1548"/>
      <c r="Y73" s="1548"/>
      <c r="Z73" s="1548"/>
      <c r="AA73" s="1548"/>
      <c r="AB73" s="1548"/>
      <c r="AC73" s="1548"/>
      <c r="AD73" s="1548"/>
      <c r="AE73" s="1548"/>
      <c r="AF73" s="1548"/>
      <c r="AG73" s="1548"/>
      <c r="AH73" s="1548"/>
      <c r="AI73" s="1548"/>
      <c r="AJ73" s="1548"/>
      <c r="AK73" s="1548"/>
      <c r="AL73" s="1548"/>
      <c r="AM73" s="1548"/>
      <c r="AN73" s="1548"/>
      <c r="AO73" s="1548"/>
      <c r="AP73" s="1548"/>
      <c r="AQ73" s="1548"/>
      <c r="AR73" s="1548"/>
      <c r="AS73" s="1548"/>
      <c r="AT73" s="1548"/>
      <c r="AU73" s="20"/>
      <c r="AV73" s="20"/>
      <c r="AW73" s="20"/>
      <c r="AX73" s="20"/>
      <c r="AY73" s="20"/>
      <c r="AZ73" s="20"/>
      <c r="BD73" s="1181" t="s">
        <v>2495</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 customHeight="1">
      <c r="A75" s="1556" t="s">
        <v>2114</v>
      </c>
      <c r="B75" s="1556"/>
      <c r="C75" s="1556"/>
      <c r="D75" s="1556"/>
      <c r="E75" s="1556"/>
      <c r="F75" s="1556"/>
      <c r="G75" s="1556"/>
      <c r="H75" s="1556"/>
      <c r="I75" s="1556"/>
      <c r="J75" s="1556"/>
      <c r="K75" s="1556"/>
      <c r="L75" s="1556"/>
      <c r="M75" s="1556"/>
      <c r="N75" s="1556"/>
      <c r="O75" s="1556"/>
      <c r="P75" s="1556"/>
      <c r="Q75" s="1556"/>
      <c r="R75" s="1556"/>
      <c r="S75" s="1556"/>
      <c r="T75" s="1556"/>
      <c r="U75" s="1556"/>
      <c r="V75" s="1556"/>
      <c r="W75" s="1556"/>
      <c r="X75" s="1556"/>
      <c r="Y75" s="1556"/>
      <c r="Z75" s="1556"/>
      <c r="AA75" s="1556"/>
      <c r="AB75" s="1556"/>
      <c r="AC75" s="1556"/>
      <c r="AD75" s="1556"/>
      <c r="AE75" s="1556"/>
      <c r="AF75" s="1556"/>
      <c r="AG75" s="1556"/>
      <c r="AH75" s="1556"/>
      <c r="AI75" s="1556"/>
      <c r="AJ75" s="1556"/>
      <c r="AK75" s="1556"/>
      <c r="AL75" s="1556"/>
      <c r="AM75" s="1556"/>
      <c r="AN75" s="1556"/>
      <c r="AO75" s="1556"/>
      <c r="AP75" s="1556"/>
      <c r="AQ75" s="1556"/>
      <c r="AR75" s="1556"/>
      <c r="AS75" s="1556"/>
      <c r="AT75" s="1556"/>
      <c r="AU75" s="20"/>
      <c r="AV75" s="20"/>
      <c r="AW75" s="20"/>
      <c r="AX75" s="20"/>
      <c r="AY75" s="20"/>
      <c r="AZ75" s="20"/>
      <c r="BD75" s="1181" t="s">
        <v>2497</v>
      </c>
      <c r="BE75" s="1183">
        <f>'Points System'!AF830</f>
        <v>10</v>
      </c>
    </row>
    <row r="76" spans="1:57" ht="12.9" customHeight="1">
      <c r="A76" s="1556"/>
      <c r="B76" s="1556"/>
      <c r="C76" s="1556"/>
      <c r="D76" s="1556"/>
      <c r="E76" s="1556"/>
      <c r="F76" s="1556"/>
      <c r="G76" s="1556"/>
      <c r="H76" s="1556"/>
      <c r="I76" s="1556"/>
      <c r="J76" s="1556"/>
      <c r="K76" s="1556"/>
      <c r="L76" s="1556"/>
      <c r="M76" s="1556"/>
      <c r="N76" s="1556"/>
      <c r="O76" s="1556"/>
      <c r="P76" s="1556"/>
      <c r="Q76" s="1556"/>
      <c r="R76" s="1556"/>
      <c r="S76" s="1556"/>
      <c r="T76" s="1556"/>
      <c r="U76" s="1556"/>
      <c r="V76" s="1556"/>
      <c r="W76" s="1556"/>
      <c r="X76" s="1556"/>
      <c r="Y76" s="1556"/>
      <c r="Z76" s="1556"/>
      <c r="AA76" s="1556"/>
      <c r="AB76" s="1556"/>
      <c r="AC76" s="1556"/>
      <c r="AD76" s="1556"/>
      <c r="AE76" s="1556"/>
      <c r="AF76" s="1556"/>
      <c r="AG76" s="1556"/>
      <c r="AH76" s="1556"/>
      <c r="AI76" s="1556"/>
      <c r="AJ76" s="1556"/>
      <c r="AK76" s="1556"/>
      <c r="AL76" s="1556"/>
      <c r="AM76" s="1556"/>
      <c r="AN76" s="1556"/>
      <c r="AO76" s="1556"/>
      <c r="AP76" s="1556"/>
      <c r="AQ76" s="1556"/>
      <c r="AR76" s="1556"/>
      <c r="AS76" s="1556"/>
      <c r="AT76" s="1556"/>
      <c r="AU76" s="20"/>
      <c r="AV76" s="20"/>
      <c r="AW76" s="20"/>
      <c r="AX76" s="20"/>
      <c r="AY76" s="20"/>
      <c r="AZ76" s="17"/>
      <c r="BD76" s="1182" t="s">
        <v>2498</v>
      </c>
      <c r="BE76" s="1183">
        <f>'Points System'!AF833</f>
        <v>10</v>
      </c>
    </row>
    <row r="77" spans="1:57" ht="12.9" customHeight="1">
      <c r="A77" s="1556"/>
      <c r="B77" s="1556"/>
      <c r="C77" s="1556"/>
      <c r="D77" s="1556"/>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1556"/>
      <c r="AA77" s="1556"/>
      <c r="AB77" s="1556"/>
      <c r="AC77" s="1556"/>
      <c r="AD77" s="1556"/>
      <c r="AE77" s="1556"/>
      <c r="AF77" s="1556"/>
      <c r="AG77" s="1556"/>
      <c r="AH77" s="1556"/>
      <c r="AI77" s="1556"/>
      <c r="AJ77" s="1556"/>
      <c r="AK77" s="1556"/>
      <c r="AL77" s="1556"/>
      <c r="AM77" s="1556"/>
      <c r="AN77" s="1556"/>
      <c r="AO77" s="1556"/>
      <c r="AP77" s="1556"/>
      <c r="AQ77" s="1556"/>
      <c r="AR77" s="1556"/>
      <c r="AS77" s="1556"/>
      <c r="AT77" s="1556"/>
      <c r="AU77" s="20"/>
      <c r="AV77" s="20"/>
      <c r="AW77" s="20"/>
      <c r="AX77" s="20"/>
      <c r="AY77" s="20"/>
      <c r="AZ77" s="17"/>
      <c r="BD77" s="1181" t="s">
        <v>2499</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 customHeight="1">
      <c r="A79" s="1557" t="s">
        <v>2115</v>
      </c>
      <c r="B79" s="1557"/>
      <c r="C79" s="1557"/>
      <c r="D79" s="1557"/>
      <c r="E79" s="1557"/>
      <c r="F79" s="1557"/>
      <c r="G79" s="1557"/>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557"/>
      <c r="AM79" s="1557"/>
      <c r="AN79" s="1557"/>
      <c r="AO79" s="1557"/>
      <c r="AP79" s="1557"/>
      <c r="AQ79" s="1557"/>
      <c r="AR79" s="1557"/>
      <c r="AS79" s="1557"/>
      <c r="AT79" s="1557"/>
      <c r="AU79" s="20"/>
      <c r="AV79" s="20"/>
      <c r="AW79" s="20"/>
      <c r="AX79" s="20"/>
      <c r="AY79" s="20"/>
      <c r="AZ79" s="20"/>
      <c r="BD79" s="1181" t="s">
        <v>2619</v>
      </c>
      <c r="BE79" s="1183">
        <f>'Points System'!AF837</f>
        <v>10</v>
      </c>
    </row>
    <row r="80" spans="1:57" ht="12.9" customHeight="1">
      <c r="A80" s="1557"/>
      <c r="B80" s="1557"/>
      <c r="C80" s="1557"/>
      <c r="D80" s="1557"/>
      <c r="E80" s="1557"/>
      <c r="F80" s="1557"/>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557"/>
      <c r="AM80" s="1557"/>
      <c r="AN80" s="1557"/>
      <c r="AO80" s="1557"/>
      <c r="AP80" s="1557"/>
      <c r="AQ80" s="1557"/>
      <c r="AR80" s="1557"/>
      <c r="AS80" s="1557"/>
      <c r="AT80" s="1557"/>
      <c r="AU80" s="20"/>
      <c r="AV80" s="20"/>
      <c r="AW80" s="20"/>
      <c r="AX80" s="20"/>
      <c r="AY80" s="20"/>
      <c r="AZ80" s="20"/>
      <c r="BD80" s="1182" t="s">
        <v>2501</v>
      </c>
      <c r="BE80" s="1183">
        <f>'Points System'!AF839</f>
        <v>10</v>
      </c>
    </row>
    <row r="81" spans="1:57" ht="12.9" customHeight="1">
      <c r="A81" s="1557"/>
      <c r="B81" s="1557"/>
      <c r="C81" s="1557"/>
      <c r="D81" s="1557"/>
      <c r="E81" s="1557"/>
      <c r="F81" s="1557"/>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557"/>
      <c r="AM81" s="1557"/>
      <c r="AN81" s="1557"/>
      <c r="AO81" s="1557"/>
      <c r="AP81" s="1557"/>
      <c r="AQ81" s="1557"/>
      <c r="AR81" s="1557"/>
      <c r="AS81" s="1557"/>
      <c r="AT81" s="1557"/>
      <c r="AU81" s="20"/>
      <c r="AV81" s="20"/>
      <c r="AW81" s="20"/>
      <c r="AX81" s="20"/>
      <c r="AY81" s="20"/>
      <c r="AZ81" s="20"/>
      <c r="BD81" s="1181" t="s">
        <v>2502</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2504</v>
      </c>
      <c r="BE83" s="1187">
        <f>'Tie Breaker'!H5</f>
        <v>1.9100590725754267</v>
      </c>
    </row>
    <row r="84" spans="1:57" ht="12.9"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2505</v>
      </c>
      <c r="BE84" s="1183" t="str">
        <f>Application!O153</f>
        <v>City of Cupertino</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Tina Kapoor</v>
      </c>
    </row>
    <row r="86" spans="1:57" ht="12.9"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2507</v>
      </c>
      <c r="BE86" s="1183" t="str">
        <f>Application!O155</f>
        <v>City Manager</v>
      </c>
    </row>
    <row r="87" spans="1:57" ht="12.9"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2508</v>
      </c>
      <c r="BE87" s="1183" t="str">
        <f>Application!O156</f>
        <v>10300 Torre Avenue</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Cupertino</v>
      </c>
    </row>
    <row r="89" spans="1:57" ht="12.9" customHeight="1">
      <c r="A89" s="1566" t="s">
        <v>2118</v>
      </c>
      <c r="B89" s="1566"/>
      <c r="C89" s="1566"/>
      <c r="D89" s="1566"/>
      <c r="E89" s="1566"/>
      <c r="F89" s="1566"/>
      <c r="G89" s="1566"/>
      <c r="H89" s="1566"/>
      <c r="I89" s="1566"/>
      <c r="J89" s="1566"/>
      <c r="K89" s="1566"/>
      <c r="L89" s="1566"/>
      <c r="M89" s="1566"/>
      <c r="N89" s="1566"/>
      <c r="O89" s="1566"/>
      <c r="P89" s="1566"/>
      <c r="Q89" s="1566"/>
      <c r="R89" s="1566"/>
      <c r="S89" s="1566"/>
      <c r="T89" s="1566"/>
      <c r="U89" s="1566"/>
      <c r="V89" s="1566"/>
      <c r="W89" s="1566"/>
      <c r="X89" s="1566"/>
      <c r="Y89" s="1566"/>
      <c r="Z89" s="1566"/>
      <c r="AA89" s="1566"/>
      <c r="AB89" s="1566"/>
      <c r="AC89" s="1566"/>
      <c r="AD89" s="1566"/>
      <c r="AE89" s="1566"/>
      <c r="AF89" s="1566"/>
      <c r="AG89" s="1566"/>
      <c r="AH89" s="1566"/>
      <c r="AI89" s="1566"/>
      <c r="AJ89" s="1566"/>
      <c r="AK89" s="1566"/>
      <c r="AL89" s="1566"/>
      <c r="AM89" s="1566"/>
      <c r="AN89" s="1566"/>
      <c r="AO89" s="1566"/>
      <c r="AP89" s="1566"/>
      <c r="AQ89" s="1566"/>
      <c r="AR89" s="1566"/>
      <c r="AS89" s="1566"/>
      <c r="AT89" s="1566"/>
      <c r="AU89" s="17"/>
      <c r="AV89" s="17"/>
      <c r="AW89" s="17"/>
      <c r="AX89" s="17"/>
      <c r="AY89" s="17"/>
      <c r="AZ89" s="20"/>
      <c r="BD89" s="1181" t="s">
        <v>2510</v>
      </c>
      <c r="BE89" s="1183">
        <f>Application!O158</f>
        <v>95014</v>
      </c>
    </row>
    <row r="90" spans="1:57" ht="12.9" customHeight="1">
      <c r="A90" s="1566"/>
      <c r="B90" s="1566"/>
      <c r="C90" s="1566"/>
      <c r="D90" s="1566"/>
      <c r="E90" s="1566"/>
      <c r="F90" s="1566"/>
      <c r="G90" s="1566"/>
      <c r="H90" s="1566"/>
      <c r="I90" s="1566"/>
      <c r="J90" s="1566"/>
      <c r="K90" s="1566"/>
      <c r="L90" s="1566"/>
      <c r="M90" s="1566"/>
      <c r="N90" s="1566"/>
      <c r="O90" s="1566"/>
      <c r="P90" s="1566"/>
      <c r="Q90" s="1566"/>
      <c r="R90" s="1566"/>
      <c r="S90" s="1566"/>
      <c r="T90" s="1566"/>
      <c r="U90" s="1566"/>
      <c r="V90" s="1566"/>
      <c r="W90" s="1566"/>
      <c r="X90" s="1566"/>
      <c r="Y90" s="1566"/>
      <c r="Z90" s="1566"/>
      <c r="AA90" s="1566"/>
      <c r="AB90" s="1566"/>
      <c r="AC90" s="1566"/>
      <c r="AD90" s="1566"/>
      <c r="AE90" s="1566"/>
      <c r="AF90" s="1566"/>
      <c r="AG90" s="1566"/>
      <c r="AH90" s="1566"/>
      <c r="AI90" s="1566"/>
      <c r="AJ90" s="1566"/>
      <c r="AK90" s="1566"/>
      <c r="AL90" s="1566"/>
      <c r="AM90" s="1566"/>
      <c r="AN90" s="1566"/>
      <c r="AO90" s="1566"/>
      <c r="AP90" s="1566"/>
      <c r="AQ90" s="1566"/>
      <c r="AR90" s="1566"/>
      <c r="AS90" s="1566"/>
      <c r="AT90" s="1566"/>
      <c r="AU90" s="17"/>
      <c r="AV90" s="17"/>
      <c r="AW90" s="17"/>
      <c r="AX90" s="17"/>
      <c r="AY90" s="17"/>
      <c r="AZ90" s="20"/>
      <c r="BD90" s="1182" t="s">
        <v>2511</v>
      </c>
      <c r="BE90" s="1183" t="str">
        <f>Application!H16</f>
        <v>Eden Housing, Inc.</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22645 Grand Street</v>
      </c>
    </row>
    <row r="92" spans="1:57" ht="12.9" customHeight="1">
      <c r="A92" s="1556" t="s">
        <v>2119</v>
      </c>
      <c r="B92" s="1556"/>
      <c r="C92" s="1556"/>
      <c r="D92" s="1556"/>
      <c r="E92" s="1556"/>
      <c r="F92" s="1556"/>
      <c r="G92" s="1556"/>
      <c r="H92" s="1556"/>
      <c r="I92" s="1556"/>
      <c r="J92" s="1556"/>
      <c r="K92" s="1556"/>
      <c r="L92" s="1556"/>
      <c r="M92" s="1556"/>
      <c r="N92" s="1556"/>
      <c r="O92" s="1556"/>
      <c r="P92" s="1556"/>
      <c r="Q92" s="1556"/>
      <c r="R92" s="1556"/>
      <c r="S92" s="1556"/>
      <c r="T92" s="1556"/>
      <c r="U92" s="1556"/>
      <c r="V92" s="1556"/>
      <c r="W92" s="1556"/>
      <c r="X92" s="1556"/>
      <c r="Y92" s="1556"/>
      <c r="Z92" s="1556"/>
      <c r="AA92" s="1556"/>
      <c r="AB92" s="1556"/>
      <c r="AC92" s="1556"/>
      <c r="AD92" s="1556"/>
      <c r="AE92" s="1556"/>
      <c r="AF92" s="1556"/>
      <c r="AG92" s="1556"/>
      <c r="AH92" s="1556"/>
      <c r="AI92" s="1556"/>
      <c r="AJ92" s="1556"/>
      <c r="AK92" s="1556"/>
      <c r="AL92" s="1556"/>
      <c r="AM92" s="1556"/>
      <c r="AN92" s="1556"/>
      <c r="AO92" s="1556"/>
      <c r="AP92" s="1556"/>
      <c r="AQ92" s="1556"/>
      <c r="AR92" s="1556"/>
      <c r="AS92" s="1556"/>
      <c r="AT92" s="1556"/>
      <c r="AU92" s="20"/>
      <c r="AV92" s="20"/>
      <c r="AW92" s="20"/>
      <c r="AX92" s="20"/>
      <c r="AY92" s="20"/>
      <c r="AZ92" s="20"/>
      <c r="BD92" s="1182" t="s">
        <v>2513</v>
      </c>
      <c r="BE92" s="1183" t="str">
        <f>Application!M243</f>
        <v>Hayward</v>
      </c>
    </row>
    <row r="93" spans="1:57" ht="12.9" customHeight="1">
      <c r="A93" s="1556"/>
      <c r="B93" s="1556"/>
      <c r="C93" s="1556"/>
      <c r="D93" s="1556"/>
      <c r="E93" s="1556"/>
      <c r="F93" s="1556"/>
      <c r="G93" s="1556"/>
      <c r="H93" s="1556"/>
      <c r="I93" s="1556"/>
      <c r="J93" s="1556"/>
      <c r="K93" s="1556"/>
      <c r="L93" s="1556"/>
      <c r="M93" s="1556"/>
      <c r="N93" s="1556"/>
      <c r="O93" s="1556"/>
      <c r="P93" s="1556"/>
      <c r="Q93" s="1556"/>
      <c r="R93" s="1556"/>
      <c r="S93" s="1556"/>
      <c r="T93" s="1556"/>
      <c r="U93" s="1556"/>
      <c r="V93" s="1556"/>
      <c r="W93" s="1556"/>
      <c r="X93" s="1556"/>
      <c r="Y93" s="1556"/>
      <c r="Z93" s="1556"/>
      <c r="AA93" s="1556"/>
      <c r="AB93" s="1556"/>
      <c r="AC93" s="1556"/>
      <c r="AD93" s="1556"/>
      <c r="AE93" s="1556"/>
      <c r="AF93" s="1556"/>
      <c r="AG93" s="1556"/>
      <c r="AH93" s="1556"/>
      <c r="AI93" s="1556"/>
      <c r="AJ93" s="1556"/>
      <c r="AK93" s="1556"/>
      <c r="AL93" s="1556"/>
      <c r="AM93" s="1556"/>
      <c r="AN93" s="1556"/>
      <c r="AO93" s="1556"/>
      <c r="AP93" s="1556"/>
      <c r="AQ93" s="1556"/>
      <c r="AR93" s="1556"/>
      <c r="AS93" s="1556"/>
      <c r="AT93" s="1556"/>
      <c r="AU93" s="20"/>
      <c r="AV93" s="20"/>
      <c r="AW93" s="20"/>
      <c r="AX93" s="20"/>
      <c r="AY93" s="20"/>
      <c r="AZ93" s="20"/>
      <c r="BD93" s="1181" t="s">
        <v>2514</v>
      </c>
      <c r="BE93" s="1183" t="str">
        <f>Application!W243</f>
        <v>CA</v>
      </c>
    </row>
    <row r="94" spans="1:57" ht="12.9" customHeight="1">
      <c r="A94" s="1556"/>
      <c r="B94" s="1556"/>
      <c r="C94" s="1556"/>
      <c r="D94" s="1556"/>
      <c r="E94" s="1556"/>
      <c r="F94" s="1556"/>
      <c r="G94" s="1556"/>
      <c r="H94" s="1556"/>
      <c r="I94" s="1556"/>
      <c r="J94" s="1556"/>
      <c r="K94" s="1556"/>
      <c r="L94" s="1556"/>
      <c r="M94" s="1556"/>
      <c r="N94" s="1556"/>
      <c r="O94" s="1556"/>
      <c r="P94" s="1556"/>
      <c r="Q94" s="1556"/>
      <c r="R94" s="1556"/>
      <c r="S94" s="1556"/>
      <c r="T94" s="1556"/>
      <c r="U94" s="1556"/>
      <c r="V94" s="1556"/>
      <c r="W94" s="1556"/>
      <c r="X94" s="1556"/>
      <c r="Y94" s="1556"/>
      <c r="Z94" s="1556"/>
      <c r="AA94" s="1556"/>
      <c r="AB94" s="1556"/>
      <c r="AC94" s="1556"/>
      <c r="AD94" s="1556"/>
      <c r="AE94" s="1556"/>
      <c r="AF94" s="1556"/>
      <c r="AG94" s="1556"/>
      <c r="AH94" s="1556"/>
      <c r="AI94" s="1556"/>
      <c r="AJ94" s="1556"/>
      <c r="AK94" s="1556"/>
      <c r="AL94" s="1556"/>
      <c r="AM94" s="1556"/>
      <c r="AN94" s="1556"/>
      <c r="AO94" s="1556"/>
      <c r="AP94" s="1556"/>
      <c r="AQ94" s="1556"/>
      <c r="AR94" s="1556"/>
      <c r="AS94" s="1556"/>
      <c r="AT94" s="1556"/>
      <c r="AU94" s="20"/>
      <c r="AV94" s="20"/>
      <c r="AW94" s="20"/>
      <c r="AX94" s="20"/>
      <c r="AY94" s="20"/>
      <c r="AZ94" s="20"/>
      <c r="BD94" s="1182" t="s">
        <v>2515</v>
      </c>
      <c r="BE94" s="1183">
        <f>Application!AC243</f>
        <v>94541</v>
      </c>
    </row>
    <row r="95" spans="1:57" ht="12.9" customHeight="1">
      <c r="A95" s="1556"/>
      <c r="B95" s="1556"/>
      <c r="C95" s="1556"/>
      <c r="D95" s="1556"/>
      <c r="E95" s="1556"/>
      <c r="F95" s="1556"/>
      <c r="G95" s="1556"/>
      <c r="H95" s="1556"/>
      <c r="I95" s="1556"/>
      <c r="J95" s="1556"/>
      <c r="K95" s="1556"/>
      <c r="L95" s="1556"/>
      <c r="M95" s="1556"/>
      <c r="N95" s="1556"/>
      <c r="O95" s="1556"/>
      <c r="P95" s="1556"/>
      <c r="Q95" s="1556"/>
      <c r="R95" s="1556"/>
      <c r="S95" s="1556"/>
      <c r="T95" s="1556"/>
      <c r="U95" s="1556"/>
      <c r="V95" s="1556"/>
      <c r="W95" s="1556"/>
      <c r="X95" s="1556"/>
      <c r="Y95" s="1556"/>
      <c r="Z95" s="1556"/>
      <c r="AA95" s="1556"/>
      <c r="AB95" s="1556"/>
      <c r="AC95" s="1556"/>
      <c r="AD95" s="1556"/>
      <c r="AE95" s="1556"/>
      <c r="AF95" s="1556"/>
      <c r="AG95" s="1556"/>
      <c r="AH95" s="1556"/>
      <c r="AI95" s="1556"/>
      <c r="AJ95" s="1556"/>
      <c r="AK95" s="1556"/>
      <c r="AL95" s="1556"/>
      <c r="AM95" s="1556"/>
      <c r="AN95" s="1556"/>
      <c r="AO95" s="1556"/>
      <c r="AP95" s="1556"/>
      <c r="AQ95" s="1556"/>
      <c r="AR95" s="1556"/>
      <c r="AS95" s="1556"/>
      <c r="AT95" s="1556"/>
      <c r="AU95" s="20"/>
      <c r="AV95" s="20"/>
      <c r="AW95" s="20"/>
      <c r="AX95" s="20"/>
      <c r="AY95" s="20"/>
      <c r="AZ95" s="20"/>
      <c r="BD95" s="1181" t="s">
        <v>2516</v>
      </c>
      <c r="BE95" s="1183" t="str">
        <f>Application!M244</f>
        <v>Andrea Osgood</v>
      </c>
    </row>
    <row r="96" spans="1:57" ht="12.9" customHeight="1">
      <c r="A96" s="1556"/>
      <c r="B96" s="1556"/>
      <c r="C96" s="1556"/>
      <c r="D96" s="1556"/>
      <c r="E96" s="1556"/>
      <c r="F96" s="1556"/>
      <c r="G96" s="1556"/>
      <c r="H96" s="1556"/>
      <c r="I96" s="1556"/>
      <c r="J96" s="1556"/>
      <c r="K96" s="1556"/>
      <c r="L96" s="1556"/>
      <c r="M96" s="1556"/>
      <c r="N96" s="1556"/>
      <c r="O96" s="1556"/>
      <c r="P96" s="1556"/>
      <c r="Q96" s="1556"/>
      <c r="R96" s="1556"/>
      <c r="S96" s="1556"/>
      <c r="T96" s="1556"/>
      <c r="U96" s="1556"/>
      <c r="V96" s="1556"/>
      <c r="W96" s="1556"/>
      <c r="X96" s="1556"/>
      <c r="Y96" s="1556"/>
      <c r="Z96" s="1556"/>
      <c r="AA96" s="1556"/>
      <c r="AB96" s="1556"/>
      <c r="AC96" s="1556"/>
      <c r="AD96" s="1556"/>
      <c r="AE96" s="1556"/>
      <c r="AF96" s="1556"/>
      <c r="AG96" s="1556"/>
      <c r="AH96" s="1556"/>
      <c r="AI96" s="1556"/>
      <c r="AJ96" s="1556"/>
      <c r="AK96" s="1556"/>
      <c r="AL96" s="1556"/>
      <c r="AM96" s="1556"/>
      <c r="AN96" s="1556"/>
      <c r="AO96" s="1556"/>
      <c r="AP96" s="1556"/>
      <c r="AQ96" s="1556"/>
      <c r="AR96" s="1556"/>
      <c r="AS96" s="1556"/>
      <c r="AT96" s="1556"/>
      <c r="AU96" s="20"/>
      <c r="AV96" s="20"/>
      <c r="AW96" s="20"/>
      <c r="AX96" s="20"/>
      <c r="AY96" s="20"/>
      <c r="AZ96" s="20"/>
      <c r="BD96" s="1182" t="s">
        <v>2517</v>
      </c>
      <c r="BE96" s="1183" t="str">
        <f>Application!M246</f>
        <v>aosgood@edenhousing.org</v>
      </c>
    </row>
    <row r="97" spans="1:57" ht="12.9" customHeight="1">
      <c r="A97" s="1556"/>
      <c r="B97" s="1556"/>
      <c r="C97" s="1556"/>
      <c r="D97" s="1556"/>
      <c r="E97" s="1556"/>
      <c r="F97" s="1556"/>
      <c r="G97" s="1556"/>
      <c r="H97" s="1556"/>
      <c r="I97" s="1556"/>
      <c r="J97" s="1556"/>
      <c r="K97" s="1556"/>
      <c r="L97" s="1556"/>
      <c r="M97" s="1556"/>
      <c r="N97" s="1556"/>
      <c r="O97" s="1556"/>
      <c r="P97" s="1556"/>
      <c r="Q97" s="1556"/>
      <c r="R97" s="1556"/>
      <c r="S97" s="1556"/>
      <c r="T97" s="1556"/>
      <c r="U97" s="1556"/>
      <c r="V97" s="1556"/>
      <c r="W97" s="1556"/>
      <c r="X97" s="1556"/>
      <c r="Y97" s="1556"/>
      <c r="Z97" s="1556"/>
      <c r="AA97" s="1556"/>
      <c r="AB97" s="1556"/>
      <c r="AC97" s="1556"/>
      <c r="AD97" s="1556"/>
      <c r="AE97" s="1556"/>
      <c r="AF97" s="1556"/>
      <c r="AG97" s="1556"/>
      <c r="AH97" s="1556"/>
      <c r="AI97" s="1556"/>
      <c r="AJ97" s="1556"/>
      <c r="AK97" s="1556"/>
      <c r="AL97" s="1556"/>
      <c r="AM97" s="1556"/>
      <c r="AN97" s="1556"/>
      <c r="AO97" s="1556"/>
      <c r="AP97" s="1556"/>
      <c r="AQ97" s="1556"/>
      <c r="AR97" s="1556"/>
      <c r="AS97" s="1556"/>
      <c r="AT97" s="1556"/>
      <c r="AU97" s="20"/>
      <c r="AV97" s="20"/>
      <c r="AW97" s="20"/>
      <c r="AX97" s="20"/>
      <c r="AY97" s="20"/>
      <c r="AZ97" s="20"/>
      <c r="BD97" s="1181" t="s">
        <v>2518</v>
      </c>
      <c r="BE97" s="1183" t="str">
        <f>Application!M257</f>
        <v>aosgood@edenhousing.org</v>
      </c>
    </row>
    <row r="98" spans="1:57" ht="12.9" customHeight="1">
      <c r="A98" s="1556"/>
      <c r="B98" s="1556"/>
      <c r="C98" s="1556"/>
      <c r="D98" s="1556"/>
      <c r="E98" s="1556"/>
      <c r="F98" s="1556"/>
      <c r="G98" s="1556"/>
      <c r="H98" s="1556"/>
      <c r="I98" s="1556"/>
      <c r="J98" s="1556"/>
      <c r="K98" s="1556"/>
      <c r="L98" s="1556"/>
      <c r="M98" s="1556"/>
      <c r="N98" s="1556"/>
      <c r="O98" s="1556"/>
      <c r="P98" s="1556"/>
      <c r="Q98" s="1556"/>
      <c r="R98" s="1556"/>
      <c r="S98" s="1556"/>
      <c r="T98" s="1556"/>
      <c r="U98" s="1556"/>
      <c r="V98" s="1556"/>
      <c r="W98" s="1556"/>
      <c r="X98" s="1556"/>
      <c r="Y98" s="1556"/>
      <c r="Z98" s="1556"/>
      <c r="AA98" s="1556"/>
      <c r="AB98" s="1556"/>
      <c r="AC98" s="1556"/>
      <c r="AD98" s="1556"/>
      <c r="AE98" s="1556"/>
      <c r="AF98" s="1556"/>
      <c r="AG98" s="1556"/>
      <c r="AH98" s="1556"/>
      <c r="AI98" s="1556"/>
      <c r="AJ98" s="1556"/>
      <c r="AK98" s="1556"/>
      <c r="AL98" s="1556"/>
      <c r="AM98" s="1556"/>
      <c r="AN98" s="1556"/>
      <c r="AO98" s="1556"/>
      <c r="AP98" s="1556"/>
      <c r="AQ98" s="1556"/>
      <c r="AR98" s="1556"/>
      <c r="AS98" s="1556"/>
      <c r="AT98" s="1556"/>
      <c r="AU98" s="20"/>
      <c r="AV98" s="20"/>
      <c r="AW98" s="20"/>
      <c r="AX98" s="20"/>
      <c r="AY98" s="20"/>
      <c r="AZ98" s="20"/>
      <c r="BD98" s="1182" t="s">
        <v>2519</v>
      </c>
      <c r="BE98" s="1183" t="str">
        <f>Application!M265</f>
        <v>aosgood@edenhousing.org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 customHeight="1">
      <c r="A100" s="1567" t="s">
        <v>2120</v>
      </c>
      <c r="B100" s="1567"/>
      <c r="C100" s="1567"/>
      <c r="D100" s="1567"/>
      <c r="E100" s="1567"/>
      <c r="F100" s="1567"/>
      <c r="G100" s="1567"/>
      <c r="H100" s="1567"/>
      <c r="I100" s="1567"/>
      <c r="J100" s="1567"/>
      <c r="K100" s="1567"/>
      <c r="L100" s="1567"/>
      <c r="M100" s="1567"/>
      <c r="N100" s="1567"/>
      <c r="O100" s="1567"/>
      <c r="P100" s="1567"/>
      <c r="Q100" s="1567"/>
      <c r="R100" s="1567"/>
      <c r="S100" s="1567"/>
      <c r="T100" s="1567"/>
      <c r="U100" s="1567"/>
      <c r="V100" s="1567"/>
      <c r="W100" s="1567"/>
      <c r="X100" s="1567"/>
      <c r="Y100" s="1567"/>
      <c r="Z100" s="1567"/>
      <c r="AA100" s="1567"/>
      <c r="AB100" s="1567"/>
      <c r="AC100" s="1567"/>
      <c r="AD100" s="1567"/>
      <c r="AE100" s="1567"/>
      <c r="AF100" s="1567"/>
      <c r="AG100" s="1567"/>
      <c r="AH100" s="1567"/>
      <c r="AI100" s="1567"/>
      <c r="AJ100" s="1567"/>
      <c r="AK100" s="1567"/>
      <c r="AL100" s="1567"/>
      <c r="AM100" s="1567"/>
      <c r="AN100" s="1567"/>
      <c r="AO100" s="1567"/>
      <c r="AP100" s="1567"/>
      <c r="AQ100" s="1567"/>
      <c r="AR100" s="1567"/>
      <c r="AS100" s="1567"/>
      <c r="AT100" s="1567"/>
      <c r="AU100" s="20"/>
      <c r="AV100" s="20"/>
      <c r="AW100" s="20"/>
      <c r="AX100" s="20"/>
      <c r="AY100" s="20"/>
      <c r="AZ100" s="20"/>
      <c r="BD100" s="1182" t="s">
        <v>2521</v>
      </c>
      <c r="BE100" s="1183" t="str">
        <f>Application!L288</f>
        <v>aosgood@edenhousing.org</v>
      </c>
    </row>
    <row r="101" spans="1:57" ht="12.9" customHeight="1">
      <c r="A101" s="1567"/>
      <c r="B101" s="1567"/>
      <c r="C101" s="1567"/>
      <c r="D101" s="1567"/>
      <c r="E101" s="1567"/>
      <c r="F101" s="1567"/>
      <c r="G101" s="1567"/>
      <c r="H101" s="1567"/>
      <c r="I101" s="1567"/>
      <c r="J101" s="1567"/>
      <c r="K101" s="1567"/>
      <c r="L101" s="1567"/>
      <c r="M101" s="1567"/>
      <c r="N101" s="1567"/>
      <c r="O101" s="1567"/>
      <c r="P101" s="1567"/>
      <c r="Q101" s="1567"/>
      <c r="R101" s="1567"/>
      <c r="S101" s="1567"/>
      <c r="T101" s="1567"/>
      <c r="U101" s="1567"/>
      <c r="V101" s="1567"/>
      <c r="W101" s="1567"/>
      <c r="X101" s="1567"/>
      <c r="Y101" s="1567"/>
      <c r="Z101" s="1567"/>
      <c r="AA101" s="1567"/>
      <c r="AB101" s="1567"/>
      <c r="AC101" s="1567"/>
      <c r="AD101" s="1567"/>
      <c r="AE101" s="1567"/>
      <c r="AF101" s="1567"/>
      <c r="AG101" s="1567"/>
      <c r="AH101" s="1567"/>
      <c r="AI101" s="1567"/>
      <c r="AJ101" s="1567"/>
      <c r="AK101" s="1567"/>
      <c r="AL101" s="1567"/>
      <c r="AM101" s="1567"/>
      <c r="AN101" s="1567"/>
      <c r="AO101" s="1567"/>
      <c r="AP101" s="1567"/>
      <c r="AQ101" s="1567"/>
      <c r="AR101" s="1567"/>
      <c r="AS101" s="1567"/>
      <c r="AT101" s="1567"/>
      <c r="AU101" s="20"/>
      <c r="AV101" s="20"/>
      <c r="AW101" s="20"/>
      <c r="AX101" s="20"/>
      <c r="AY101" s="20"/>
      <c r="AZ101" s="20"/>
      <c r="BD101" s="3" t="s">
        <v>2526</v>
      </c>
      <c r="BE101">
        <f>'Sources and Uses Budget'!C105</f>
        <v>190395884</v>
      </c>
    </row>
    <row r="102" spans="1:57" ht="12.9" customHeight="1">
      <c r="A102" s="1567"/>
      <c r="B102" s="1567"/>
      <c r="C102" s="1567"/>
      <c r="D102" s="1567"/>
      <c r="E102" s="1567"/>
      <c r="F102" s="1567"/>
      <c r="G102" s="1567"/>
      <c r="H102" s="1567"/>
      <c r="I102" s="1567"/>
      <c r="J102" s="1567"/>
      <c r="K102" s="1567"/>
      <c r="L102" s="1567"/>
      <c r="M102" s="1567"/>
      <c r="N102" s="1567"/>
      <c r="O102" s="1567"/>
      <c r="P102" s="1567"/>
      <c r="Q102" s="1567"/>
      <c r="R102" s="1567"/>
      <c r="S102" s="1567"/>
      <c r="T102" s="1567"/>
      <c r="U102" s="1567"/>
      <c r="V102" s="1567"/>
      <c r="W102" s="1567"/>
      <c r="X102" s="1567"/>
      <c r="Y102" s="1567"/>
      <c r="Z102" s="1567"/>
      <c r="AA102" s="1567"/>
      <c r="AB102" s="1567"/>
      <c r="AC102" s="1567"/>
      <c r="AD102" s="1567"/>
      <c r="AE102" s="1567"/>
      <c r="AF102" s="1567"/>
      <c r="AG102" s="1567"/>
      <c r="AH102" s="1567"/>
      <c r="AI102" s="1567"/>
      <c r="AJ102" s="1567"/>
      <c r="AK102" s="1567"/>
      <c r="AL102" s="1567"/>
      <c r="AM102" s="1567"/>
      <c r="AN102" s="1567"/>
      <c r="AO102" s="1567"/>
      <c r="AP102" s="1567"/>
      <c r="AQ102" s="1567"/>
      <c r="AR102" s="1567"/>
      <c r="AS102" s="1567"/>
      <c r="AT102" s="1567"/>
      <c r="AU102" s="20"/>
      <c r="AV102" s="20"/>
      <c r="AW102" s="20"/>
      <c r="AX102" s="20"/>
      <c r="AY102" s="20"/>
      <c r="AZ102" s="20"/>
      <c r="BD102" s="3" t="s">
        <v>2527</v>
      </c>
      <c r="BE102" t="b">
        <f>T197="Yes"</f>
        <v>0</v>
      </c>
    </row>
    <row r="103" spans="1:57" ht="12.9" customHeight="1">
      <c r="A103" s="1567"/>
      <c r="B103" s="1567"/>
      <c r="C103" s="1567"/>
      <c r="D103" s="1567"/>
      <c r="E103" s="1567"/>
      <c r="F103" s="1567"/>
      <c r="G103" s="1567"/>
      <c r="H103" s="1567"/>
      <c r="I103" s="1567"/>
      <c r="J103" s="1567"/>
      <c r="K103" s="1567"/>
      <c r="L103" s="1567"/>
      <c r="M103" s="1567"/>
      <c r="N103" s="1567"/>
      <c r="O103" s="1567"/>
      <c r="P103" s="1567"/>
      <c r="Q103" s="1567"/>
      <c r="R103" s="1567"/>
      <c r="S103" s="1567"/>
      <c r="T103" s="1567"/>
      <c r="U103" s="1567"/>
      <c r="V103" s="1567"/>
      <c r="W103" s="1567"/>
      <c r="X103" s="1567"/>
      <c r="Y103" s="1567"/>
      <c r="Z103" s="1567"/>
      <c r="AA103" s="1567"/>
      <c r="AB103" s="1567"/>
      <c r="AC103" s="1567"/>
      <c r="AD103" s="1567"/>
      <c r="AE103" s="1567"/>
      <c r="AF103" s="1567"/>
      <c r="AG103" s="1567"/>
      <c r="AH103" s="1567"/>
      <c r="AI103" s="1567"/>
      <c r="AJ103" s="1567"/>
      <c r="AK103" s="1567"/>
      <c r="AL103" s="1567"/>
      <c r="AM103" s="1567"/>
      <c r="AN103" s="1567"/>
      <c r="AO103" s="1567"/>
      <c r="AP103" s="1567"/>
      <c r="AQ103" s="1567"/>
      <c r="AR103" s="1567"/>
      <c r="AS103" s="1567"/>
      <c r="AT103" s="1567"/>
      <c r="AU103" s="20"/>
      <c r="AV103" s="20"/>
      <c r="AW103" s="20"/>
      <c r="AX103" s="20"/>
      <c r="AY103" s="20"/>
      <c r="BD103" t="s">
        <v>2130</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 customHeight="1">
      <c r="A105" s="1567" t="s">
        <v>2121</v>
      </c>
      <c r="B105" s="1567"/>
      <c r="C105" s="1567"/>
      <c r="D105" s="1567"/>
      <c r="E105" s="1567"/>
      <c r="F105" s="1567"/>
      <c r="G105" s="1567"/>
      <c r="H105" s="1567"/>
      <c r="I105" s="1567"/>
      <c r="J105" s="1567"/>
      <c r="K105" s="1567"/>
      <c r="L105" s="1567"/>
      <c r="M105" s="1567"/>
      <c r="N105" s="1567"/>
      <c r="O105" s="1567"/>
      <c r="P105" s="1567"/>
      <c r="Q105" s="1567"/>
      <c r="R105" s="1567"/>
      <c r="S105" s="1567"/>
      <c r="T105" s="1567"/>
      <c r="U105" s="1567"/>
      <c r="V105" s="1567"/>
      <c r="W105" s="1567"/>
      <c r="X105" s="1567"/>
      <c r="Y105" s="1567"/>
      <c r="Z105" s="1567"/>
      <c r="AA105" s="1567"/>
      <c r="AB105" s="1567"/>
      <c r="AC105" s="1567"/>
      <c r="AD105" s="1567"/>
      <c r="AE105" s="1567"/>
      <c r="AF105" s="1567"/>
      <c r="AG105" s="1567"/>
      <c r="AH105" s="1567"/>
      <c r="AI105" s="1567"/>
      <c r="AJ105" s="1567"/>
      <c r="AK105" s="1567"/>
      <c r="AL105" s="1567"/>
      <c r="AM105" s="1567"/>
      <c r="AN105" s="1567"/>
      <c r="AO105" s="1567"/>
      <c r="AP105" s="1567"/>
      <c r="AQ105" s="1567"/>
      <c r="AR105" s="1567"/>
      <c r="AS105" s="1567"/>
      <c r="AT105" s="1567"/>
      <c r="AU105" s="20"/>
      <c r="AV105" s="20"/>
      <c r="AW105" s="20"/>
      <c r="AX105" s="20"/>
      <c r="AY105" s="20"/>
      <c r="BD105" s="3" t="s">
        <v>2543</v>
      </c>
      <c r="BE105" s="1183" t="b">
        <f>V224="Yes"</f>
        <v>0</v>
      </c>
    </row>
    <row r="106" spans="1:57" ht="12.9" customHeight="1">
      <c r="A106" s="1567"/>
      <c r="B106" s="1567"/>
      <c r="C106" s="1567"/>
      <c r="D106" s="1567"/>
      <c r="E106" s="1567"/>
      <c r="F106" s="1567"/>
      <c r="G106" s="1567"/>
      <c r="H106" s="1567"/>
      <c r="I106" s="1567"/>
      <c r="J106" s="1567"/>
      <c r="K106" s="1567"/>
      <c r="L106" s="1567"/>
      <c r="M106" s="1567"/>
      <c r="N106" s="1567"/>
      <c r="O106" s="1567"/>
      <c r="P106" s="1567"/>
      <c r="Q106" s="1567"/>
      <c r="R106" s="1567"/>
      <c r="S106" s="1567"/>
      <c r="T106" s="1567"/>
      <c r="U106" s="1567"/>
      <c r="V106" s="1567"/>
      <c r="W106" s="1567"/>
      <c r="X106" s="1567"/>
      <c r="Y106" s="1567"/>
      <c r="Z106" s="1567"/>
      <c r="AA106" s="1567"/>
      <c r="AB106" s="1567"/>
      <c r="AC106" s="1567"/>
      <c r="AD106" s="1567"/>
      <c r="AE106" s="1567"/>
      <c r="AF106" s="1567"/>
      <c r="AG106" s="1567"/>
      <c r="AH106" s="1567"/>
      <c r="AI106" s="1567"/>
      <c r="AJ106" s="1567"/>
      <c r="AK106" s="1567"/>
      <c r="AL106" s="1567"/>
      <c r="AM106" s="1567"/>
      <c r="AN106" s="1567"/>
      <c r="AO106" s="1567"/>
      <c r="AP106" s="1567"/>
      <c r="AQ106" s="1567"/>
      <c r="AR106" s="1567"/>
      <c r="AS106" s="1567"/>
      <c r="AT106" s="1567"/>
      <c r="AU106" s="20"/>
      <c r="AV106" s="20"/>
      <c r="AW106" s="20"/>
      <c r="AX106" s="20"/>
      <c r="AY106" s="20"/>
      <c r="BD106" s="3" t="s">
        <v>2544</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560"/>
      <c r="H113" s="1560"/>
      <c r="I113" s="3" t="s">
        <v>181</v>
      </c>
      <c r="L113" s="1560"/>
      <c r="M113" s="1560"/>
      <c r="N113" s="1560"/>
      <c r="O113" s="1560"/>
      <c r="P113" s="1576" t="s">
        <v>2611</v>
      </c>
      <c r="Q113" s="1576"/>
      <c r="R113" s="1576"/>
      <c r="S113" s="157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61"/>
      <c r="D115" s="1561"/>
      <c r="E115" s="1561"/>
      <c r="F115" s="1561"/>
      <c r="G115" s="1561"/>
      <c r="H115" s="1561"/>
      <c r="I115" s="1561"/>
      <c r="J115" s="1561"/>
      <c r="K115" s="1561"/>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560"/>
      <c r="Z117" s="1560"/>
      <c r="AA117" s="1560"/>
      <c r="AB117" s="1560"/>
      <c r="AC117" s="1560"/>
      <c r="AD117" s="1560"/>
      <c r="AE117" s="1560"/>
      <c r="AF117" s="1560"/>
      <c r="AG117" s="1560"/>
      <c r="AH117" s="1560"/>
      <c r="AI117" s="1560"/>
      <c r="AJ117" s="1560"/>
      <c r="AK117" s="1560"/>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60"/>
      <c r="Z120" s="1560"/>
      <c r="AA120" s="1560"/>
      <c r="AB120" s="1560"/>
      <c r="AC120" s="1560"/>
      <c r="AD120" s="1560"/>
      <c r="AE120" s="1560"/>
      <c r="AF120" s="1560"/>
      <c r="AG120" s="1560"/>
      <c r="AH120" s="1560"/>
      <c r="AI120" s="1560"/>
      <c r="AJ120" s="1560"/>
      <c r="AK120" s="156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4" t="s">
        <v>468</v>
      </c>
      <c r="CV122" s="1685"/>
      <c r="CW122" s="14"/>
      <c r="CX122" s="14" t="s">
        <v>633</v>
      </c>
      <c r="CY122" s="14"/>
      <c r="CZ122" s="14"/>
      <c r="DA122" s="14"/>
      <c r="DB122" s="14"/>
      <c r="DC122" s="14"/>
      <c r="DD122" s="14"/>
      <c r="DE122" s="14"/>
      <c r="DF122" s="14"/>
      <c r="DG122" s="1681" t="str">
        <f>T189</f>
        <v>Santa Clara</v>
      </c>
      <c r="DH122" s="1682"/>
      <c r="DI122" s="1682"/>
      <c r="DJ122" s="1682"/>
      <c r="DK122" s="1682"/>
      <c r="DL122" s="1682"/>
      <c r="DM122" s="1683"/>
    </row>
    <row r="123" spans="1:117" ht="12.9" customHeight="1">
      <c r="A123" s="3"/>
      <c r="B123" s="3"/>
      <c r="T123" s="3"/>
      <c r="U123" s="3"/>
      <c r="V123" s="3"/>
      <c r="W123" s="3"/>
      <c r="X123" s="3"/>
      <c r="Y123" s="1560"/>
      <c r="Z123" s="1560"/>
      <c r="AA123" s="1560"/>
      <c r="AB123" s="1560"/>
      <c r="AC123" s="1560"/>
      <c r="AD123" s="1560"/>
      <c r="AE123" s="1560"/>
      <c r="AF123" s="1560"/>
      <c r="AG123" s="1560"/>
      <c r="AH123" s="1560"/>
      <c r="AI123" s="1560"/>
      <c r="AJ123" s="1560"/>
      <c r="AK123" s="156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420"/>
      <c r="G150" s="1420"/>
      <c r="H150" s="1420"/>
      <c r="I150" s="1420"/>
      <c r="J150" s="1420"/>
      <c r="K150" s="1420"/>
      <c r="L150" s="1420"/>
      <c r="M150" s="1420"/>
      <c r="N150" s="1420"/>
      <c r="O150" s="1420"/>
      <c r="P150" s="1420"/>
      <c r="Q150" s="1420"/>
      <c r="R150" s="1420"/>
      <c r="S150" s="1420"/>
      <c r="T150" s="142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 customHeight="1">
      <c r="BM152">
        <v>4</v>
      </c>
      <c r="BN152" s="3" t="s">
        <v>2396</v>
      </c>
    </row>
    <row r="153" spans="1:108" ht="12.9" customHeight="1">
      <c r="D153" t="s">
        <v>644</v>
      </c>
      <c r="O153" s="1422" t="s">
        <v>2645</v>
      </c>
      <c r="P153" s="1535"/>
      <c r="Q153" s="1535"/>
      <c r="R153" s="1535"/>
      <c r="S153" s="1535"/>
      <c r="T153" s="1535"/>
      <c r="U153" s="1535"/>
      <c r="V153" s="1535"/>
      <c r="W153" s="1535"/>
      <c r="X153" s="1535"/>
      <c r="Y153" s="1535"/>
      <c r="Z153" s="1535"/>
      <c r="AA153" s="1535"/>
      <c r="AB153" s="1535"/>
      <c r="AC153" s="1535"/>
      <c r="AD153" s="1535"/>
      <c r="AE153" s="1535"/>
      <c r="AF153" s="1535"/>
      <c r="AG153" s="1535"/>
      <c r="AH153" s="1535"/>
      <c r="BM153">
        <v>5</v>
      </c>
      <c r="BN153" s="3" t="s">
        <v>2398</v>
      </c>
      <c r="CR153" s="31" t="s">
        <v>2640</v>
      </c>
      <c r="CS153" s="32"/>
      <c r="CT153" s="32"/>
      <c r="CU153" s="32"/>
      <c r="CV153" s="32"/>
      <c r="CW153" s="32"/>
      <c r="CX153" s="14"/>
      <c r="CY153" s="31" t="s">
        <v>2641</v>
      </c>
      <c r="CZ153" s="14"/>
      <c r="DA153" s="14"/>
      <c r="DB153" s="14"/>
      <c r="DC153" s="14"/>
      <c r="DD153" s="14"/>
    </row>
    <row r="154" spans="1:108" ht="12.9" customHeight="1">
      <c r="D154" s="303" t="s">
        <v>438</v>
      </c>
      <c r="O154" s="1483" t="s">
        <v>2675</v>
      </c>
      <c r="P154" s="1484"/>
      <c r="Q154" s="1484"/>
      <c r="R154" s="1484"/>
      <c r="S154" s="1484"/>
      <c r="T154" s="1484"/>
      <c r="U154" s="1484"/>
      <c r="V154" s="1484"/>
      <c r="W154" s="1484"/>
      <c r="X154" s="1484"/>
      <c r="Y154" s="1484"/>
      <c r="Z154" s="1484"/>
      <c r="AA154" s="1484"/>
      <c r="AB154" s="1484"/>
      <c r="AC154" s="1484"/>
      <c r="AD154" s="1484"/>
      <c r="AE154" s="1484"/>
      <c r="AF154" s="1484"/>
      <c r="AG154" s="1484"/>
      <c r="AH154" s="1484"/>
      <c r="BM154">
        <v>6</v>
      </c>
      <c r="BN154" s="3" t="s">
        <v>2399</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545" t="s">
        <v>439</v>
      </c>
      <c r="P155" s="1545"/>
      <c r="Q155" s="1545"/>
      <c r="R155" s="1545"/>
      <c r="S155" s="1545"/>
      <c r="T155" s="1545"/>
      <c r="U155" s="1545"/>
      <c r="V155" s="1545"/>
      <c r="W155" s="1545"/>
      <c r="X155" s="1545"/>
      <c r="Y155" s="1545"/>
      <c r="Z155" s="1545"/>
      <c r="AA155" s="1545"/>
      <c r="AB155" s="1545"/>
      <c r="AC155" s="1545"/>
      <c r="AD155" s="1545"/>
      <c r="AE155" s="1545"/>
      <c r="AF155" s="1545"/>
      <c r="AG155" s="1545"/>
      <c r="AH155" s="1545"/>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422" t="s">
        <v>2676</v>
      </c>
      <c r="P156" s="1423"/>
      <c r="Q156" s="1423"/>
      <c r="R156" s="1423"/>
      <c r="S156" s="1423"/>
      <c r="T156" s="1423"/>
      <c r="U156" s="1423"/>
      <c r="V156" s="1423"/>
      <c r="W156" s="1423"/>
      <c r="X156" s="1423"/>
      <c r="Y156" s="1423"/>
      <c r="Z156" s="1423"/>
      <c r="AA156" s="1423"/>
      <c r="AB156" s="1423"/>
      <c r="AC156" s="1423"/>
      <c r="AD156" s="1423"/>
      <c r="AE156" s="1423"/>
      <c r="AF156" s="1423"/>
      <c r="AG156" s="1423"/>
      <c r="AH156" s="1423"/>
      <c r="BT156" t="s">
        <v>306</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22" t="s">
        <v>2646</v>
      </c>
      <c r="P157" s="1535"/>
      <c r="Q157" s="1535"/>
      <c r="R157" s="1535"/>
      <c r="S157" s="1535"/>
      <c r="T157" s="1535"/>
      <c r="U157" s="1535"/>
      <c r="V157" s="1535"/>
      <c r="W157" s="1535"/>
      <c r="X157" s="1535"/>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71">
        <v>95014</v>
      </c>
      <c r="P158" s="1571"/>
      <c r="Q158" s="1571"/>
      <c r="R158" s="1571"/>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79" t="s">
        <v>2678</v>
      </c>
      <c r="P159" s="1565"/>
      <c r="Q159" s="1565"/>
      <c r="R159" s="1565"/>
      <c r="S159" s="1565"/>
      <c r="T159" s="1565"/>
      <c r="V159" s="97" t="s">
        <v>270</v>
      </c>
      <c r="W159" s="1572"/>
      <c r="X159" s="1572"/>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 customHeight="1">
      <c r="D160" t="s">
        <v>316</v>
      </c>
      <c r="O160" s="1565"/>
      <c r="P160" s="1565"/>
      <c r="Q160" s="1565"/>
      <c r="R160" s="1565"/>
      <c r="S160" s="1565"/>
      <c r="T160" s="1565"/>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 customHeight="1">
      <c r="D161" t="s">
        <v>317</v>
      </c>
      <c r="O161" s="1552" t="s">
        <v>2677</v>
      </c>
      <c r="P161" s="1552"/>
      <c r="Q161" s="1552"/>
      <c r="R161" s="1552"/>
      <c r="S161" s="1552"/>
      <c r="T161" s="1552"/>
      <c r="U161" s="1552"/>
      <c r="V161" s="1552"/>
      <c r="W161" s="1552"/>
      <c r="X161" s="1552"/>
      <c r="Y161" s="1552"/>
      <c r="Z161" s="1552"/>
      <c r="AA161" s="1552"/>
      <c r="AB161" s="1552"/>
      <c r="AC161" s="1552"/>
      <c r="AD161" s="1552"/>
      <c r="AE161" s="1552"/>
      <c r="AF161" s="1552"/>
      <c r="AG161" s="1552"/>
      <c r="AH161" s="1552"/>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 customHeight="1">
      <c r="C164" s="27"/>
      <c r="D164" s="1562" t="s">
        <v>2171</v>
      </c>
      <c r="E164" s="1562"/>
      <c r="F164" s="1562"/>
      <c r="G164" s="1562"/>
      <c r="H164" s="1562"/>
      <c r="I164" s="1562"/>
      <c r="J164" s="1562"/>
      <c r="K164" s="1562"/>
      <c r="L164" s="1562"/>
      <c r="M164" s="1562"/>
      <c r="N164" s="1562"/>
      <c r="O164" s="1562"/>
      <c r="P164" s="1562"/>
      <c r="Q164" s="1562"/>
      <c r="R164" s="1562"/>
      <c r="S164" s="1562"/>
      <c r="T164" s="1562"/>
      <c r="U164" s="1562"/>
      <c r="V164" s="1562"/>
      <c r="W164" s="1562"/>
      <c r="X164" s="1562"/>
      <c r="Y164" s="1562"/>
      <c r="Z164" s="1562"/>
      <c r="AA164" s="1562"/>
      <c r="AB164" s="1562"/>
      <c r="AC164" s="1562"/>
      <c r="AD164" s="1562"/>
      <c r="AE164" s="1562"/>
      <c r="AF164" s="1562"/>
      <c r="AG164" s="1562"/>
      <c r="AH164" s="1562"/>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 customHeight="1">
      <c r="A169" s="1547" t="s">
        <v>538</v>
      </c>
      <c r="B169" s="1547"/>
      <c r="C169" s="1547"/>
      <c r="D169" s="1547"/>
      <c r="E169" s="1547"/>
      <c r="F169" s="1547"/>
      <c r="G169" s="1547"/>
      <c r="H169" s="1547"/>
      <c r="I169" s="1547"/>
      <c r="J169" s="1547"/>
      <c r="K169" s="1547"/>
      <c r="L169" s="1547"/>
      <c r="M169" s="1547"/>
      <c r="N169" s="1547"/>
      <c r="O169" s="1547"/>
      <c r="P169" s="1547"/>
      <c r="Q169" s="1547"/>
      <c r="R169" s="1547"/>
      <c r="S169" s="1547"/>
      <c r="T169" s="1547"/>
      <c r="U169" s="1547"/>
      <c r="V169" s="1547"/>
      <c r="W169" s="1547"/>
      <c r="X169" s="1547"/>
      <c r="Y169" s="1547"/>
      <c r="Z169" s="1547"/>
      <c r="AA169" s="1547"/>
      <c r="AB169" s="1547"/>
      <c r="AC169" s="1547"/>
      <c r="AD169" s="1547"/>
      <c r="AE169" s="1547"/>
      <c r="AF169" s="1547"/>
      <c r="AG169" s="1547"/>
      <c r="AH169" s="1547"/>
      <c r="AI169" s="1547"/>
      <c r="AJ169" s="1547"/>
      <c r="AK169" s="1547"/>
      <c r="AL169" s="1547"/>
      <c r="AM169" s="1547"/>
      <c r="AN169" s="1547"/>
      <c r="AO169" s="1547"/>
      <c r="AP169" s="1547"/>
      <c r="AQ169" s="1547"/>
      <c r="AR169" s="1547"/>
      <c r="AS169" s="1547"/>
      <c r="AT169" s="1547"/>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 customHeight="1">
      <c r="A170" s="1547"/>
      <c r="B170" s="1547"/>
      <c r="C170" s="1547"/>
      <c r="D170" s="1547"/>
      <c r="E170" s="1547"/>
      <c r="F170" s="1547"/>
      <c r="G170" s="1547"/>
      <c r="H170" s="1547"/>
      <c r="I170" s="1547"/>
      <c r="J170" s="1547"/>
      <c r="K170" s="1547"/>
      <c r="L170" s="1547"/>
      <c r="M170" s="1547"/>
      <c r="N170" s="1547"/>
      <c r="O170" s="1547"/>
      <c r="P170" s="1547"/>
      <c r="Q170" s="1547"/>
      <c r="R170" s="1547"/>
      <c r="S170" s="1547"/>
      <c r="T170" s="1547"/>
      <c r="U170" s="1547"/>
      <c r="V170" s="1547"/>
      <c r="W170" s="1547"/>
      <c r="X170" s="1547"/>
      <c r="Y170" s="1547"/>
      <c r="Z170" s="1547"/>
      <c r="AA170" s="1547"/>
      <c r="AB170" s="1547"/>
      <c r="AC170" s="1547"/>
      <c r="AD170" s="1547"/>
      <c r="AE170" s="1547"/>
      <c r="AF170" s="1547"/>
      <c r="AG170" s="1547"/>
      <c r="AH170" s="1547"/>
      <c r="AI170" s="1547"/>
      <c r="AJ170" s="1547"/>
      <c r="AK170" s="1547"/>
      <c r="AL170" s="1547"/>
      <c r="AM170" s="1547"/>
      <c r="AN170" s="1547"/>
      <c r="AO170" s="1547"/>
      <c r="AP170" s="1547"/>
      <c r="AQ170" s="1547"/>
      <c r="AR170" s="1547"/>
      <c r="AS170" s="1547"/>
      <c r="AT170" s="1547"/>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 customHeight="1">
      <c r="C173" s="24"/>
      <c r="D173" t="s">
        <v>320</v>
      </c>
      <c r="J173" s="1544" t="s">
        <v>370</v>
      </c>
      <c r="K173" s="1544"/>
      <c r="L173" s="1544"/>
      <c r="M173" s="1544"/>
      <c r="N173" s="1544"/>
      <c r="O173" s="1544"/>
      <c r="P173" s="1544"/>
      <c r="Q173" s="1544"/>
      <c r="R173" s="1544"/>
      <c r="S173" s="1544"/>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 customHeight="1">
      <c r="C174" s="24"/>
      <c r="D174" s="3" t="s">
        <v>1201</v>
      </c>
      <c r="J174" s="1423" t="s">
        <v>2057</v>
      </c>
      <c r="K174" s="1423"/>
      <c r="L174" s="1423"/>
      <c r="M174" s="1423"/>
      <c r="N174" s="1423"/>
      <c r="O174" s="1423"/>
      <c r="P174" s="1423"/>
      <c r="Q174" s="1423"/>
      <c r="R174" s="1423"/>
      <c r="S174" s="1423"/>
      <c r="T174" s="1423"/>
      <c r="U174" s="1423"/>
      <c r="V174" s="1423"/>
      <c r="W174" s="1423"/>
      <c r="X174" s="1423"/>
      <c r="Y174" s="1423"/>
      <c r="Z174" s="1423"/>
      <c r="AA174" s="1423"/>
      <c r="AB174" s="1423"/>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431" t="s">
        <v>668</v>
      </c>
      <c r="V175" s="1431"/>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2036</v>
      </c>
      <c r="T176" s="27" t="s">
        <v>304</v>
      </c>
      <c r="U176" s="1518"/>
      <c r="V176" s="1518"/>
      <c r="W176" s="1" t="s">
        <v>305</v>
      </c>
      <c r="X176" s="1581"/>
      <c r="Y176" s="1581"/>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431" t="s">
        <v>668</v>
      </c>
      <c r="S177" s="1431"/>
      <c r="BB177" t="s">
        <v>2168</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1202</v>
      </c>
      <c r="AA178" t="s">
        <v>2036</v>
      </c>
      <c r="AE178" s="27" t="s">
        <v>304</v>
      </c>
      <c r="AF178" s="1580"/>
      <c r="AG178" s="1580"/>
      <c r="AH178" s="1" t="s">
        <v>305</v>
      </c>
      <c r="AI178" s="1456"/>
      <c r="AJ178" s="1456"/>
      <c r="AK178" s="1456"/>
      <c r="BB178" t="s">
        <v>2169</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2636</v>
      </c>
      <c r="X180" s="1431" t="s">
        <v>668</v>
      </c>
      <c r="Y180" s="1431"/>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577</v>
      </c>
      <c r="I184" s="1496" t="str">
        <f>H18</f>
        <v>Block 5 Apartments</v>
      </c>
      <c r="J184" s="1496"/>
      <c r="K184" s="1496"/>
      <c r="L184" s="1496"/>
      <c r="M184" s="1496"/>
      <c r="N184" s="1496"/>
      <c r="O184" s="1496"/>
      <c r="P184" s="1496"/>
      <c r="Q184" s="1496"/>
      <c r="R184" s="1496"/>
      <c r="S184" s="1496"/>
      <c r="T184" s="1496"/>
      <c r="U184" s="1496"/>
      <c r="V184" s="1496"/>
      <c r="W184" s="1496"/>
      <c r="X184" s="1496"/>
      <c r="Y184" s="1496"/>
      <c r="Z184" s="1496"/>
      <c r="AA184" s="1496"/>
      <c r="AB184" s="1496"/>
      <c r="AC184" s="1496"/>
      <c r="AD184" s="1496"/>
      <c r="AE184" s="1496"/>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578</v>
      </c>
      <c r="I185" s="1483" t="s">
        <v>2647</v>
      </c>
      <c r="J185" s="1388"/>
      <c r="K185" s="1388"/>
      <c r="L185" s="1388"/>
      <c r="M185" s="1388"/>
      <c r="N185" s="1388"/>
      <c r="O185" s="1388"/>
      <c r="P185" s="1388"/>
      <c r="Q185" s="1388"/>
      <c r="R185" s="1388"/>
      <c r="S185" s="1388"/>
      <c r="T185" s="1388"/>
      <c r="U185" s="1388"/>
      <c r="V185" s="1388"/>
      <c r="W185" s="1388"/>
      <c r="X185" s="1388"/>
      <c r="Y185" s="1388"/>
      <c r="Z185" s="1388"/>
      <c r="AA185" s="1388"/>
      <c r="AB185" s="1388"/>
      <c r="AC185" s="1388"/>
      <c r="AD185" s="1388"/>
      <c r="AE185" s="1388"/>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539"/>
      <c r="F187" s="1539"/>
      <c r="G187" s="1539"/>
      <c r="H187" s="1539"/>
      <c r="I187" s="1539"/>
      <c r="J187" s="1539"/>
      <c r="K187" s="1539"/>
      <c r="L187" s="1539"/>
      <c r="M187" s="1539"/>
      <c r="N187" s="1539"/>
      <c r="O187" s="1539"/>
      <c r="P187" s="1539"/>
      <c r="Q187" s="1539"/>
      <c r="R187" s="1539"/>
      <c r="S187" s="1539"/>
      <c r="T187" s="1539"/>
      <c r="U187" s="1539"/>
      <c r="V187" s="1539"/>
      <c r="W187" s="1539"/>
      <c r="X187" s="1539"/>
      <c r="Y187" s="1539"/>
      <c r="Z187" s="1539"/>
      <c r="AA187" s="1539"/>
      <c r="AB187" s="1539"/>
      <c r="AC187" s="1539"/>
      <c r="AD187" s="1539"/>
      <c r="AE187" s="1539"/>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540"/>
      <c r="F188" s="1540"/>
      <c r="G188" s="1540"/>
      <c r="H188" s="1540"/>
      <c r="I188" s="1540"/>
      <c r="J188" s="1540"/>
      <c r="K188" s="1540"/>
      <c r="L188" s="1540"/>
      <c r="M188" s="1540"/>
      <c r="N188" s="1540"/>
      <c r="O188" s="1540"/>
      <c r="P188" s="1540"/>
      <c r="Q188" s="1540"/>
      <c r="R188" s="1540"/>
      <c r="S188" s="1540"/>
      <c r="T188" s="1540"/>
      <c r="U188" s="1540"/>
      <c r="V188" s="1540"/>
      <c r="W188" s="1540"/>
      <c r="X188" s="1540"/>
      <c r="Y188" s="1540"/>
      <c r="Z188" s="1540"/>
      <c r="AA188" s="1540"/>
      <c r="AB188" s="1540"/>
      <c r="AC188" s="1540"/>
      <c r="AD188" s="1540"/>
      <c r="AE188" s="1540"/>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579</v>
      </c>
      <c r="I189" s="1422" t="s">
        <v>2646</v>
      </c>
      <c r="J189" s="1423"/>
      <c r="K189" s="1423"/>
      <c r="L189" s="1423"/>
      <c r="M189" s="1423"/>
      <c r="N189" s="1423"/>
      <c r="O189" s="1423"/>
      <c r="P189" s="1423"/>
      <c r="Q189" t="s">
        <v>581</v>
      </c>
      <c r="T189" s="1423" t="s">
        <v>191</v>
      </c>
      <c r="U189" s="1423"/>
      <c r="V189" s="1423"/>
      <c r="W189" s="1423"/>
      <c r="X189" s="1423"/>
      <c r="Y189" s="1423"/>
      <c r="Z189" s="1423"/>
      <c r="AA189" s="1423"/>
      <c r="AB189" s="1423"/>
      <c r="AC189" s="1423"/>
      <c r="AD189" s="1423"/>
      <c r="AE189" s="1423"/>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582</v>
      </c>
      <c r="I190" s="1388">
        <v>95014</v>
      </c>
      <c r="J190" s="1388"/>
      <c r="K190" s="1388"/>
      <c r="L190" s="1388"/>
      <c r="M190" s="1388"/>
      <c r="N190" s="1388"/>
      <c r="O190" t="s">
        <v>584</v>
      </c>
      <c r="T190" s="1568" t="s">
        <v>2648</v>
      </c>
      <c r="U190" s="1569"/>
      <c r="V190" s="1569"/>
      <c r="W190" s="1569"/>
      <c r="X190" s="1569"/>
      <c r="Y190" s="1569"/>
      <c r="Z190" s="1569"/>
      <c r="AA190" s="1569"/>
      <c r="AB190" s="1569"/>
      <c r="AC190" s="1569"/>
      <c r="AD190" s="1569"/>
      <c r="AE190" s="1569"/>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461</v>
      </c>
      <c r="N191" s="1538" t="s">
        <v>2740</v>
      </c>
      <c r="O191" s="1539"/>
      <c r="P191" s="1539"/>
      <c r="Q191" s="1539"/>
      <c r="R191" s="1539"/>
      <c r="S191" s="1539"/>
      <c r="T191" s="1539"/>
      <c r="U191" s="1539"/>
      <c r="V191" s="1539"/>
      <c r="W191" s="1539"/>
      <c r="X191" s="1539"/>
      <c r="Y191" s="1539"/>
      <c r="Z191" s="1539"/>
      <c r="AA191" s="1539"/>
      <c r="AB191" s="1539"/>
      <c r="AC191" s="1539"/>
      <c r="AD191" s="1539"/>
      <c r="AE191" s="153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540"/>
      <c r="O192" s="1540"/>
      <c r="P192" s="1540"/>
      <c r="Q192" s="1540"/>
      <c r="R192" s="1540"/>
      <c r="S192" s="1540"/>
      <c r="T192" s="1540"/>
      <c r="U192" s="1540"/>
      <c r="V192" s="1540"/>
      <c r="W192" s="1540"/>
      <c r="X192" s="1540"/>
      <c r="Y192" s="1540"/>
      <c r="Z192" s="1540"/>
      <c r="AA192" s="1540"/>
      <c r="AB192" s="1540"/>
      <c r="AC192" s="1540"/>
      <c r="AD192" s="1540"/>
      <c r="AE192" s="1540"/>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2037</v>
      </c>
      <c r="M193" s="40"/>
      <c r="N193" s="890"/>
      <c r="O193" s="890"/>
      <c r="P193" s="890"/>
      <c r="Q193" s="890"/>
      <c r="R193" s="890"/>
      <c r="S193" s="890"/>
      <c r="T193" s="1573" t="s">
        <v>1942</v>
      </c>
      <c r="U193" s="1573"/>
      <c r="V193" s="1573"/>
      <c r="W193" s="1573"/>
      <c r="X193" s="1573"/>
      <c r="Y193" s="1573"/>
      <c r="Z193" s="1573"/>
      <c r="AA193" s="1573"/>
      <c r="AB193" s="1573"/>
      <c r="AC193" s="1573"/>
      <c r="AD193" s="1573"/>
      <c r="AE193" s="1573"/>
      <c r="AF193" s="1573"/>
      <c r="AG193" s="1573"/>
      <c r="AH193" s="1573"/>
      <c r="AI193" s="1573"/>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 customHeight="1">
      <c r="C194" s="21"/>
      <c r="D194" s="3" t="s">
        <v>2170</v>
      </c>
      <c r="M194" s="40"/>
      <c r="N194" s="890"/>
      <c r="O194" s="890"/>
      <c r="P194" s="890"/>
      <c r="Q194" s="890"/>
      <c r="R194" s="890"/>
      <c r="S194" s="890"/>
      <c r="AH194" s="1431" t="s">
        <v>668</v>
      </c>
      <c r="AI194" s="1431"/>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 customHeight="1">
      <c r="C195" s="21"/>
      <c r="D195" t="s">
        <v>330</v>
      </c>
      <c r="T195" s="1431" t="s">
        <v>544</v>
      </c>
      <c r="U195" s="1431"/>
      <c r="W195" t="s">
        <v>683</v>
      </c>
      <c r="AH195" s="1431">
        <v>17</v>
      </c>
      <c r="AI195" s="1431"/>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 customHeight="1">
      <c r="C196" s="21"/>
      <c r="D196" t="s">
        <v>385</v>
      </c>
      <c r="T196" s="1445" t="s">
        <v>668</v>
      </c>
      <c r="U196" s="1445"/>
      <c r="W196" t="s">
        <v>684</v>
      </c>
      <c r="AH196" s="1431">
        <v>26</v>
      </c>
      <c r="AI196" s="1431"/>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 customHeight="1">
      <c r="C197" s="21"/>
      <c r="D197" s="3" t="s">
        <v>168</v>
      </c>
      <c r="T197" s="1445" t="s">
        <v>668</v>
      </c>
      <c r="U197" s="1445"/>
      <c r="W197" t="s">
        <v>685</v>
      </c>
      <c r="AH197" s="1431">
        <v>13</v>
      </c>
      <c r="AI197" s="1431"/>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 customHeight="1">
      <c r="A198"/>
      <c r="B198"/>
      <c r="C198" s="21"/>
      <c r="D198" s="3" t="s">
        <v>1640</v>
      </c>
      <c r="E198"/>
      <c r="F198"/>
      <c r="G198"/>
      <c r="H198"/>
      <c r="I198"/>
      <c r="J198"/>
      <c r="K198"/>
      <c r="L198"/>
      <c r="M198"/>
      <c r="N198"/>
      <c r="O198"/>
      <c r="P198"/>
      <c r="Q198"/>
      <c r="R198"/>
      <c r="S198"/>
      <c r="T198" s="1445"/>
      <c r="U198" s="1445"/>
      <c r="V198"/>
      <c r="X198" s="1548" t="s">
        <v>2445</v>
      </c>
      <c r="Y198" s="1548"/>
      <c r="Z198" s="1548"/>
      <c r="AA198" s="1548"/>
      <c r="AB198" s="1548"/>
      <c r="AC198" s="1548"/>
      <c r="AD198" s="1548"/>
      <c r="AE198" s="1548"/>
      <c r="AF198" s="1548"/>
      <c r="AG198" s="1548"/>
      <c r="AH198" s="1548"/>
      <c r="AI198" s="1548"/>
      <c r="AJ198" s="1548"/>
      <c r="AK198" s="1548"/>
      <c r="AL198" s="1548"/>
      <c r="AM198" s="1548"/>
      <c r="AN198" s="1548"/>
      <c r="AO198" s="1548"/>
      <c r="AP198" s="1548"/>
      <c r="AQ198" s="1548"/>
      <c r="AR198" s="1548"/>
      <c r="AS198" s="1548"/>
      <c r="AT198" s="1548"/>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2448</v>
      </c>
      <c r="E199"/>
      <c r="F199"/>
      <c r="G199"/>
      <c r="H199"/>
      <c r="I199"/>
      <c r="J199"/>
      <c r="K199"/>
      <c r="L199"/>
      <c r="M199"/>
      <c r="N199"/>
      <c r="O199"/>
      <c r="P199"/>
      <c r="Q199"/>
      <c r="R199"/>
      <c r="S199"/>
      <c r="T199" s="1431" t="s">
        <v>668</v>
      </c>
      <c r="U199" s="1431"/>
      <c r="V199"/>
      <c r="W199"/>
      <c r="X199" s="1548"/>
      <c r="Y199" s="1548"/>
      <c r="Z199" s="1548"/>
      <c r="AA199" s="1548"/>
      <c r="AB199" s="1548"/>
      <c r="AC199" s="1548"/>
      <c r="AD199" s="1548"/>
      <c r="AE199" s="1548"/>
      <c r="AF199" s="1548"/>
      <c r="AG199" s="1548"/>
      <c r="AH199" s="1548"/>
      <c r="AI199" s="1548"/>
      <c r="AJ199" s="1548"/>
      <c r="AK199" s="1548"/>
      <c r="AL199" s="1548"/>
      <c r="AM199" s="1548"/>
      <c r="AN199" s="1548"/>
      <c r="AO199" s="1548"/>
      <c r="AP199" s="1548"/>
      <c r="AQ199" s="1548"/>
      <c r="AR199" s="1548"/>
      <c r="AS199" s="1548"/>
      <c r="AT199" s="1548"/>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2446</v>
      </c>
      <c r="T200" s="1431" t="s">
        <v>668</v>
      </c>
      <c r="U200" s="1431"/>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 customHeight="1">
      <c r="D204" s="1496" t="s">
        <v>384</v>
      </c>
      <c r="E204" s="1496"/>
      <c r="F204" s="1496"/>
      <c r="G204" s="1496"/>
      <c r="H204" s="1496"/>
      <c r="I204" s="1496"/>
      <c r="J204" s="1496"/>
      <c r="K204" s="1496"/>
      <c r="L204" s="1496"/>
      <c r="M204" s="1496"/>
      <c r="P204" s="1563">
        <f>M26</f>
        <v>9287656</v>
      </c>
      <c r="Q204" s="1564"/>
      <c r="R204" s="1564"/>
      <c r="S204" s="1564"/>
      <c r="T204" s="1564"/>
      <c r="U204" s="1564"/>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 customHeight="1">
      <c r="C205" s="21"/>
      <c r="D205" s="1550" t="s">
        <v>1246</v>
      </c>
      <c r="E205" s="1496"/>
      <c r="F205" s="1496"/>
      <c r="G205" s="1496"/>
      <c r="H205" s="1496"/>
      <c r="I205" s="1496"/>
      <c r="J205" s="1496"/>
      <c r="K205" s="1496"/>
      <c r="L205" s="1496"/>
      <c r="M205" s="1496"/>
      <c r="P205" s="1564">
        <f>M27</f>
        <v>0</v>
      </c>
      <c r="Q205" s="1564"/>
      <c r="R205" s="1564"/>
      <c r="S205" s="1564"/>
      <c r="T205" s="1564"/>
      <c r="U205" s="1564"/>
      <c r="V205" s="28"/>
      <c r="W205" s="3" t="s">
        <v>1708</v>
      </c>
      <c r="Z205" s="1546" t="s">
        <v>1183</v>
      </c>
      <c r="AA205" s="1546"/>
      <c r="AB205" s="1546"/>
      <c r="AC205" s="1546"/>
      <c r="AD205" s="1546"/>
      <c r="AE205" s="1546"/>
      <c r="AF205" s="1546"/>
      <c r="AG205" s="1546"/>
      <c r="AH205" s="1546"/>
      <c r="AI205" s="1546"/>
      <c r="AJ205" s="1546"/>
      <c r="AK205" s="1546"/>
      <c r="AL205" s="1546"/>
      <c r="AM205" s="1546"/>
      <c r="AN205" s="1546"/>
      <c r="AP205" s="1420"/>
      <c r="AQ205" s="1420"/>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 customHeight="1">
      <c r="C208" s="21"/>
      <c r="D208" s="1535" t="s">
        <v>2649</v>
      </c>
      <c r="E208" s="1535"/>
      <c r="F208" s="1535"/>
      <c r="G208" s="1535"/>
      <c r="H208" s="1535"/>
      <c r="I208" s="1535"/>
      <c r="J208" s="1535"/>
      <c r="K208" s="1535"/>
      <c r="L208" s="1535"/>
      <c r="M208" s="1535"/>
      <c r="BC208" s="3" t="s">
        <v>2161</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535" t="s">
        <v>1040</v>
      </c>
      <c r="E211" s="1535"/>
      <c r="F211" s="1535"/>
      <c r="G211" s="1535"/>
      <c r="H211" s="1535"/>
      <c r="I211" s="1535"/>
      <c r="J211" s="1535"/>
      <c r="K211" s="1535"/>
      <c r="L211" s="1535"/>
      <c r="M211" s="1535"/>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2185</v>
      </c>
      <c r="Q212" s="1431"/>
      <c r="R212" s="1431"/>
      <c r="T212" s="1577">
        <f>IFERROR(Q212/AG449,0)</f>
        <v>0</v>
      </c>
      <c r="U212" s="1578"/>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2405</v>
      </c>
      <c r="BC213" t="s">
        <v>525</v>
      </c>
      <c r="BI213" s="3" t="s">
        <v>2182</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558" t="s">
        <v>590</v>
      </c>
      <c r="E214" s="1558"/>
      <c r="F214" s="1558"/>
      <c r="G214" s="1558"/>
      <c r="H214" s="1558"/>
      <c r="I214" s="1558"/>
      <c r="J214" s="1558"/>
      <c r="K214" s="1558"/>
      <c r="L214" s="1558"/>
      <c r="M214" s="1558"/>
      <c r="N214" s="1558"/>
      <c r="O214" s="1558"/>
      <c r="P214" s="1558"/>
      <c r="Q214" s="1558"/>
      <c r="R214" s="1558"/>
      <c r="S214" s="1558"/>
      <c r="T214" s="1558"/>
      <c r="U214" s="1558"/>
      <c r="V214" s="1558"/>
      <c r="W214" s="1558"/>
      <c r="X214" s="1558"/>
      <c r="Y214" s="1558"/>
      <c r="Z214" s="1558"/>
      <c r="AU214" s="21"/>
      <c r="AV214" s="21"/>
      <c r="AW214" s="21"/>
      <c r="AX214" s="21"/>
      <c r="AY214" s="21"/>
      <c r="BC214" t="s">
        <v>529</v>
      </c>
      <c r="BI214" s="3" t="s">
        <v>2175</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1641</v>
      </c>
      <c r="Z215" s="40"/>
      <c r="AB215" s="1533"/>
      <c r="AC215" s="1533"/>
      <c r="AD215" s="1533"/>
      <c r="AE215" s="1533"/>
      <c r="AF215" s="1533"/>
      <c r="AG215" s="1533"/>
      <c r="AH215" s="1533"/>
      <c r="AI215" s="1533"/>
      <c r="AJ215" s="1533"/>
      <c r="AK215" s="1533"/>
      <c r="AL215" s="1533"/>
      <c r="AM215" s="21"/>
      <c r="AN215" s="21"/>
      <c r="AO215" s="21"/>
      <c r="AP215" s="21"/>
      <c r="AQ215" s="21"/>
      <c r="AR215" s="21"/>
      <c r="AS215" s="21"/>
      <c r="AT215" s="21"/>
      <c r="AU215" s="21"/>
      <c r="AV215" s="21"/>
      <c r="AW215" s="21"/>
      <c r="AX215" s="21"/>
      <c r="AY215" s="21"/>
      <c r="BC215" t="s">
        <v>526</v>
      </c>
      <c r="BI215" s="3" t="s">
        <v>2176</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1639</v>
      </c>
      <c r="Z216" s="40"/>
      <c r="AB216" s="1533"/>
      <c r="AC216" s="1533"/>
      <c r="AD216" s="1533"/>
      <c r="AE216" s="1533"/>
      <c r="AF216" s="1533"/>
      <c r="AG216" s="1533"/>
      <c r="AH216" s="1533"/>
      <c r="AI216" s="1533"/>
      <c r="AJ216" s="1533"/>
      <c r="AK216" s="1533"/>
      <c r="AL216" s="1533"/>
      <c r="AM216" s="21"/>
      <c r="AN216" s="21"/>
      <c r="AO216" s="21"/>
      <c r="AP216" s="21"/>
      <c r="AQ216" s="21"/>
      <c r="AR216" s="21"/>
      <c r="AS216" s="21"/>
      <c r="AT216" s="21"/>
      <c r="AU216" s="21"/>
      <c r="AV216" s="21"/>
      <c r="AW216" s="21"/>
      <c r="AX216" s="21"/>
      <c r="AY216" s="21"/>
      <c r="BC216" t="s">
        <v>565</v>
      </c>
      <c r="BI216" t="s">
        <v>2174</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591</v>
      </c>
      <c r="C218" s="2" t="s">
        <v>2188</v>
      </c>
      <c r="D218" s="28"/>
      <c r="AC218" s="2" t="s">
        <v>2394</v>
      </c>
      <c r="BC218" t="s">
        <v>528</v>
      </c>
    </row>
    <row r="219" spans="1:108" ht="12.9" customHeight="1">
      <c r="A219" s="2"/>
      <c r="C219" s="2"/>
      <c r="D219" s="3" t="s">
        <v>2395</v>
      </c>
      <c r="AZ219" s="3"/>
      <c r="BA219" s="3"/>
      <c r="BC219" t="s">
        <v>376</v>
      </c>
    </row>
    <row r="220" spans="1:108" ht="12.9" customHeight="1">
      <c r="A220" s="2"/>
      <c r="C220" s="2"/>
      <c r="D220" s="1535" t="s">
        <v>1025</v>
      </c>
      <c r="E220" s="1535"/>
      <c r="F220" s="1535"/>
      <c r="G220" s="1535"/>
      <c r="H220" s="1535"/>
      <c r="I220" s="1535"/>
      <c r="J220" s="1535"/>
      <c r="K220" s="1535"/>
      <c r="L220" s="1535"/>
      <c r="M220" s="1535"/>
      <c r="N220" s="1535"/>
      <c r="O220" s="1535"/>
      <c r="P220" s="1535"/>
      <c r="Q220" s="1535"/>
      <c r="R220" s="1535"/>
      <c r="S220" s="1535"/>
      <c r="T220" s="1535"/>
      <c r="U220" s="1535"/>
      <c r="V220" s="1535"/>
      <c r="W220" s="1535"/>
      <c r="X220" s="1535"/>
      <c r="Y220" s="1535"/>
      <c r="Z220" s="1535"/>
      <c r="AC220" s="1549" t="s">
        <v>2397</v>
      </c>
      <c r="AD220" s="1549"/>
      <c r="AE220" s="1549"/>
      <c r="AF220" s="1549"/>
      <c r="AG220" s="1549"/>
      <c r="AH220" s="1549"/>
      <c r="AI220" s="1549"/>
      <c r="AJ220" s="1549"/>
      <c r="AK220" s="1549"/>
      <c r="AL220" s="1549"/>
      <c r="AM220" s="1549"/>
      <c r="AN220" s="1549"/>
      <c r="AO220" s="1549"/>
      <c r="AP220" s="1549"/>
      <c r="AQ220" s="1549"/>
      <c r="BA220" s="3"/>
      <c r="BC220" t="s">
        <v>299</v>
      </c>
    </row>
    <row r="221" spans="1:108" ht="12.9" customHeight="1">
      <c r="A221" s="2"/>
      <c r="B221" s="14"/>
      <c r="C221" s="2"/>
      <c r="BA221" s="3"/>
    </row>
    <row r="222" spans="1:108" ht="12.9" customHeight="1">
      <c r="A222" s="2" t="s">
        <v>2540</v>
      </c>
      <c r="B222" s="14"/>
      <c r="C222" s="2" t="s">
        <v>2541</v>
      </c>
      <c r="BA222" s="3"/>
    </row>
    <row r="223" spans="1:108" ht="12.9" customHeight="1">
      <c r="A223" s="2"/>
      <c r="B223" s="14"/>
      <c r="C223" s="2"/>
      <c r="D223" s="3" t="s">
        <v>2542</v>
      </c>
      <c r="BA223" s="3"/>
    </row>
    <row r="224" spans="1:108" ht="12.9" customHeight="1">
      <c r="A224" s="2"/>
      <c r="B224" s="14"/>
      <c r="C224" s="2"/>
      <c r="E224" s="3" t="s">
        <v>2543</v>
      </c>
      <c r="V224" s="1431" t="s">
        <v>668</v>
      </c>
      <c r="W224" s="1431"/>
      <c r="Y224" s="1193"/>
      <c r="BA224" s="3"/>
    </row>
    <row r="225" spans="1:69" ht="12.9" customHeight="1">
      <c r="A225" s="2"/>
      <c r="B225" s="14"/>
      <c r="C225" s="2"/>
      <c r="E225" s="3" t="s">
        <v>2544</v>
      </c>
      <c r="V225" s="1431" t="s">
        <v>668</v>
      </c>
      <c r="W225" s="143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2545</v>
      </c>
      <c r="V226" s="1445" t="s">
        <v>668</v>
      </c>
      <c r="W226" s="144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2546</v>
      </c>
      <c r="V227" s="1445" t="s">
        <v>668</v>
      </c>
      <c r="W227" s="144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2547</v>
      </c>
      <c r="V228" s="1445" t="s">
        <v>668</v>
      </c>
      <c r="W228" s="144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2548</v>
      </c>
      <c r="V229" s="1445" t="s">
        <v>668</v>
      </c>
      <c r="W229" s="144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547" t="s">
        <v>539</v>
      </c>
      <c r="B231" s="1547"/>
      <c r="C231" s="1547"/>
      <c r="D231" s="1547"/>
      <c r="E231" s="1547"/>
      <c r="F231" s="1547"/>
      <c r="G231" s="1547"/>
      <c r="H231" s="1547"/>
      <c r="I231" s="1547"/>
      <c r="J231" s="1547"/>
      <c r="K231" s="1547"/>
      <c r="L231" s="1547"/>
      <c r="M231" s="1547"/>
      <c r="N231" s="1547"/>
      <c r="O231" s="1547"/>
      <c r="P231" s="1547"/>
      <c r="Q231" s="1547"/>
      <c r="R231" s="1547"/>
      <c r="S231" s="1547"/>
      <c r="T231" s="1547"/>
      <c r="U231" s="1547"/>
      <c r="V231" s="1547"/>
      <c r="W231" s="1547"/>
      <c r="X231" s="1547"/>
      <c r="Y231" s="1547"/>
      <c r="Z231" s="1547"/>
      <c r="AA231" s="1547"/>
      <c r="AB231" s="1547"/>
      <c r="AC231" s="1547"/>
      <c r="AD231" s="1547"/>
      <c r="AE231" s="1547"/>
      <c r="AF231" s="1547"/>
      <c r="AG231" s="1547"/>
      <c r="AH231" s="1547"/>
      <c r="AI231" s="1547"/>
      <c r="AJ231" s="1547"/>
      <c r="AK231" s="1547"/>
      <c r="AL231" s="1547"/>
      <c r="AM231" s="1547"/>
      <c r="AN231" s="1547"/>
      <c r="AO231" s="1547"/>
      <c r="AP231" s="1547"/>
      <c r="AQ231" s="1547"/>
      <c r="AR231" s="1547"/>
      <c r="AS231" s="1547"/>
      <c r="AT231" s="1547"/>
      <c r="AU231" s="95"/>
      <c r="AV231" s="95"/>
      <c r="AW231" s="95"/>
      <c r="AX231" s="95"/>
      <c r="AY231" s="95"/>
      <c r="AZ231" s="3"/>
      <c r="BA231" s="3"/>
      <c r="BP231" s="34"/>
    </row>
    <row r="232" spans="1:69" ht="12.9" customHeight="1">
      <c r="A232" s="1547"/>
      <c r="B232" s="1547"/>
      <c r="C232" s="1547"/>
      <c r="D232" s="1547"/>
      <c r="E232" s="1547"/>
      <c r="F232" s="1547"/>
      <c r="G232" s="1547"/>
      <c r="H232" s="1547"/>
      <c r="I232" s="1547"/>
      <c r="J232" s="1547"/>
      <c r="K232" s="1547"/>
      <c r="L232" s="1547"/>
      <c r="M232" s="1547"/>
      <c r="N232" s="1547"/>
      <c r="O232" s="1547"/>
      <c r="P232" s="1547"/>
      <c r="Q232" s="1547"/>
      <c r="R232" s="1547"/>
      <c r="S232" s="1547"/>
      <c r="T232" s="1547"/>
      <c r="U232" s="1547"/>
      <c r="V232" s="1547"/>
      <c r="W232" s="1547"/>
      <c r="X232" s="1547"/>
      <c r="Y232" s="1547"/>
      <c r="Z232" s="1547"/>
      <c r="AA232" s="1547"/>
      <c r="AB232" s="1547"/>
      <c r="AC232" s="1547"/>
      <c r="AD232" s="1547"/>
      <c r="AE232" s="1547"/>
      <c r="AF232" s="1547"/>
      <c r="AG232" s="1547"/>
      <c r="AH232" s="1547"/>
      <c r="AI232" s="1547"/>
      <c r="AJ232" s="1547"/>
      <c r="AK232" s="1547"/>
      <c r="AL232" s="1547"/>
      <c r="AM232" s="1547"/>
      <c r="AN232" s="1547"/>
      <c r="AO232" s="1547"/>
      <c r="AP232" s="1547"/>
      <c r="AQ232" s="1547"/>
      <c r="AR232" s="1547"/>
      <c r="AS232" s="1547"/>
      <c r="AT232" s="1547"/>
      <c r="BA232" s="3"/>
      <c r="BB232" s="3"/>
      <c r="BQ232" s="34"/>
    </row>
    <row r="233" spans="1:69" ht="12.9" customHeight="1">
      <c r="AZ233" s="4"/>
      <c r="BA233" s="3"/>
      <c r="BB233" s="3"/>
      <c r="BQ233" s="34"/>
    </row>
    <row r="234" spans="1:69" ht="12.9" customHeight="1">
      <c r="A234" s="2" t="s">
        <v>318</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31" t="s">
        <v>590</v>
      </c>
      <c r="AJ235" s="1431"/>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31" t="s">
        <v>590</v>
      </c>
      <c r="AJ236" s="1431"/>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31" t="s">
        <v>544</v>
      </c>
      <c r="AJ237" s="1431"/>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31" t="s">
        <v>590</v>
      </c>
      <c r="AJ238" s="1431"/>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1570" t="str">
        <f>H16</f>
        <v>Eden Housing, Inc.</v>
      </c>
      <c r="N241" s="1570"/>
      <c r="O241" s="1570"/>
      <c r="P241" s="1570"/>
      <c r="Q241" s="1570"/>
      <c r="R241" s="1570"/>
      <c r="S241" s="1570"/>
      <c r="T241" s="1570"/>
      <c r="U241" s="1570"/>
      <c r="V241" s="1570"/>
      <c r="W241" s="1570"/>
      <c r="X241" s="1570"/>
      <c r="Y241" s="1570"/>
      <c r="Z241" s="1570"/>
      <c r="AA241" s="1570"/>
      <c r="AB241" s="1570"/>
      <c r="AC241" s="1570"/>
      <c r="AD241" s="1570"/>
      <c r="AE241" s="1570"/>
      <c r="AF241" s="1570"/>
      <c r="AG241" s="1570"/>
      <c r="AH241" s="1570"/>
      <c r="AI241" s="1570"/>
      <c r="AJ241" s="1570"/>
      <c r="AK241" s="1570"/>
      <c r="AZ241" s="4"/>
      <c r="BA241" s="3"/>
      <c r="BB241" s="205" t="s">
        <v>537</v>
      </c>
      <c r="BG241" s="241">
        <f>IF(AND(AND($M$258="nonprofit",$M$266="nonprofit",$M$274="for profit")),2,0)</f>
        <v>0</v>
      </c>
    </row>
    <row r="242" spans="1:67" ht="12.9" customHeight="1">
      <c r="D242" s="4" t="s">
        <v>85</v>
      </c>
      <c r="E242" s="4"/>
      <c r="F242" s="4"/>
      <c r="G242" s="4"/>
      <c r="H242" s="4"/>
      <c r="I242" s="4"/>
      <c r="J242" s="4"/>
      <c r="K242" s="4"/>
      <c r="M242" s="1422" t="s">
        <v>2679</v>
      </c>
      <c r="N242" s="1535"/>
      <c r="O242" s="1535"/>
      <c r="P242" s="1535"/>
      <c r="Q242" s="1535"/>
      <c r="R242" s="1535"/>
      <c r="S242" s="1535"/>
      <c r="T242" s="1535"/>
      <c r="U242" s="1535"/>
      <c r="V242" s="1535"/>
      <c r="W242" s="1535"/>
      <c r="X242" s="1535"/>
      <c r="Y242" s="1535"/>
      <c r="Z242" s="1535"/>
      <c r="AA242" s="1535"/>
      <c r="AB242" s="1535"/>
      <c r="AC242" s="1535"/>
      <c r="AD242" s="1535"/>
      <c r="AE242" s="1535"/>
      <c r="BB242" s="205" t="s">
        <v>537</v>
      </c>
      <c r="BG242" s="241">
        <f>IF(AND(AND($M$258="nonprofit",$M$266="for profit",$M$274="nonprofit")),2,0)</f>
        <v>0</v>
      </c>
    </row>
    <row r="243" spans="1:67" ht="12.9" customHeight="1">
      <c r="D243" s="4" t="s">
        <v>579</v>
      </c>
      <c r="E243" s="4"/>
      <c r="M243" s="1422" t="s">
        <v>2680</v>
      </c>
      <c r="N243" s="1535"/>
      <c r="O243" s="1535"/>
      <c r="P243" s="1535"/>
      <c r="Q243" s="1535"/>
      <c r="R243" s="1535"/>
      <c r="S243" s="1535"/>
      <c r="T243" s="1535"/>
      <c r="V243" s="33" t="s">
        <v>86</v>
      </c>
      <c r="W243" s="1483" t="s">
        <v>2681</v>
      </c>
      <c r="X243" s="1484"/>
      <c r="Y243" s="4" t="s">
        <v>582</v>
      </c>
      <c r="AC243" s="1535">
        <v>94541</v>
      </c>
      <c r="AD243" s="1535"/>
      <c r="AE243" s="1535"/>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422" t="s">
        <v>2682</v>
      </c>
      <c r="N244" s="1535"/>
      <c r="O244" s="1535"/>
      <c r="P244" s="1535"/>
      <c r="Q244" s="1535"/>
      <c r="R244" s="1535"/>
      <c r="S244" s="1535"/>
      <c r="T244" s="1535"/>
      <c r="U244" s="1535"/>
      <c r="V244" s="1535"/>
      <c r="W244" s="1535"/>
      <c r="X244" s="1535"/>
      <c r="Y244" s="1535"/>
      <c r="Z244" s="1535"/>
      <c r="AA244" s="1535"/>
      <c r="AB244" s="1535"/>
      <c r="AC244" s="1535"/>
      <c r="AD244" s="1535"/>
      <c r="AE244" s="1535"/>
      <c r="AI244" s="4"/>
      <c r="AJ244" s="4"/>
      <c r="AK244" s="4"/>
      <c r="AL244" s="4"/>
      <c r="AM244" s="4"/>
      <c r="AN244" s="4"/>
      <c r="AO244" s="4"/>
      <c r="AP244" s="4"/>
      <c r="AQ244" s="4"/>
      <c r="AR244" s="4"/>
      <c r="AS244" s="4"/>
      <c r="AT244" s="4"/>
      <c r="BB244" s="205"/>
      <c r="BG244" s="204"/>
    </row>
    <row r="245" spans="1:67" ht="12.9" customHeight="1">
      <c r="D245" s="4" t="s">
        <v>88</v>
      </c>
      <c r="E245" s="4"/>
      <c r="F245" s="4"/>
      <c r="M245" s="1559" t="s">
        <v>2683</v>
      </c>
      <c r="N245" s="1495"/>
      <c r="O245" s="1495"/>
      <c r="P245" s="1495"/>
      <c r="Q245" s="1495"/>
      <c r="R245" s="1495"/>
      <c r="S245" s="4" t="s">
        <v>205</v>
      </c>
      <c r="T245" s="4"/>
      <c r="U245" s="1484"/>
      <c r="V245" s="1484"/>
      <c r="W245" s="1484"/>
      <c r="X245" s="4" t="s">
        <v>89</v>
      </c>
      <c r="Z245" s="1559" t="s">
        <v>2685</v>
      </c>
      <c r="AA245" s="1495"/>
      <c r="AB245" s="1495"/>
      <c r="AC245" s="1495"/>
      <c r="AD245" s="1495"/>
      <c r="AE245" s="1495"/>
      <c r="AU245" s="4"/>
      <c r="AV245" s="4"/>
      <c r="AW245" s="4"/>
      <c r="AX245" s="4"/>
      <c r="AY245" s="4"/>
      <c r="AZ245" s="4"/>
      <c r="BB245" s="204" t="s">
        <v>536</v>
      </c>
      <c r="BG245" s="241">
        <f>IF(AND(AND($M$258="nonprofit",$M$266="nonprofit",$M$274="(select one)")),1,0)</f>
        <v>1</v>
      </c>
    </row>
    <row r="246" spans="1:67" ht="12.9" customHeight="1">
      <c r="D246" s="4" t="s">
        <v>90</v>
      </c>
      <c r="E246" s="4"/>
      <c r="F246" s="4"/>
      <c r="M246" s="1552" t="s">
        <v>2684</v>
      </c>
      <c r="N246" s="1552"/>
      <c r="O246" s="1552"/>
      <c r="P246" s="1552"/>
      <c r="Q246" s="1552"/>
      <c r="R246" s="1552"/>
      <c r="S246" s="1552"/>
      <c r="T246" s="1552"/>
      <c r="U246" s="1552"/>
      <c r="V246" s="1552"/>
      <c r="W246" s="1552"/>
      <c r="X246" s="1552"/>
      <c r="Y246" s="1552"/>
      <c r="Z246" s="1552"/>
      <c r="AA246" s="1552"/>
      <c r="AB246" s="1552"/>
      <c r="AC246" s="1552"/>
      <c r="AD246" s="1552"/>
      <c r="AE246" s="1552"/>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388" t="s">
        <v>376</v>
      </c>
      <c r="N247" s="1388"/>
      <c r="O247" s="1388"/>
      <c r="P247" s="1388"/>
      <c r="Q247" s="1388"/>
      <c r="R247" s="1388"/>
      <c r="S247" s="1388"/>
      <c r="T247" s="1388"/>
      <c r="U247" s="204" t="s">
        <v>905</v>
      </c>
      <c r="V247" s="204"/>
      <c r="W247" s="204"/>
      <c r="X247" s="204"/>
      <c r="Y247" s="204"/>
      <c r="Z247" s="204"/>
      <c r="AA247" s="1574" t="s">
        <v>2643</v>
      </c>
      <c r="AB247" s="1575"/>
      <c r="AC247" s="1575"/>
      <c r="AD247" s="1575"/>
      <c r="AE247" s="1575"/>
      <c r="AF247" s="1575"/>
      <c r="AG247" s="1575"/>
      <c r="AH247" s="1575"/>
      <c r="AI247" s="1575"/>
      <c r="AJ247" s="1575"/>
      <c r="AK247" s="1575"/>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 customHeight="1">
      <c r="D248" t="s">
        <v>530</v>
      </c>
      <c r="M248" s="1423"/>
      <c r="N248" s="1423"/>
      <c r="O248" s="1423"/>
      <c r="P248" s="1423"/>
      <c r="Q248" s="1423"/>
      <c r="R248" s="1423"/>
      <c r="S248" s="1423"/>
      <c r="T248" s="1423"/>
      <c r="U248" s="1423"/>
      <c r="V248" s="1423"/>
      <c r="W248" s="1423"/>
      <c r="X248" s="1423"/>
      <c r="Y248" s="1423"/>
      <c r="Z248" s="1423"/>
      <c r="AA248" s="1423"/>
      <c r="AB248" s="1423"/>
      <c r="AC248" s="1423"/>
      <c r="AD248" s="1423"/>
      <c r="AE248" s="1423"/>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 customHeight="1">
      <c r="D249" s="4"/>
      <c r="BB249" s="204" t="s">
        <v>876</v>
      </c>
      <c r="BG249" s="241">
        <f>IF(AND(AND($M$258="for profit",$M$266="for profit",$M$274="for profit")),3,0)</f>
        <v>0</v>
      </c>
    </row>
    <row r="250" spans="1:67" ht="12.9"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582" t="s">
        <v>2671</v>
      </c>
      <c r="N252" s="1554"/>
      <c r="O252" s="1554"/>
      <c r="P252" s="1554"/>
      <c r="Q252" s="1554"/>
      <c r="R252" s="1554"/>
      <c r="S252" s="1554"/>
      <c r="T252" s="1554"/>
      <c r="U252" s="1554"/>
      <c r="V252" s="1554"/>
      <c r="W252" s="1554"/>
      <c r="X252" s="1554"/>
      <c r="Y252" s="1554"/>
      <c r="Z252" s="1554"/>
      <c r="AA252" s="1554"/>
      <c r="AB252" s="1554"/>
      <c r="AC252" s="1554"/>
      <c r="AD252" s="1554"/>
      <c r="AE252" s="1554"/>
      <c r="AF252" s="1554" t="s">
        <v>2668</v>
      </c>
      <c r="AG252" s="1554"/>
      <c r="AH252" s="1554"/>
      <c r="AI252" s="1554"/>
      <c r="AJ252" s="1554"/>
      <c r="AK252" s="1554"/>
      <c r="AU252" s="4"/>
      <c r="AV252" s="4"/>
      <c r="AW252" s="4"/>
      <c r="AX252" s="4"/>
      <c r="AY252" s="4"/>
      <c r="BG252">
        <f>SUM(BG235:BG250)</f>
        <v>1</v>
      </c>
    </row>
    <row r="253" spans="1:67" ht="12.9" customHeight="1">
      <c r="A253" s="19"/>
      <c r="B253" s="4"/>
      <c r="C253" s="4"/>
      <c r="D253" s="4" t="s">
        <v>85</v>
      </c>
      <c r="E253" s="4"/>
      <c r="F253" s="4"/>
      <c r="G253" s="4"/>
      <c r="H253" s="4"/>
      <c r="I253" s="4"/>
      <c r="J253" s="4"/>
      <c r="K253" s="4"/>
      <c r="L253" s="4"/>
      <c r="M253" s="1422" t="s">
        <v>2679</v>
      </c>
      <c r="N253" s="1535"/>
      <c r="O253" s="1535"/>
      <c r="P253" s="1535"/>
      <c r="Q253" s="1535"/>
      <c r="R253" s="1535"/>
      <c r="S253" s="1535"/>
      <c r="T253" s="1535"/>
      <c r="U253" s="1535"/>
      <c r="V253" s="1535"/>
      <c r="W253" s="1535"/>
      <c r="X253" s="1535"/>
      <c r="Y253" s="1535"/>
      <c r="Z253" s="1535"/>
      <c r="AA253" s="1535"/>
      <c r="AB253" s="1535"/>
      <c r="AC253" s="1535"/>
      <c r="AD253" s="1535"/>
      <c r="AE253" s="1535"/>
      <c r="AF253" s="3" t="s">
        <v>1178</v>
      </c>
      <c r="AL253" s="4"/>
      <c r="AM253" s="4"/>
      <c r="AN253" s="4"/>
      <c r="AO253" s="4"/>
      <c r="AP253" s="4"/>
      <c r="AQ253" s="4"/>
      <c r="AR253" s="4"/>
      <c r="AS253" s="4"/>
      <c r="AT253" s="4"/>
      <c r="BB253" t="s">
        <v>306</v>
      </c>
      <c r="BG253">
        <v>1</v>
      </c>
      <c r="BH253" t="s">
        <v>533</v>
      </c>
    </row>
    <row r="254" spans="1:67" ht="12.9" customHeight="1">
      <c r="A254" s="19"/>
      <c r="B254" s="4"/>
      <c r="C254" s="4"/>
      <c r="D254" s="4" t="s">
        <v>579</v>
      </c>
      <c r="E254" s="4"/>
      <c r="M254" s="1422" t="s">
        <v>2680</v>
      </c>
      <c r="N254" s="1535"/>
      <c r="O254" s="1535"/>
      <c r="P254" s="1535"/>
      <c r="Q254" s="1535"/>
      <c r="R254" s="1535"/>
      <c r="S254" s="1535"/>
      <c r="T254" s="1535"/>
      <c r="V254" s="33" t="s">
        <v>86</v>
      </c>
      <c r="W254" s="1483" t="s">
        <v>2681</v>
      </c>
      <c r="X254" s="1484"/>
      <c r="Y254" s="4" t="s">
        <v>582</v>
      </c>
      <c r="AC254" s="1535">
        <v>94541</v>
      </c>
      <c r="AD254" s="1535"/>
      <c r="AE254" s="1535"/>
      <c r="AF254" s="3" t="s">
        <v>1179</v>
      </c>
      <c r="AU254" s="4"/>
      <c r="AV254" s="4"/>
      <c r="AW254" s="4"/>
      <c r="AX254" s="4"/>
      <c r="AY254" s="4"/>
      <c r="BB254" s="4" t="s">
        <v>279</v>
      </c>
      <c r="BG254">
        <v>2</v>
      </c>
      <c r="BH254" t="s">
        <v>565</v>
      </c>
      <c r="BO254" s="239" t="str">
        <f>VLOOKUP(BG252,BG253:BH256,2,FALSE)</f>
        <v>Nonprofit</v>
      </c>
    </row>
    <row r="255" spans="1:67" ht="12.9" customHeight="1">
      <c r="A255" s="19"/>
      <c r="B255" s="4"/>
      <c r="C255" s="4"/>
      <c r="D255" s="4" t="s">
        <v>87</v>
      </c>
      <c r="E255" s="4"/>
      <c r="F255" s="4"/>
      <c r="G255" s="4"/>
      <c r="H255" s="4"/>
      <c r="I255" s="4"/>
      <c r="J255" s="4"/>
      <c r="K255" s="4"/>
      <c r="L255" s="19"/>
      <c r="M255" s="1422" t="s">
        <v>2682</v>
      </c>
      <c r="N255" s="1535"/>
      <c r="O255" s="1535"/>
      <c r="P255" s="1535"/>
      <c r="Q255" s="1535"/>
      <c r="R255" s="1535"/>
      <c r="S255" s="1535"/>
      <c r="T255" s="1535"/>
      <c r="U255" s="1535"/>
      <c r="V255" s="1535"/>
      <c r="W255" s="1535"/>
      <c r="X255" s="1535"/>
      <c r="Y255" s="1535"/>
      <c r="Z255" s="1535"/>
      <c r="AA255" s="1535"/>
      <c r="AB255" s="1535"/>
      <c r="AC255" s="1535"/>
      <c r="AD255" s="1535"/>
      <c r="AE255" s="1535"/>
      <c r="AH255" s="1551">
        <v>5.1000000000000004E-3</v>
      </c>
      <c r="AI255" s="1551"/>
      <c r="AJ255" s="1551"/>
      <c r="AK255" s="1551"/>
      <c r="AL255" s="4"/>
      <c r="AM255" s="4"/>
      <c r="AN255" s="4"/>
      <c r="AO255" s="4"/>
      <c r="AP255" s="4"/>
      <c r="AQ255" s="4"/>
      <c r="AR255" s="4"/>
      <c r="AS255" s="4"/>
      <c r="AT255" s="4"/>
      <c r="BB255" s="4" t="s">
        <v>172</v>
      </c>
      <c r="BG255">
        <v>3</v>
      </c>
      <c r="BH255" t="s">
        <v>535</v>
      </c>
      <c r="BN255" s="34"/>
    </row>
    <row r="256" spans="1:67" ht="12.9" customHeight="1">
      <c r="A256" s="19"/>
      <c r="B256" s="4"/>
      <c r="C256" s="4"/>
      <c r="D256" s="4" t="s">
        <v>88</v>
      </c>
      <c r="E256" s="4"/>
      <c r="F256" s="4"/>
      <c r="M256" s="1495" t="s">
        <v>2683</v>
      </c>
      <c r="N256" s="1495"/>
      <c r="O256" s="1495"/>
      <c r="P256" s="1495"/>
      <c r="Q256" s="1495"/>
      <c r="R256" s="1495"/>
      <c r="S256" s="4" t="s">
        <v>205</v>
      </c>
      <c r="T256" s="4"/>
      <c r="U256" s="1484"/>
      <c r="V256" s="1484"/>
      <c r="W256" s="1484"/>
      <c r="X256" s="4" t="s">
        <v>89</v>
      </c>
      <c r="Z256" s="1559" t="s">
        <v>2685</v>
      </c>
      <c r="AA256" s="1495"/>
      <c r="AB256" s="1495"/>
      <c r="AC256" s="1495"/>
      <c r="AD256" s="1495"/>
      <c r="AE256" s="1495"/>
      <c r="AU256" s="4"/>
      <c r="AV256" s="4"/>
      <c r="AW256" s="4"/>
      <c r="AX256" s="4"/>
      <c r="AY256" s="4"/>
      <c r="BG256">
        <v>0</v>
      </c>
      <c r="BH256" s="3" t="str">
        <f>""</f>
        <v/>
      </c>
      <c r="BN256" s="34"/>
    </row>
    <row r="257" spans="1:66" ht="12.9" customHeight="1">
      <c r="A257" s="19"/>
      <c r="B257" s="4"/>
      <c r="C257" s="4"/>
      <c r="D257" s="4" t="s">
        <v>90</v>
      </c>
      <c r="E257" s="4"/>
      <c r="F257" s="4"/>
      <c r="M257" s="1552" t="s">
        <v>2684</v>
      </c>
      <c r="N257" s="1552"/>
      <c r="O257" s="1552"/>
      <c r="P257" s="1552"/>
      <c r="Q257" s="1552"/>
      <c r="R257" s="1552"/>
      <c r="S257" s="1552"/>
      <c r="T257" s="1552"/>
      <c r="U257" s="1552"/>
      <c r="V257" s="1552"/>
      <c r="W257" s="1552"/>
      <c r="X257" s="1552"/>
      <c r="Y257" s="1552"/>
      <c r="Z257" s="1552"/>
      <c r="AA257" s="1552"/>
      <c r="AB257" s="1552"/>
      <c r="AC257" s="1552"/>
      <c r="AD257" s="1552"/>
      <c r="AE257" s="1552"/>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388" t="s">
        <v>533</v>
      </c>
      <c r="N258" s="1388"/>
      <c r="O258" s="1388"/>
      <c r="P258" s="1388"/>
      <c r="Q258" s="1388"/>
      <c r="R258" s="1388"/>
      <c r="S258" s="1388"/>
      <c r="T258" s="1388"/>
      <c r="U258" s="204" t="s">
        <v>905</v>
      </c>
      <c r="V258" s="204"/>
      <c r="W258" s="204"/>
      <c r="X258" s="204"/>
      <c r="Y258" s="204"/>
      <c r="Z258" s="204"/>
      <c r="AA258" s="1574" t="s">
        <v>2643</v>
      </c>
      <c r="AB258" s="1575"/>
      <c r="AC258" s="1575"/>
      <c r="AD258" s="1575"/>
      <c r="AE258" s="1575"/>
      <c r="AF258" s="1575"/>
      <c r="AG258" s="1575"/>
      <c r="AH258" s="1575"/>
      <c r="AI258" s="1575"/>
      <c r="AJ258" s="1575"/>
      <c r="AK258" s="1575"/>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954</v>
      </c>
      <c r="E260" s="4"/>
      <c r="F260" s="4"/>
      <c r="G260" s="4"/>
      <c r="H260" s="4"/>
      <c r="I260" s="4"/>
      <c r="J260" s="4"/>
      <c r="K260" s="4"/>
      <c r="L260" s="4"/>
      <c r="M260" s="1582" t="s">
        <v>2672</v>
      </c>
      <c r="N260" s="1554"/>
      <c r="O260" s="1554"/>
      <c r="P260" s="1554"/>
      <c r="Q260" s="1554"/>
      <c r="R260" s="1554"/>
      <c r="S260" s="1554"/>
      <c r="T260" s="1554"/>
      <c r="U260" s="1554"/>
      <c r="V260" s="1554"/>
      <c r="W260" s="1554"/>
      <c r="X260" s="1554"/>
      <c r="Y260" s="1554"/>
      <c r="Z260" s="1554"/>
      <c r="AA260" s="1554"/>
      <c r="AB260" s="1554"/>
      <c r="AC260" s="1554"/>
      <c r="AD260" s="1554"/>
      <c r="AE260" s="1554"/>
      <c r="AF260" s="1554" t="s">
        <v>2669</v>
      </c>
      <c r="AG260" s="1554"/>
      <c r="AH260" s="1554"/>
      <c r="AI260" s="1554"/>
      <c r="AJ260" s="1554"/>
      <c r="AK260" s="1554"/>
      <c r="AU260" s="4"/>
      <c r="AV260" s="4"/>
      <c r="AW260" s="4"/>
      <c r="AX260" s="4"/>
      <c r="AY260" s="4"/>
      <c r="BN260" s="34"/>
    </row>
    <row r="261" spans="1:66" ht="12.9" customHeight="1">
      <c r="A261" s="19"/>
      <c r="B261" s="4"/>
      <c r="C261" s="4"/>
      <c r="D261" s="4" t="s">
        <v>85</v>
      </c>
      <c r="E261" s="4"/>
      <c r="F261" s="4"/>
      <c r="G261" s="4"/>
      <c r="H261" s="4"/>
      <c r="I261" s="4"/>
      <c r="J261" s="4"/>
      <c r="K261" s="4"/>
      <c r="L261" s="4"/>
      <c r="M261" s="1422" t="s">
        <v>2679</v>
      </c>
      <c r="N261" s="1535"/>
      <c r="O261" s="1535"/>
      <c r="P261" s="1535"/>
      <c r="Q261" s="1535"/>
      <c r="R261" s="1535"/>
      <c r="S261" s="1535"/>
      <c r="T261" s="1535"/>
      <c r="U261" s="1535"/>
      <c r="V261" s="1535"/>
      <c r="W261" s="1535"/>
      <c r="X261" s="1535"/>
      <c r="Y261" s="1535"/>
      <c r="Z261" s="1535"/>
      <c r="AA261" s="1535"/>
      <c r="AB261" s="1535"/>
      <c r="AC261" s="1535"/>
      <c r="AD261" s="1535"/>
      <c r="AE261" s="1535"/>
      <c r="AF261" s="3" t="s">
        <v>1178</v>
      </c>
      <c r="AL261" s="4"/>
      <c r="AM261" s="4"/>
      <c r="AN261" s="4"/>
      <c r="AO261" s="4"/>
      <c r="AP261" s="4"/>
      <c r="AQ261" s="4"/>
      <c r="AR261" s="4"/>
      <c r="AS261" s="4"/>
      <c r="AT261" s="4"/>
      <c r="BN261" s="34"/>
    </row>
    <row r="262" spans="1:66" ht="12.9" customHeight="1">
      <c r="A262" s="19"/>
      <c r="B262" s="4"/>
      <c r="C262" s="4"/>
      <c r="D262" s="4" t="s">
        <v>579</v>
      </c>
      <c r="E262" s="4"/>
      <c r="M262" s="1422" t="s">
        <v>2680</v>
      </c>
      <c r="N262" s="1535"/>
      <c r="O262" s="1535"/>
      <c r="P262" s="1535"/>
      <c r="Q262" s="1535"/>
      <c r="R262" s="1535"/>
      <c r="S262" s="1535"/>
      <c r="T262" s="1535"/>
      <c r="V262" s="33" t="s">
        <v>86</v>
      </c>
      <c r="W262" s="1483" t="s">
        <v>2681</v>
      </c>
      <c r="X262" s="1484"/>
      <c r="Y262" s="4" t="s">
        <v>582</v>
      </c>
      <c r="AC262" s="1535">
        <v>94541</v>
      </c>
      <c r="AD262" s="1535"/>
      <c r="AE262" s="1535"/>
      <c r="AF262" s="3" t="s">
        <v>1179</v>
      </c>
      <c r="AU262" s="4"/>
      <c r="AV262" s="4"/>
      <c r="AW262" s="4"/>
      <c r="AX262" s="4"/>
      <c r="AY262" s="4"/>
      <c r="BN262" s="34"/>
    </row>
    <row r="263" spans="1:66" ht="12.9" customHeight="1">
      <c r="A263" s="19"/>
      <c r="B263" s="4"/>
      <c r="C263" s="4"/>
      <c r="D263" s="4" t="s">
        <v>87</v>
      </c>
      <c r="E263" s="4"/>
      <c r="F263" s="4"/>
      <c r="G263" s="4"/>
      <c r="H263" s="4"/>
      <c r="I263" s="4"/>
      <c r="J263" s="4"/>
      <c r="K263" s="4"/>
      <c r="L263" s="19"/>
      <c r="M263" s="1422" t="s">
        <v>2682</v>
      </c>
      <c r="N263" s="1535"/>
      <c r="O263" s="1535"/>
      <c r="P263" s="1535"/>
      <c r="Q263" s="1535"/>
      <c r="R263" s="1535"/>
      <c r="S263" s="1535"/>
      <c r="T263" s="1535"/>
      <c r="U263" s="1535"/>
      <c r="V263" s="1535"/>
      <c r="W263" s="1535"/>
      <c r="X263" s="1535"/>
      <c r="Y263" s="1535"/>
      <c r="Z263" s="1535"/>
      <c r="AA263" s="1535"/>
      <c r="AB263" s="1535"/>
      <c r="AC263" s="1535"/>
      <c r="AD263" s="1535"/>
      <c r="AE263" s="1535"/>
      <c r="AH263" s="1551">
        <v>4.8999999999999998E-3</v>
      </c>
      <c r="AI263" s="1551"/>
      <c r="AJ263" s="1551"/>
      <c r="AK263" s="1551"/>
      <c r="AL263" s="4"/>
      <c r="AM263" s="4"/>
      <c r="AN263" s="4"/>
      <c r="AO263" s="4"/>
      <c r="AP263" s="4"/>
      <c r="AQ263" s="4"/>
      <c r="AR263" s="4"/>
      <c r="AS263" s="4"/>
      <c r="AT263" s="4"/>
    </row>
    <row r="264" spans="1:66" ht="12.9" customHeight="1">
      <c r="A264" s="19"/>
      <c r="B264" s="4"/>
      <c r="C264" s="4"/>
      <c r="D264" s="4" t="s">
        <v>88</v>
      </c>
      <c r="E264" s="4"/>
      <c r="F264" s="4"/>
      <c r="M264" s="1495" t="s">
        <v>2683</v>
      </c>
      <c r="N264" s="1495"/>
      <c r="O264" s="1495"/>
      <c r="P264" s="1495"/>
      <c r="Q264" s="1495"/>
      <c r="R264" s="1495"/>
      <c r="S264" s="4" t="s">
        <v>205</v>
      </c>
      <c r="T264" s="4"/>
      <c r="U264" s="1484"/>
      <c r="V264" s="1484"/>
      <c r="W264" s="1484"/>
      <c r="X264" s="4" t="s">
        <v>89</v>
      </c>
      <c r="Z264" s="1559" t="s">
        <v>2685</v>
      </c>
      <c r="AA264" s="1495"/>
      <c r="AB264" s="1495"/>
      <c r="AC264" s="1495"/>
      <c r="AD264" s="1495"/>
      <c r="AE264" s="1495"/>
      <c r="AU264" s="4"/>
      <c r="AV264" s="4"/>
      <c r="AW264" s="4"/>
      <c r="AX264" s="4"/>
      <c r="AY264" s="4"/>
      <c r="BN264" s="34"/>
    </row>
    <row r="265" spans="1:66" ht="12.9" customHeight="1">
      <c r="A265" s="19"/>
      <c r="B265" s="4"/>
      <c r="C265" s="4"/>
      <c r="D265" s="4" t="s">
        <v>90</v>
      </c>
      <c r="E265" s="4"/>
      <c r="F265" s="4"/>
      <c r="M265" s="1552" t="s">
        <v>2684</v>
      </c>
      <c r="N265" s="1552"/>
      <c r="O265" s="1552"/>
      <c r="P265" s="1552"/>
      <c r="Q265" s="1552"/>
      <c r="R265" s="1552"/>
      <c r="S265" s="1552"/>
      <c r="T265" s="1552"/>
      <c r="U265" s="1552"/>
      <c r="V265" s="1552"/>
      <c r="W265" s="1552"/>
      <c r="X265" s="1552"/>
      <c r="Y265" s="1552"/>
      <c r="Z265" s="1552"/>
      <c r="AA265" s="1552"/>
      <c r="AB265" s="1552"/>
      <c r="AC265" s="1552"/>
      <c r="AD265" s="1552"/>
      <c r="AE265" s="1552"/>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388" t="s">
        <v>533</v>
      </c>
      <c r="N266" s="1388"/>
      <c r="O266" s="1388"/>
      <c r="P266" s="1388"/>
      <c r="Q266" s="1388"/>
      <c r="R266" s="1388"/>
      <c r="S266" s="1388"/>
      <c r="T266" s="1388"/>
      <c r="U266" s="204" t="s">
        <v>905</v>
      </c>
      <c r="V266" s="204"/>
      <c r="W266" s="204"/>
      <c r="X266" s="204"/>
      <c r="Y266" s="204"/>
      <c r="Z266" s="204"/>
      <c r="AA266" s="1575" t="s">
        <v>2643</v>
      </c>
      <c r="AB266" s="1575"/>
      <c r="AC266" s="1575"/>
      <c r="AD266" s="1575"/>
      <c r="AE266" s="1575"/>
      <c r="AF266" s="1575"/>
      <c r="AG266" s="1575"/>
      <c r="AH266" s="1575"/>
      <c r="AI266" s="1575"/>
      <c r="AJ266" s="1575"/>
      <c r="AK266" s="1575"/>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875</v>
      </c>
      <c r="D268" s="4" t="s">
        <v>531</v>
      </c>
      <c r="E268" s="4"/>
      <c r="F268" s="4"/>
      <c r="G268" s="4"/>
      <c r="H268" s="4"/>
      <c r="I268" s="4"/>
      <c r="J268" s="4"/>
      <c r="K268" s="4"/>
      <c r="L268" s="4"/>
      <c r="M268" s="1554"/>
      <c r="N268" s="1554"/>
      <c r="O268" s="1554"/>
      <c r="P268" s="1554"/>
      <c r="Q268" s="1554"/>
      <c r="R268" s="1554"/>
      <c r="S268" s="1554"/>
      <c r="T268" s="1554"/>
      <c r="U268" s="1554"/>
      <c r="V268" s="1554"/>
      <c r="W268" s="1554"/>
      <c r="X268" s="1554"/>
      <c r="Y268" s="1554"/>
      <c r="Z268" s="1554"/>
      <c r="AA268" s="1554"/>
      <c r="AB268" s="1554"/>
      <c r="AC268" s="1554"/>
      <c r="AD268" s="1554"/>
      <c r="AE268" s="1554"/>
      <c r="AF268" s="1554" t="s">
        <v>306</v>
      </c>
      <c r="AG268" s="1554"/>
      <c r="AH268" s="1554"/>
      <c r="AI268" s="1554"/>
      <c r="AJ268" s="1554"/>
      <c r="AK268" s="1554"/>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535"/>
      <c r="N269" s="1535"/>
      <c r="O269" s="1535"/>
      <c r="P269" s="1535"/>
      <c r="Q269" s="1535"/>
      <c r="R269" s="1535"/>
      <c r="S269" s="1535"/>
      <c r="T269" s="1535"/>
      <c r="U269" s="1535"/>
      <c r="V269" s="1535"/>
      <c r="W269" s="1535"/>
      <c r="X269" s="1535"/>
      <c r="Y269" s="1535"/>
      <c r="Z269" s="1535"/>
      <c r="AA269" s="1535"/>
      <c r="AB269" s="1535"/>
      <c r="AC269" s="1535"/>
      <c r="AD269" s="1535"/>
      <c r="AE269" s="1535"/>
      <c r="AF269" s="3" t="s">
        <v>1178</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535"/>
      <c r="N270" s="1535"/>
      <c r="O270" s="1535"/>
      <c r="P270" s="1535"/>
      <c r="Q270" s="1535"/>
      <c r="R270" s="1535"/>
      <c r="S270" s="1535"/>
      <c r="T270" s="1535"/>
      <c r="V270" s="33" t="s">
        <v>86</v>
      </c>
      <c r="W270" s="1484"/>
      <c r="X270" s="1484"/>
      <c r="Y270" s="4" t="s">
        <v>582</v>
      </c>
      <c r="AC270" s="1535"/>
      <c r="AD270" s="1535"/>
      <c r="AE270" s="1535"/>
      <c r="AF270" s="3" t="s">
        <v>1179</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535"/>
      <c r="N271" s="1535"/>
      <c r="O271" s="1535"/>
      <c r="P271" s="1535"/>
      <c r="Q271" s="1535"/>
      <c r="R271" s="1535"/>
      <c r="S271" s="1535"/>
      <c r="T271" s="1535"/>
      <c r="U271" s="1535"/>
      <c r="V271" s="1535"/>
      <c r="W271" s="1535"/>
      <c r="X271" s="1535"/>
      <c r="Y271" s="1535"/>
      <c r="Z271" s="1535"/>
      <c r="AA271" s="1535"/>
      <c r="AB271" s="1535"/>
      <c r="AC271" s="1535"/>
      <c r="AD271" s="1535"/>
      <c r="AE271" s="1535"/>
      <c r="AH271" s="1551"/>
      <c r="AI271" s="1551"/>
      <c r="AJ271" s="1551"/>
      <c r="AK271" s="1551"/>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495"/>
      <c r="N272" s="1495"/>
      <c r="O272" s="1495"/>
      <c r="P272" s="1495"/>
      <c r="Q272" s="1495"/>
      <c r="R272" s="1495"/>
      <c r="S272" s="4" t="s">
        <v>205</v>
      </c>
      <c r="T272" s="4"/>
      <c r="U272" s="1484"/>
      <c r="V272" s="1484"/>
      <c r="W272" s="1484"/>
      <c r="X272" s="4" t="s">
        <v>89</v>
      </c>
      <c r="Z272" s="1495"/>
      <c r="AA272" s="1495"/>
      <c r="AB272" s="1495"/>
      <c r="AC272" s="1495"/>
      <c r="AD272" s="1495"/>
      <c r="AE272" s="1495"/>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552"/>
      <c r="N273" s="1552"/>
      <c r="O273" s="1552"/>
      <c r="P273" s="1552"/>
      <c r="Q273" s="1552"/>
      <c r="R273" s="1552"/>
      <c r="S273" s="1552"/>
      <c r="T273" s="1552"/>
      <c r="U273" s="1552"/>
      <c r="V273" s="1552"/>
      <c r="W273" s="1552"/>
      <c r="X273" s="1552"/>
      <c r="Y273" s="1552"/>
      <c r="Z273" s="1552"/>
      <c r="AA273" s="1553"/>
      <c r="AB273" s="1553"/>
      <c r="AC273" s="1553"/>
      <c r="AD273" s="1553"/>
      <c r="AE273" s="1553"/>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388" t="s">
        <v>306</v>
      </c>
      <c r="N274" s="1388"/>
      <c r="O274" s="1388"/>
      <c r="P274" s="1388"/>
      <c r="Q274" s="1388"/>
      <c r="R274" s="1388"/>
      <c r="S274" s="1388"/>
      <c r="T274" s="1388"/>
      <c r="U274" s="204" t="s">
        <v>905</v>
      </c>
      <c r="V274" s="204"/>
      <c r="W274" s="204"/>
      <c r="X274" s="204"/>
      <c r="Y274" s="204"/>
      <c r="Z274" s="204"/>
      <c r="AA274" s="1589"/>
      <c r="AB274" s="1589"/>
      <c r="AC274" s="1589"/>
      <c r="AD274" s="1589"/>
      <c r="AE274" s="1589"/>
      <c r="AF274" s="1589"/>
      <c r="AG274" s="1589"/>
      <c r="AH274" s="1589"/>
      <c r="AI274" s="1589"/>
      <c r="AJ274" s="1589"/>
      <c r="AK274" s="1589"/>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294</v>
      </c>
      <c r="D276" s="4"/>
      <c r="E276" s="4"/>
      <c r="F276" s="4"/>
      <c r="G276" s="4"/>
      <c r="H276" s="4"/>
      <c r="I276" s="4"/>
      <c r="J276" s="4"/>
      <c r="K276" s="4"/>
      <c r="L276" s="4"/>
      <c r="M276" s="35"/>
      <c r="N276" s="35"/>
      <c r="O276" s="35"/>
      <c r="P276" s="35"/>
      <c r="Q276" s="35"/>
      <c r="T276" s="1590" t="str">
        <f>IFERROR(BO254,"")</f>
        <v>Nonprofit</v>
      </c>
      <c r="U276" s="1590"/>
      <c r="V276" s="1590"/>
      <c r="W276" s="1590"/>
      <c r="X276" s="1590"/>
      <c r="Z276" s="307" t="s">
        <v>953</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 customHeight="1">
      <c r="A279" s="4"/>
      <c r="B279" s="36">
        <v>0</v>
      </c>
      <c r="D279" s="1535" t="s">
        <v>172</v>
      </c>
      <c r="E279" s="1535"/>
      <c r="F279" s="1535"/>
      <c r="G279" s="1535"/>
      <c r="H279" s="1535"/>
      <c r="J279" t="s">
        <v>278</v>
      </c>
      <c r="X279" s="1507">
        <v>46204</v>
      </c>
      <c r="Y279" s="1507"/>
      <c r="Z279" s="1507"/>
      <c r="AA279" s="1507"/>
      <c r="AB279" s="1507"/>
      <c r="AC279" s="1507"/>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582" t="s">
        <v>2643</v>
      </c>
      <c r="M283" s="1554"/>
      <c r="N283" s="1554"/>
      <c r="O283" s="1554"/>
      <c r="P283" s="1554"/>
      <c r="Q283" s="1554"/>
      <c r="R283" s="1554"/>
      <c r="S283" s="1554"/>
      <c r="T283" s="1554"/>
      <c r="U283" s="1554"/>
      <c r="V283" s="1554"/>
      <c r="W283" s="1554"/>
      <c r="X283" s="1554"/>
      <c r="Y283" s="1554"/>
      <c r="Z283" s="1554"/>
      <c r="AA283" s="1554"/>
      <c r="AB283" s="1554"/>
      <c r="AC283" s="1554"/>
      <c r="AD283" s="1554"/>
      <c r="AE283" s="1554"/>
      <c r="AF283" s="1554"/>
      <c r="AG283" s="1554"/>
      <c r="AH283" s="1554"/>
      <c r="AI283" s="1554"/>
      <c r="AJ283" s="1554"/>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422" t="s">
        <v>2679</v>
      </c>
      <c r="M284" s="1535"/>
      <c r="N284" s="1535"/>
      <c r="O284" s="1535"/>
      <c r="P284" s="1535"/>
      <c r="Q284" s="1535"/>
      <c r="R284" s="1535"/>
      <c r="S284" s="1535"/>
      <c r="T284" s="1535"/>
      <c r="U284" s="1535"/>
      <c r="V284" s="1535"/>
      <c r="W284" s="1535"/>
      <c r="X284" s="1535"/>
      <c r="Y284" s="1535"/>
      <c r="Z284" s="1535"/>
      <c r="AA284" s="1535"/>
      <c r="AB284" s="1535"/>
      <c r="AC284" s="1535"/>
      <c r="AD284" s="1535"/>
      <c r="AK284" s="3"/>
      <c r="AL284" s="3"/>
      <c r="AM284" s="3"/>
      <c r="AN284" s="3"/>
      <c r="AO284" s="3"/>
      <c r="AP284" s="3"/>
      <c r="AQ284" s="3"/>
      <c r="AR284" s="3"/>
      <c r="AS284" s="3"/>
      <c r="AT284" s="3"/>
      <c r="AU284" s="3"/>
      <c r="AV284" s="3"/>
      <c r="AW284" s="3"/>
      <c r="AX284" s="3"/>
      <c r="AY284" s="3"/>
    </row>
    <row r="285" spans="1:51" ht="12.9" customHeight="1">
      <c r="D285" s="4" t="s">
        <v>579</v>
      </c>
      <c r="E285" s="4"/>
      <c r="L285" s="1422" t="s">
        <v>2680</v>
      </c>
      <c r="M285" s="1535"/>
      <c r="N285" s="1535"/>
      <c r="O285" s="1535"/>
      <c r="P285" s="1535"/>
      <c r="Q285" s="1535"/>
      <c r="R285" s="1535"/>
      <c r="S285" s="1535"/>
      <c r="U285" s="33" t="s">
        <v>86</v>
      </c>
      <c r="V285" s="1483" t="s">
        <v>2681</v>
      </c>
      <c r="W285" s="1484"/>
      <c r="X285" s="4" t="s">
        <v>582</v>
      </c>
      <c r="AB285" s="1535">
        <v>94541</v>
      </c>
      <c r="AC285" s="1535"/>
      <c r="AD285" s="1535"/>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535" t="s">
        <v>2682</v>
      </c>
      <c r="M286" s="1535"/>
      <c r="N286" s="1535"/>
      <c r="O286" s="1535"/>
      <c r="P286" s="1535"/>
      <c r="Q286" s="1535"/>
      <c r="R286" s="1535"/>
      <c r="S286" s="1535"/>
      <c r="T286" s="1535"/>
      <c r="U286" s="1535"/>
      <c r="V286" s="1535"/>
      <c r="W286" s="1535"/>
      <c r="X286" s="1535"/>
      <c r="Y286" s="1535"/>
      <c r="Z286" s="1535"/>
      <c r="AA286" s="1535"/>
      <c r="AB286" s="1535"/>
      <c r="AC286" s="1535"/>
      <c r="AD286" s="1535"/>
      <c r="AI286" s="4"/>
      <c r="AJ286" s="4"/>
      <c r="AK286" s="3"/>
      <c r="AL286" s="3"/>
      <c r="AM286" s="3"/>
      <c r="AN286" s="3"/>
      <c r="AO286" s="3"/>
      <c r="AP286" s="3"/>
      <c r="AQ286" s="3"/>
      <c r="AR286" s="3"/>
      <c r="AS286" s="3"/>
      <c r="AT286" s="3"/>
    </row>
    <row r="287" spans="1:51" ht="12.9" customHeight="1">
      <c r="D287" s="4" t="s">
        <v>88</v>
      </c>
      <c r="E287" s="4"/>
      <c r="F287" s="4"/>
      <c r="L287" s="1495" t="s">
        <v>2683</v>
      </c>
      <c r="M287" s="1495"/>
      <c r="N287" s="1495"/>
      <c r="O287" s="1495"/>
      <c r="P287" s="1495"/>
      <c r="Q287" s="1495"/>
      <c r="R287" s="4" t="s">
        <v>205</v>
      </c>
      <c r="S287" s="4"/>
      <c r="T287" s="1484"/>
      <c r="U287" s="1484"/>
      <c r="V287" s="1484"/>
      <c r="W287" s="4" t="s">
        <v>89</v>
      </c>
      <c r="Y287" s="1495" t="s">
        <v>2685</v>
      </c>
      <c r="Z287" s="1495"/>
      <c r="AA287" s="1495"/>
      <c r="AB287" s="1495"/>
      <c r="AC287" s="1495"/>
      <c r="AD287" s="1495"/>
    </row>
    <row r="288" spans="1:51" ht="12.9" customHeight="1">
      <c r="D288" s="4" t="s">
        <v>90</v>
      </c>
      <c r="E288" s="4"/>
      <c r="F288" s="4"/>
      <c r="L288" s="1552" t="s">
        <v>2684</v>
      </c>
      <c r="M288" s="1552"/>
      <c r="N288" s="1552"/>
      <c r="O288" s="1552"/>
      <c r="P288" s="1552"/>
      <c r="Q288" s="1552"/>
      <c r="R288" s="1552"/>
      <c r="S288" s="1552"/>
      <c r="T288" s="1552"/>
      <c r="U288" s="1552"/>
      <c r="V288" s="1552"/>
      <c r="W288" s="1552"/>
      <c r="X288" s="1552"/>
      <c r="Y288" s="1552"/>
      <c r="Z288" s="1552"/>
      <c r="AA288" s="1552"/>
      <c r="AB288" s="1552"/>
      <c r="AC288" s="1552"/>
      <c r="AD288" s="1552"/>
      <c r="AF288" s="4"/>
      <c r="AG288" s="4"/>
      <c r="AH288" s="4"/>
      <c r="AI288" s="4"/>
      <c r="AJ288" s="4"/>
      <c r="AU288" s="3"/>
      <c r="AV288" s="3"/>
      <c r="AW288" s="3"/>
      <c r="AX288" s="3"/>
      <c r="AY288" s="3"/>
    </row>
    <row r="289" spans="1:51" ht="12.9" customHeight="1">
      <c r="D289" s="3" t="s">
        <v>622</v>
      </c>
      <c r="E289" s="3"/>
      <c r="F289" s="3"/>
      <c r="G289" s="3"/>
      <c r="H289" s="3"/>
      <c r="I289" s="3"/>
      <c r="L289" s="1483" t="s">
        <v>2686</v>
      </c>
      <c r="M289" s="1483"/>
      <c r="N289" s="1483"/>
      <c r="O289" s="1483"/>
      <c r="P289" s="1483"/>
      <c r="Q289" s="1483"/>
      <c r="R289" s="1483"/>
      <c r="S289" s="1483"/>
      <c r="T289" s="1483"/>
      <c r="U289" s="1483"/>
      <c r="V289" s="1483"/>
      <c r="W289" s="1483"/>
      <c r="X289" s="1483"/>
      <c r="Y289" s="1483"/>
      <c r="Z289" s="1483"/>
      <c r="AA289" s="1483"/>
      <c r="AB289" s="1483"/>
      <c r="AC289" s="1483"/>
      <c r="AD289" s="1483"/>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547" t="s">
        <v>540</v>
      </c>
      <c r="B291" s="1547"/>
      <c r="C291" s="1547"/>
      <c r="D291" s="1547"/>
      <c r="E291" s="1547"/>
      <c r="F291" s="1547"/>
      <c r="G291" s="1547"/>
      <c r="H291" s="1547"/>
      <c r="I291" s="1547"/>
      <c r="J291" s="1547"/>
      <c r="K291" s="1547"/>
      <c r="L291" s="1547"/>
      <c r="M291" s="1547"/>
      <c r="N291" s="1547"/>
      <c r="O291" s="1547"/>
      <c r="P291" s="1547"/>
      <c r="Q291" s="1547"/>
      <c r="R291" s="1547"/>
      <c r="S291" s="1547"/>
      <c r="T291" s="1547"/>
      <c r="U291" s="1547"/>
      <c r="V291" s="1547"/>
      <c r="W291" s="1547"/>
      <c r="X291" s="1547"/>
      <c r="Y291" s="1547"/>
      <c r="Z291" s="1547"/>
      <c r="AA291" s="1547"/>
      <c r="AB291" s="1547"/>
      <c r="AC291" s="1547"/>
      <c r="AD291" s="1547"/>
      <c r="AE291" s="1547"/>
      <c r="AF291" s="1547"/>
      <c r="AG291" s="1547"/>
      <c r="AH291" s="1547"/>
      <c r="AI291" s="1547"/>
      <c r="AJ291" s="1547"/>
      <c r="AK291" s="1547"/>
      <c r="AL291" s="1547"/>
      <c r="AM291" s="1547"/>
      <c r="AN291" s="1547"/>
      <c r="AO291" s="1547"/>
      <c r="AP291" s="1547"/>
      <c r="AQ291" s="1547"/>
      <c r="AR291" s="1547"/>
      <c r="AS291" s="1547"/>
      <c r="AT291" s="1547"/>
      <c r="AU291" s="95"/>
      <c r="AV291" s="95"/>
      <c r="AW291" s="95"/>
      <c r="AX291" s="95"/>
      <c r="AY291" s="95"/>
    </row>
    <row r="292" spans="1:51" ht="12.9" customHeight="1">
      <c r="A292" s="1547"/>
      <c r="B292" s="1547"/>
      <c r="C292" s="1547"/>
      <c r="D292" s="1547"/>
      <c r="E292" s="1547"/>
      <c r="F292" s="1547"/>
      <c r="G292" s="1547"/>
      <c r="H292" s="1547"/>
      <c r="I292" s="1547"/>
      <c r="J292" s="1547"/>
      <c r="K292" s="1547"/>
      <c r="L292" s="1547"/>
      <c r="M292" s="1547"/>
      <c r="N292" s="1547"/>
      <c r="O292" s="1547"/>
      <c r="P292" s="1547"/>
      <c r="Q292" s="1547"/>
      <c r="R292" s="1547"/>
      <c r="S292" s="1547"/>
      <c r="T292" s="1547"/>
      <c r="U292" s="1547"/>
      <c r="V292" s="1547"/>
      <c r="W292" s="1547"/>
      <c r="X292" s="1547"/>
      <c r="Y292" s="1547"/>
      <c r="Z292" s="1547"/>
      <c r="AA292" s="1547"/>
      <c r="AB292" s="1547"/>
      <c r="AC292" s="1547"/>
      <c r="AD292" s="1547"/>
      <c r="AE292" s="1547"/>
      <c r="AF292" s="1547"/>
      <c r="AG292" s="1547"/>
      <c r="AH292" s="1547"/>
      <c r="AI292" s="1547"/>
      <c r="AJ292" s="1547"/>
      <c r="AK292" s="1547"/>
      <c r="AL292" s="1547"/>
      <c r="AM292" s="1547"/>
      <c r="AN292" s="1547"/>
      <c r="AO292" s="1547"/>
      <c r="AP292" s="1547"/>
      <c r="AQ292" s="1547"/>
      <c r="AR292" s="1547"/>
      <c r="AS292" s="1547"/>
      <c r="AT292" s="1547"/>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423" t="s">
        <v>2643</v>
      </c>
      <c r="I296" s="1423"/>
      <c r="J296" s="1423"/>
      <c r="K296" s="1423"/>
      <c r="L296" s="1423"/>
      <c r="M296" s="1423"/>
      <c r="N296" s="1423"/>
      <c r="O296" s="1423"/>
      <c r="P296" s="1423"/>
      <c r="Q296" s="1423"/>
      <c r="R296" s="1423"/>
      <c r="T296" s="3" t="s">
        <v>566</v>
      </c>
      <c r="V296" s="3"/>
      <c r="W296" s="3"/>
      <c r="X296" s="3"/>
      <c r="Y296" s="3"/>
      <c r="AA296" s="1422" t="s">
        <v>2728</v>
      </c>
      <c r="AB296" s="1423"/>
      <c r="AC296" s="1423"/>
      <c r="AD296" s="1423"/>
      <c r="AE296" s="1423"/>
      <c r="AF296" s="1423"/>
      <c r="AG296" s="1423"/>
      <c r="AH296" s="1423"/>
      <c r="AI296" s="1423"/>
      <c r="AJ296" s="1423"/>
      <c r="AK296" s="1423"/>
    </row>
    <row r="297" spans="1:51" ht="12.9" customHeight="1">
      <c r="B297" s="3" t="s">
        <v>470</v>
      </c>
      <c r="C297" s="3"/>
      <c r="D297" s="3"/>
      <c r="E297" s="3"/>
      <c r="F297" s="3"/>
      <c r="H297" s="1483" t="s">
        <v>2679</v>
      </c>
      <c r="I297" s="1388"/>
      <c r="J297" s="1388"/>
      <c r="K297" s="1388"/>
      <c r="L297" s="1388"/>
      <c r="M297" s="1388"/>
      <c r="N297" s="1388"/>
      <c r="O297" s="1388"/>
      <c r="P297" s="1388"/>
      <c r="Q297" s="1388"/>
      <c r="R297" s="1388"/>
      <c r="T297" s="3" t="s">
        <v>470</v>
      </c>
      <c r="V297" s="3"/>
      <c r="W297" s="3"/>
      <c r="X297" s="3"/>
      <c r="Y297" s="3"/>
      <c r="AA297" s="1483" t="s">
        <v>2726</v>
      </c>
      <c r="AB297" s="1388"/>
      <c r="AC297" s="1388"/>
      <c r="AD297" s="1388"/>
      <c r="AE297" s="1388"/>
      <c r="AF297" s="1388"/>
      <c r="AG297" s="1388"/>
      <c r="AH297" s="1388"/>
      <c r="AI297" s="1388"/>
      <c r="AJ297" s="1388"/>
      <c r="AK297" s="1388"/>
    </row>
    <row r="298" spans="1:51" ht="12.9" customHeight="1">
      <c r="B298" s="3" t="s">
        <v>471</v>
      </c>
      <c r="C298" s="3"/>
      <c r="D298" s="3"/>
      <c r="E298" s="3"/>
      <c r="F298" s="3"/>
      <c r="H298" s="1483" t="s">
        <v>2687</v>
      </c>
      <c r="I298" s="1388"/>
      <c r="J298" s="1388"/>
      <c r="K298" s="1388"/>
      <c r="L298" s="1388"/>
      <c r="M298" s="1388"/>
      <c r="N298" s="1388"/>
      <c r="O298" s="1388"/>
      <c r="P298" s="1388"/>
      <c r="Q298" s="1388"/>
      <c r="R298" s="1388"/>
      <c r="T298" s="3" t="s">
        <v>75</v>
      </c>
      <c r="V298" s="3"/>
      <c r="W298" s="3"/>
      <c r="X298" s="3"/>
      <c r="Y298" s="3"/>
      <c r="AA298" s="1483" t="s">
        <v>2727</v>
      </c>
      <c r="AB298" s="1388"/>
      <c r="AC298" s="1388"/>
      <c r="AD298" s="1388"/>
      <c r="AE298" s="1388"/>
      <c r="AF298" s="1388"/>
      <c r="AG298" s="1388"/>
      <c r="AH298" s="1388"/>
      <c r="AI298" s="1388"/>
      <c r="AJ298" s="1388"/>
      <c r="AK298" s="1388"/>
    </row>
    <row r="299" spans="1:51" ht="12.9" customHeight="1">
      <c r="B299" s="3" t="s">
        <v>87</v>
      </c>
      <c r="C299" s="3"/>
      <c r="D299" s="3"/>
      <c r="E299" s="3"/>
      <c r="F299" s="3"/>
      <c r="H299" s="1388" t="s">
        <v>2682</v>
      </c>
      <c r="I299" s="1388"/>
      <c r="J299" s="1388"/>
      <c r="K299" s="1388"/>
      <c r="L299" s="1388"/>
      <c r="M299" s="1388"/>
      <c r="N299" s="1388"/>
      <c r="O299" s="1388"/>
      <c r="P299" s="1388"/>
      <c r="Q299" s="1388"/>
      <c r="R299" s="1388"/>
      <c r="T299" s="3" t="s">
        <v>87</v>
      </c>
      <c r="V299" s="3"/>
      <c r="W299" s="3"/>
      <c r="X299" s="3"/>
      <c r="Y299" s="3"/>
      <c r="AA299" s="1483" t="s">
        <v>2725</v>
      </c>
      <c r="AB299" s="1388"/>
      <c r="AC299" s="1388"/>
      <c r="AD299" s="1388"/>
      <c r="AE299" s="1388"/>
      <c r="AF299" s="1388"/>
      <c r="AG299" s="1388"/>
      <c r="AH299" s="1388"/>
      <c r="AI299" s="1388"/>
      <c r="AJ299" s="1388"/>
      <c r="AK299" s="1388"/>
    </row>
    <row r="300" spans="1:51" ht="12.9" customHeight="1">
      <c r="B300" s="3" t="s">
        <v>88</v>
      </c>
      <c r="C300" s="3"/>
      <c r="D300" s="3"/>
      <c r="E300" s="3"/>
      <c r="F300" s="3"/>
      <c r="G300" s="3"/>
      <c r="H300" s="1555" t="s">
        <v>2683</v>
      </c>
      <c r="I300" s="1555"/>
      <c r="J300" s="1555"/>
      <c r="K300" s="1555"/>
      <c r="L300" s="1555"/>
      <c r="M300" s="1555"/>
      <c r="N300" s="4" t="s">
        <v>205</v>
      </c>
      <c r="O300" s="4"/>
      <c r="P300" s="1535"/>
      <c r="Q300" s="1535"/>
      <c r="R300" s="1535"/>
      <c r="S300" s="3"/>
      <c r="T300" s="3" t="s">
        <v>88</v>
      </c>
      <c r="V300" s="3"/>
      <c r="W300" s="3"/>
      <c r="X300" s="3"/>
      <c r="Y300" s="3"/>
      <c r="AA300" s="1579" t="s">
        <v>2729</v>
      </c>
      <c r="AB300" s="1555"/>
      <c r="AC300" s="1555"/>
      <c r="AD300" s="1555"/>
      <c r="AE300" s="1555"/>
      <c r="AF300" s="1555"/>
      <c r="AG300" s="4" t="s">
        <v>205</v>
      </c>
      <c r="AH300" s="4"/>
      <c r="AI300" s="1535">
        <v>421</v>
      </c>
      <c r="AJ300" s="1535"/>
      <c r="AK300" s="1535"/>
    </row>
    <row r="301" spans="1:51" ht="12.9" customHeight="1">
      <c r="B301" s="3" t="s">
        <v>89</v>
      </c>
      <c r="C301" s="3"/>
      <c r="D301" s="3"/>
      <c r="E301" s="3"/>
      <c r="F301" s="3"/>
      <c r="G301" s="3"/>
      <c r="H301" s="1495" t="s">
        <v>2685</v>
      </c>
      <c r="I301" s="1495"/>
      <c r="J301" s="1495"/>
      <c r="K301" s="1495"/>
      <c r="L301" s="1495"/>
      <c r="M301" s="1495"/>
      <c r="N301" s="4"/>
      <c r="O301" s="4"/>
      <c r="P301" s="35"/>
      <c r="Q301" s="35"/>
      <c r="R301" s="35"/>
      <c r="S301" s="3"/>
      <c r="T301" s="3" t="s">
        <v>89</v>
      </c>
      <c r="V301" s="3"/>
      <c r="W301" s="3"/>
      <c r="X301" s="3"/>
      <c r="Y301" s="3"/>
      <c r="AA301" s="1495"/>
      <c r="AB301" s="1495"/>
      <c r="AC301" s="1495"/>
      <c r="AD301" s="1495"/>
      <c r="AE301" s="1495"/>
      <c r="AF301" s="1495"/>
      <c r="AG301" s="4"/>
      <c r="AH301" s="4"/>
      <c r="AI301" s="35"/>
      <c r="AJ301" s="35"/>
      <c r="AK301" s="35"/>
    </row>
    <row r="302" spans="1:51" ht="12.9" customHeight="1">
      <c r="B302" s="3" t="s">
        <v>76</v>
      </c>
      <c r="C302" s="3"/>
      <c r="D302" s="3"/>
      <c r="E302" s="3"/>
      <c r="F302" s="3"/>
      <c r="G302" s="3"/>
      <c r="H302" s="1388" t="s">
        <v>2684</v>
      </c>
      <c r="I302" s="1388"/>
      <c r="J302" s="1388"/>
      <c r="K302" s="1388"/>
      <c r="L302" s="1388"/>
      <c r="M302" s="1388"/>
      <c r="N302" s="1423"/>
      <c r="O302" s="1423"/>
      <c r="P302" s="1423"/>
      <c r="Q302" s="1423"/>
      <c r="R302" s="1423"/>
      <c r="S302" s="3"/>
      <c r="T302" s="3" t="s">
        <v>76</v>
      </c>
      <c r="V302" s="3"/>
      <c r="W302" s="3"/>
      <c r="X302" s="3"/>
      <c r="Y302" s="3"/>
      <c r="AA302" s="1483" t="s">
        <v>2730</v>
      </c>
      <c r="AB302" s="1388"/>
      <c r="AC302" s="1388"/>
      <c r="AD302" s="1388"/>
      <c r="AE302" s="1388"/>
      <c r="AF302" s="1388"/>
      <c r="AG302" s="1423"/>
      <c r="AH302" s="1423"/>
      <c r="AI302" s="1423"/>
      <c r="AJ302" s="1423"/>
      <c r="AK302" s="1423"/>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422" t="s">
        <v>2689</v>
      </c>
      <c r="I304" s="1423"/>
      <c r="J304" s="1423"/>
      <c r="K304" s="1423"/>
      <c r="L304" s="1423"/>
      <c r="M304" s="1423"/>
      <c r="N304" s="1423"/>
      <c r="O304" s="1423"/>
      <c r="P304" s="1423"/>
      <c r="Q304" s="1423"/>
      <c r="R304" s="1423"/>
      <c r="T304" s="3" t="s">
        <v>363</v>
      </c>
      <c r="V304" s="3"/>
      <c r="W304" s="3"/>
      <c r="X304" s="3"/>
      <c r="Y304" s="3"/>
      <c r="AA304" s="1422" t="s">
        <v>2721</v>
      </c>
      <c r="AB304" s="1423"/>
      <c r="AC304" s="1423"/>
      <c r="AD304" s="1423"/>
      <c r="AE304" s="1423"/>
      <c r="AF304" s="1423"/>
      <c r="AG304" s="1423"/>
      <c r="AH304" s="1423"/>
      <c r="AI304" s="1423"/>
      <c r="AJ304" s="1423"/>
      <c r="AK304" s="1423"/>
    </row>
    <row r="305" spans="2:72" ht="12.9" customHeight="1">
      <c r="B305" s="3" t="s">
        <v>470</v>
      </c>
      <c r="C305" s="3"/>
      <c r="D305" s="3"/>
      <c r="E305" s="3"/>
      <c r="F305" s="3"/>
      <c r="H305" s="1483" t="s">
        <v>2690</v>
      </c>
      <c r="I305" s="1388"/>
      <c r="J305" s="1388"/>
      <c r="K305" s="1388"/>
      <c r="L305" s="1388"/>
      <c r="M305" s="1388"/>
      <c r="N305" s="1388"/>
      <c r="O305" s="1388"/>
      <c r="P305" s="1388"/>
      <c r="Q305" s="1388"/>
      <c r="R305" s="1388"/>
      <c r="T305" s="3" t="s">
        <v>470</v>
      </c>
      <c r="V305" s="3"/>
      <c r="W305" s="3"/>
      <c r="X305" s="3"/>
      <c r="Y305" s="3"/>
      <c r="AA305" s="1388"/>
      <c r="AB305" s="1388"/>
      <c r="AC305" s="1388"/>
      <c r="AD305" s="1388"/>
      <c r="AE305" s="1388"/>
      <c r="AF305" s="1388"/>
      <c r="AG305" s="1388"/>
      <c r="AH305" s="1388"/>
      <c r="AI305" s="1388"/>
      <c r="AJ305" s="1388"/>
      <c r="AK305" s="138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471</v>
      </c>
      <c r="C306" s="3"/>
      <c r="D306" s="3"/>
      <c r="E306" s="3"/>
      <c r="F306" s="3"/>
      <c r="H306" s="1483" t="s">
        <v>2691</v>
      </c>
      <c r="I306" s="1388"/>
      <c r="J306" s="1388"/>
      <c r="K306" s="1388"/>
      <c r="L306" s="1388"/>
      <c r="M306" s="1388"/>
      <c r="N306" s="1388"/>
      <c r="O306" s="1388"/>
      <c r="P306" s="1388"/>
      <c r="Q306" s="1388"/>
      <c r="R306" s="1388"/>
      <c r="T306" s="3" t="s">
        <v>75</v>
      </c>
      <c r="V306" s="3"/>
      <c r="W306" s="3"/>
      <c r="X306" s="3"/>
      <c r="Y306" s="3"/>
      <c r="AA306" s="1388"/>
      <c r="AB306" s="1388"/>
      <c r="AC306" s="1388"/>
      <c r="AD306" s="1388"/>
      <c r="AE306" s="1388"/>
      <c r="AF306" s="1388"/>
      <c r="AG306" s="1388"/>
      <c r="AH306" s="1388"/>
      <c r="AI306" s="1388"/>
      <c r="AJ306" s="1388"/>
      <c r="AK306" s="138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483" t="s">
        <v>2688</v>
      </c>
      <c r="I307" s="1388"/>
      <c r="J307" s="1388"/>
      <c r="K307" s="1388"/>
      <c r="L307" s="1388"/>
      <c r="M307" s="1388"/>
      <c r="N307" s="1388"/>
      <c r="O307" s="1388"/>
      <c r="P307" s="1388"/>
      <c r="Q307" s="1388"/>
      <c r="R307" s="1388"/>
      <c r="T307" s="3" t="s">
        <v>87</v>
      </c>
      <c r="V307" s="3"/>
      <c r="W307" s="3"/>
      <c r="X307" s="3"/>
      <c r="Y307" s="3"/>
      <c r="AA307" s="1388"/>
      <c r="AB307" s="1388"/>
      <c r="AC307" s="1388"/>
      <c r="AD307" s="1388"/>
      <c r="AE307" s="1388"/>
      <c r="AF307" s="1388"/>
      <c r="AG307" s="1388"/>
      <c r="AH307" s="1388"/>
      <c r="AI307" s="1388"/>
      <c r="AJ307" s="1388"/>
      <c r="AK307" s="1388"/>
    </row>
    <row r="308" spans="2:72" ht="12.9" customHeight="1">
      <c r="B308" s="3" t="s">
        <v>88</v>
      </c>
      <c r="C308" s="3"/>
      <c r="D308" s="3"/>
      <c r="E308" s="3"/>
      <c r="F308" s="3"/>
      <c r="G308" s="3"/>
      <c r="H308" s="1579" t="s">
        <v>2692</v>
      </c>
      <c r="I308" s="1555"/>
      <c r="J308" s="1555"/>
      <c r="K308" s="1555"/>
      <c r="L308" s="1555"/>
      <c r="M308" s="1555"/>
      <c r="N308" s="4" t="s">
        <v>205</v>
      </c>
      <c r="O308" s="4"/>
      <c r="P308" s="1535"/>
      <c r="Q308" s="1535"/>
      <c r="R308" s="1535"/>
      <c r="S308" s="3"/>
      <c r="T308" s="3" t="s">
        <v>88</v>
      </c>
      <c r="V308" s="3"/>
      <c r="W308" s="3"/>
      <c r="X308" s="3"/>
      <c r="Y308" s="3"/>
      <c r="AA308" s="1555"/>
      <c r="AB308" s="1555"/>
      <c r="AC308" s="1555"/>
      <c r="AD308" s="1555"/>
      <c r="AE308" s="1555"/>
      <c r="AF308" s="1555"/>
      <c r="AG308" s="4" t="s">
        <v>205</v>
      </c>
      <c r="AH308" s="4"/>
      <c r="AI308" s="1535"/>
      <c r="AJ308" s="1535"/>
      <c r="AK308" s="1535"/>
    </row>
    <row r="309" spans="2:72" ht="12.9" customHeight="1">
      <c r="B309" s="3" t="s">
        <v>89</v>
      </c>
      <c r="C309" s="3"/>
      <c r="D309" s="3"/>
      <c r="E309" s="3"/>
      <c r="F309" s="3"/>
      <c r="G309" s="3"/>
      <c r="H309" s="1559" t="s">
        <v>2693</v>
      </c>
      <c r="I309" s="1495"/>
      <c r="J309" s="1495"/>
      <c r="K309" s="1495"/>
      <c r="L309" s="1495"/>
      <c r="M309" s="1495"/>
      <c r="N309" s="4"/>
      <c r="O309" s="4"/>
      <c r="P309" s="35"/>
      <c r="Q309" s="35"/>
      <c r="R309" s="35"/>
      <c r="S309" s="3"/>
      <c r="T309" s="3" t="s">
        <v>89</v>
      </c>
      <c r="V309" s="3"/>
      <c r="W309" s="3"/>
      <c r="X309" s="3"/>
      <c r="Y309" s="3"/>
      <c r="AA309" s="1495"/>
      <c r="AB309" s="1495"/>
      <c r="AC309" s="1495"/>
      <c r="AD309" s="1495"/>
      <c r="AE309" s="1495"/>
      <c r="AF309" s="1495"/>
      <c r="AG309" s="4"/>
      <c r="AH309" s="4"/>
      <c r="AI309" s="35"/>
      <c r="AJ309" s="35"/>
      <c r="AK309" s="35"/>
    </row>
    <row r="310" spans="2:72" ht="12.9" customHeight="1">
      <c r="B310" s="3" t="s">
        <v>76</v>
      </c>
      <c r="C310" s="3"/>
      <c r="D310" s="3"/>
      <c r="E310" s="3"/>
      <c r="F310" s="3"/>
      <c r="G310" s="3"/>
      <c r="H310" s="1483" t="s">
        <v>2694</v>
      </c>
      <c r="I310" s="1388"/>
      <c r="J310" s="1388"/>
      <c r="K310" s="1388"/>
      <c r="L310" s="1388"/>
      <c r="M310" s="1388"/>
      <c r="N310" s="1423"/>
      <c r="O310" s="1423"/>
      <c r="P310" s="1423"/>
      <c r="Q310" s="1423"/>
      <c r="R310" s="1423"/>
      <c r="S310" s="3"/>
      <c r="T310" s="3" t="s">
        <v>76</v>
      </c>
      <c r="V310" s="3"/>
      <c r="W310" s="3"/>
      <c r="X310" s="3"/>
      <c r="Y310" s="3"/>
      <c r="AA310" s="1388"/>
      <c r="AB310" s="1388"/>
      <c r="AC310" s="1388"/>
      <c r="AD310" s="1388"/>
      <c r="AE310" s="1388"/>
      <c r="AF310" s="1388"/>
      <c r="AG310" s="1423"/>
      <c r="AH310" s="1423"/>
      <c r="AI310" s="1423"/>
      <c r="AJ310" s="1423"/>
      <c r="AK310" s="1423"/>
    </row>
    <row r="311" spans="2:72" ht="12.9" customHeight="1"/>
    <row r="312" spans="2:72" ht="12.9" customHeight="1">
      <c r="B312" s="3" t="s">
        <v>77</v>
      </c>
      <c r="C312" s="3"/>
      <c r="D312" s="3"/>
      <c r="E312" s="3"/>
      <c r="F312" s="3"/>
      <c r="H312" s="1423" t="s">
        <v>2689</v>
      </c>
      <c r="I312" s="1423"/>
      <c r="J312" s="1423"/>
      <c r="K312" s="1423"/>
      <c r="L312" s="1423"/>
      <c r="M312" s="1423"/>
      <c r="N312" s="1423"/>
      <c r="O312" s="1423"/>
      <c r="P312" s="1423"/>
      <c r="Q312" s="1423"/>
      <c r="R312" s="1423"/>
      <c r="T312" s="4" t="s">
        <v>877</v>
      </c>
      <c r="V312" s="3"/>
      <c r="W312" s="3"/>
      <c r="X312" s="3"/>
      <c r="Y312" s="3"/>
      <c r="AA312" s="1422" t="s">
        <v>2731</v>
      </c>
      <c r="AB312" s="1423"/>
      <c r="AC312" s="1423"/>
      <c r="AD312" s="1423"/>
      <c r="AE312" s="1423"/>
      <c r="AF312" s="1423"/>
      <c r="AG312" s="1423"/>
      <c r="AH312" s="1423"/>
      <c r="AI312" s="1423"/>
      <c r="AJ312" s="1423"/>
      <c r="AK312" s="1423"/>
    </row>
    <row r="313" spans="2:72" ht="12.9" customHeight="1">
      <c r="B313" s="3" t="s">
        <v>470</v>
      </c>
      <c r="C313" s="3"/>
      <c r="D313" s="3"/>
      <c r="E313" s="3"/>
      <c r="F313" s="3"/>
      <c r="H313" s="1388" t="s">
        <v>2690</v>
      </c>
      <c r="I313" s="1388"/>
      <c r="J313" s="1388"/>
      <c r="K313" s="1388"/>
      <c r="L313" s="1388"/>
      <c r="M313" s="1388"/>
      <c r="N313" s="1388"/>
      <c r="O313" s="1388"/>
      <c r="P313" s="1388"/>
      <c r="Q313" s="1388"/>
      <c r="R313" s="1388"/>
      <c r="T313" s="3" t="s">
        <v>470</v>
      </c>
      <c r="V313" s="3"/>
      <c r="W313" s="3"/>
      <c r="X313" s="3"/>
      <c r="Y313" s="3"/>
      <c r="AA313" s="1483" t="s">
        <v>2735</v>
      </c>
      <c r="AB313" s="1388"/>
      <c r="AC313" s="1388"/>
      <c r="AD313" s="1388"/>
      <c r="AE313" s="1388"/>
      <c r="AF313" s="1388"/>
      <c r="AG313" s="1388"/>
      <c r="AH313" s="1388"/>
      <c r="AI313" s="1388"/>
      <c r="AJ313" s="1388"/>
      <c r="AK313" s="1388"/>
    </row>
    <row r="314" spans="2:72" ht="12.9" customHeight="1">
      <c r="B314" s="3" t="s">
        <v>471</v>
      </c>
      <c r="C314" s="3"/>
      <c r="D314" s="3"/>
      <c r="E314" s="3"/>
      <c r="F314" s="3"/>
      <c r="H314" s="1388" t="s">
        <v>2691</v>
      </c>
      <c r="I314" s="1388"/>
      <c r="J314" s="1388"/>
      <c r="K314" s="1388"/>
      <c r="L314" s="1388"/>
      <c r="M314" s="1388"/>
      <c r="N314" s="1388"/>
      <c r="O314" s="1388"/>
      <c r="P314" s="1388"/>
      <c r="Q314" s="1388"/>
      <c r="R314" s="1388"/>
      <c r="T314" s="3" t="s">
        <v>75</v>
      </c>
      <c r="V314" s="3"/>
      <c r="W314" s="3"/>
      <c r="X314" s="3"/>
      <c r="Y314" s="3"/>
      <c r="AA314" s="1483" t="s">
        <v>2727</v>
      </c>
      <c r="AB314" s="1388"/>
      <c r="AC314" s="1388"/>
      <c r="AD314" s="1388"/>
      <c r="AE314" s="1388"/>
      <c r="AF314" s="1388"/>
      <c r="AG314" s="1388"/>
      <c r="AH314" s="1388"/>
      <c r="AI314" s="1388"/>
      <c r="AJ314" s="1388"/>
      <c r="AK314" s="1388"/>
    </row>
    <row r="315" spans="2:72" ht="12.9" customHeight="1">
      <c r="B315" s="3" t="s">
        <v>87</v>
      </c>
      <c r="C315" s="3"/>
      <c r="D315" s="3"/>
      <c r="E315" s="3"/>
      <c r="F315" s="3"/>
      <c r="H315" s="1388" t="s">
        <v>2688</v>
      </c>
      <c r="I315" s="1388"/>
      <c r="J315" s="1388"/>
      <c r="K315" s="1388"/>
      <c r="L315" s="1388"/>
      <c r="M315" s="1388"/>
      <c r="N315" s="1388"/>
      <c r="O315" s="1388"/>
      <c r="P315" s="1388"/>
      <c r="Q315" s="1388"/>
      <c r="R315" s="1388"/>
      <c r="T315" s="3" t="s">
        <v>87</v>
      </c>
      <c r="V315" s="3"/>
      <c r="W315" s="3"/>
      <c r="X315" s="3"/>
      <c r="Y315" s="3"/>
      <c r="AA315" s="1483" t="s">
        <v>2732</v>
      </c>
      <c r="AB315" s="1388"/>
      <c r="AC315" s="1388"/>
      <c r="AD315" s="1388"/>
      <c r="AE315" s="1388"/>
      <c r="AF315" s="1388"/>
      <c r="AG315" s="1388"/>
      <c r="AH315" s="1388"/>
      <c r="AI315" s="1388"/>
      <c r="AJ315" s="1388"/>
      <c r="AK315" s="1388"/>
    </row>
    <row r="316" spans="2:72" ht="12.9" customHeight="1">
      <c r="B316" s="3" t="s">
        <v>88</v>
      </c>
      <c r="C316" s="3"/>
      <c r="D316" s="3"/>
      <c r="E316" s="3"/>
      <c r="F316" s="3"/>
      <c r="G316" s="3"/>
      <c r="H316" s="1555" t="s">
        <v>2692</v>
      </c>
      <c r="I316" s="1555"/>
      <c r="J316" s="1555"/>
      <c r="K316" s="1555"/>
      <c r="L316" s="1555"/>
      <c r="M316" s="1555"/>
      <c r="N316" s="4" t="s">
        <v>205</v>
      </c>
      <c r="O316" s="4"/>
      <c r="P316" s="1535"/>
      <c r="Q316" s="1535"/>
      <c r="R316" s="1535"/>
      <c r="S316" s="3"/>
      <c r="T316" s="3" t="s">
        <v>88</v>
      </c>
      <c r="V316" s="3"/>
      <c r="W316" s="3"/>
      <c r="X316" s="3"/>
      <c r="Y316" s="3"/>
      <c r="AA316" s="1579" t="s">
        <v>2733</v>
      </c>
      <c r="AB316" s="1555"/>
      <c r="AC316" s="1555"/>
      <c r="AD316" s="1555"/>
      <c r="AE316" s="1555"/>
      <c r="AF316" s="1555"/>
      <c r="AG316" s="4" t="s">
        <v>205</v>
      </c>
      <c r="AH316" s="4"/>
      <c r="AI316" s="1535"/>
      <c r="AJ316" s="1535"/>
      <c r="AK316" s="1535"/>
    </row>
    <row r="317" spans="2:72" ht="12.9" customHeight="1">
      <c r="B317" s="3" t="s">
        <v>89</v>
      </c>
      <c r="C317" s="3"/>
      <c r="D317" s="3"/>
      <c r="E317" s="3"/>
      <c r="F317" s="3"/>
      <c r="G317" s="3"/>
      <c r="H317" s="1495" t="s">
        <v>2693</v>
      </c>
      <c r="I317" s="1495"/>
      <c r="J317" s="1495"/>
      <c r="K317" s="1495"/>
      <c r="L317" s="1495"/>
      <c r="M317" s="1495"/>
      <c r="N317" s="4"/>
      <c r="O317" s="4"/>
      <c r="P317" s="35"/>
      <c r="Q317" s="35"/>
      <c r="R317" s="35"/>
      <c r="S317" s="3"/>
      <c r="T317" s="3" t="s">
        <v>89</v>
      </c>
      <c r="V317" s="3"/>
      <c r="W317" s="3"/>
      <c r="X317" s="3"/>
      <c r="Y317" s="3"/>
      <c r="AA317" s="1495"/>
      <c r="AB317" s="1495"/>
      <c r="AC317" s="1495"/>
      <c r="AD317" s="1495"/>
      <c r="AE317" s="1495"/>
      <c r="AF317" s="1495"/>
      <c r="AG317" s="4"/>
      <c r="AH317" s="4"/>
      <c r="AI317" s="35"/>
      <c r="AJ317" s="35"/>
      <c r="AK317" s="35"/>
    </row>
    <row r="318" spans="2:72" ht="12.9" customHeight="1">
      <c r="B318" s="3" t="s">
        <v>76</v>
      </c>
      <c r="C318" s="3"/>
      <c r="D318" s="3"/>
      <c r="E318" s="3"/>
      <c r="F318" s="3"/>
      <c r="G318" s="3"/>
      <c r="H318" s="1388" t="s">
        <v>2694</v>
      </c>
      <c r="I318" s="1388"/>
      <c r="J318" s="1388"/>
      <c r="K318" s="1388"/>
      <c r="L318" s="1388"/>
      <c r="M318" s="1388"/>
      <c r="N318" s="1423"/>
      <c r="O318" s="1423"/>
      <c r="P318" s="1423"/>
      <c r="Q318" s="1423"/>
      <c r="R318" s="1423"/>
      <c r="S318" s="3"/>
      <c r="T318" s="3" t="s">
        <v>76</v>
      </c>
      <c r="V318" s="3"/>
      <c r="W318" s="3"/>
      <c r="X318" s="3"/>
      <c r="Y318" s="3"/>
      <c r="AA318" s="1483" t="s">
        <v>2734</v>
      </c>
      <c r="AB318" s="1388"/>
      <c r="AC318" s="1388"/>
      <c r="AD318" s="1388"/>
      <c r="AE318" s="1388"/>
      <c r="AF318" s="1388"/>
      <c r="AG318" s="1423"/>
      <c r="AH318" s="1423"/>
      <c r="AI318" s="1423"/>
      <c r="AJ318" s="1423"/>
      <c r="AK318" s="1423"/>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906</v>
      </c>
      <c r="C320" s="3"/>
      <c r="D320" s="3"/>
      <c r="E320" s="3"/>
      <c r="F320" s="3"/>
      <c r="H320" s="1422" t="s">
        <v>2722</v>
      </c>
      <c r="I320" s="1423"/>
      <c r="J320" s="1423"/>
      <c r="K320" s="1423"/>
      <c r="L320" s="1423"/>
      <c r="M320" s="1423"/>
      <c r="N320" s="1423"/>
      <c r="O320" s="1423"/>
      <c r="P320" s="1423"/>
      <c r="Q320" s="1423"/>
      <c r="R320" s="1423"/>
      <c r="S320" s="3"/>
      <c r="T320" s="3" t="s">
        <v>364</v>
      </c>
      <c r="V320" s="3"/>
      <c r="W320" s="3"/>
      <c r="X320" s="3"/>
      <c r="Y320" s="3"/>
      <c r="AA320" s="1422" t="s">
        <v>2721</v>
      </c>
      <c r="AB320" s="1423"/>
      <c r="AC320" s="1423"/>
      <c r="AD320" s="1423"/>
      <c r="AE320" s="1423"/>
      <c r="AF320" s="1423"/>
      <c r="AG320" s="1423"/>
      <c r="AH320" s="1423"/>
      <c r="AI320" s="1423"/>
      <c r="AJ320" s="1423"/>
      <c r="AK320" s="1423"/>
    </row>
    <row r="321" spans="2:37" ht="12.9" customHeight="1">
      <c r="B321" s="3" t="s">
        <v>470</v>
      </c>
      <c r="C321" s="3"/>
      <c r="D321" s="3"/>
      <c r="E321" s="3"/>
      <c r="F321" s="3"/>
      <c r="H321" s="1388" t="s">
        <v>2718</v>
      </c>
      <c r="I321" s="1388"/>
      <c r="J321" s="1388"/>
      <c r="K321" s="1388"/>
      <c r="L321" s="1388"/>
      <c r="M321" s="1388"/>
      <c r="N321" s="1388"/>
      <c r="O321" s="1388"/>
      <c r="P321" s="1388"/>
      <c r="Q321" s="1388"/>
      <c r="R321" s="1388"/>
      <c r="S321" s="3"/>
      <c r="T321" s="3" t="s">
        <v>470</v>
      </c>
      <c r="V321" s="3"/>
      <c r="W321" s="3"/>
      <c r="X321" s="3"/>
      <c r="Y321" s="3"/>
      <c r="AA321" s="1388"/>
      <c r="AB321" s="1388"/>
      <c r="AC321" s="1388"/>
      <c r="AD321" s="1388"/>
      <c r="AE321" s="1388"/>
      <c r="AF321" s="1388"/>
      <c r="AG321" s="1388"/>
      <c r="AH321" s="1388"/>
      <c r="AI321" s="1388"/>
      <c r="AJ321" s="1388"/>
      <c r="AK321" s="1388"/>
    </row>
    <row r="322" spans="2:37" ht="12.9" customHeight="1">
      <c r="B322" s="3" t="s">
        <v>471</v>
      </c>
      <c r="C322" s="3"/>
      <c r="D322" s="3"/>
      <c r="E322" s="3"/>
      <c r="F322" s="3"/>
      <c r="H322" s="1388" t="s">
        <v>2719</v>
      </c>
      <c r="I322" s="1388"/>
      <c r="J322" s="1388"/>
      <c r="K322" s="1388"/>
      <c r="L322" s="1388"/>
      <c r="M322" s="1388"/>
      <c r="N322" s="1388"/>
      <c r="O322" s="1388"/>
      <c r="P322" s="1388"/>
      <c r="Q322" s="1388"/>
      <c r="R322" s="1388"/>
      <c r="S322" s="3"/>
      <c r="T322" s="3" t="s">
        <v>75</v>
      </c>
      <c r="V322" s="3"/>
      <c r="W322" s="3"/>
      <c r="X322" s="3"/>
      <c r="Y322" s="3"/>
      <c r="AA322" s="1388"/>
      <c r="AB322" s="1388"/>
      <c r="AC322" s="1388"/>
      <c r="AD322" s="1388"/>
      <c r="AE322" s="1388"/>
      <c r="AF322" s="1388"/>
      <c r="AG322" s="1388"/>
      <c r="AH322" s="1388"/>
      <c r="AI322" s="1388"/>
      <c r="AJ322" s="1388"/>
      <c r="AK322" s="1388"/>
    </row>
    <row r="323" spans="2:37" ht="12.9" customHeight="1">
      <c r="B323" s="3" t="s">
        <v>87</v>
      </c>
      <c r="C323" s="3"/>
      <c r="D323" s="3"/>
      <c r="E323" s="3"/>
      <c r="F323" s="3"/>
      <c r="H323" s="1483" t="s">
        <v>2720</v>
      </c>
      <c r="I323" s="1388"/>
      <c r="J323" s="1388"/>
      <c r="K323" s="1388"/>
      <c r="L323" s="1388"/>
      <c r="M323" s="1388"/>
      <c r="N323" s="1388"/>
      <c r="O323" s="1388"/>
      <c r="P323" s="1388"/>
      <c r="Q323" s="1388"/>
      <c r="R323" s="1388"/>
      <c r="S323" s="3"/>
      <c r="T323" s="3" t="s">
        <v>87</v>
      </c>
      <c r="V323" s="3"/>
      <c r="W323" s="3"/>
      <c r="X323" s="3"/>
      <c r="Y323" s="3"/>
      <c r="AA323" s="1388"/>
      <c r="AB323" s="1388"/>
      <c r="AC323" s="1388"/>
      <c r="AD323" s="1388"/>
      <c r="AE323" s="1388"/>
      <c r="AF323" s="1388"/>
      <c r="AG323" s="1388"/>
      <c r="AH323" s="1388"/>
      <c r="AI323" s="1388"/>
      <c r="AJ323" s="1388"/>
      <c r="AK323" s="1388"/>
    </row>
    <row r="324" spans="2:37" ht="12.9" customHeight="1">
      <c r="B324" s="3" t="s">
        <v>88</v>
      </c>
      <c r="C324" s="3"/>
      <c r="D324" s="3"/>
      <c r="E324" s="3"/>
      <c r="F324" s="3"/>
      <c r="G324" s="3"/>
      <c r="H324" s="1579" t="s">
        <v>2723</v>
      </c>
      <c r="I324" s="1555"/>
      <c r="J324" s="1555"/>
      <c r="K324" s="1555"/>
      <c r="L324" s="1555"/>
      <c r="M324" s="1555"/>
      <c r="N324" s="4" t="s">
        <v>205</v>
      </c>
      <c r="O324" s="4"/>
      <c r="P324" s="1535"/>
      <c r="Q324" s="1535"/>
      <c r="R324" s="1535"/>
      <c r="S324" s="3"/>
      <c r="T324" s="3" t="s">
        <v>88</v>
      </c>
      <c r="V324" s="3"/>
      <c r="W324" s="3"/>
      <c r="X324" s="3"/>
      <c r="Y324" s="3"/>
      <c r="AA324" s="1555"/>
      <c r="AB324" s="1555"/>
      <c r="AC324" s="1555"/>
      <c r="AD324" s="1555"/>
      <c r="AE324" s="1555"/>
      <c r="AF324" s="1555"/>
      <c r="AG324" s="4" t="s">
        <v>205</v>
      </c>
      <c r="AH324" s="4"/>
      <c r="AI324" s="1535"/>
      <c r="AJ324" s="1535"/>
      <c r="AK324" s="1535"/>
    </row>
    <row r="325" spans="2:37" ht="12.9" customHeight="1">
      <c r="B325" s="3" t="s">
        <v>89</v>
      </c>
      <c r="C325" s="3"/>
      <c r="D325" s="3"/>
      <c r="E325" s="3"/>
      <c r="F325" s="3"/>
      <c r="G325" s="3"/>
      <c r="H325" s="1495"/>
      <c r="I325" s="1495"/>
      <c r="J325" s="1495"/>
      <c r="K325" s="1495"/>
      <c r="L325" s="1495"/>
      <c r="M325" s="1495"/>
      <c r="N325" s="4"/>
      <c r="O325" s="4"/>
      <c r="P325" s="35"/>
      <c r="Q325" s="35"/>
      <c r="R325" s="35"/>
      <c r="S325" s="3"/>
      <c r="T325" s="3" t="s">
        <v>89</v>
      </c>
      <c r="V325" s="3"/>
      <c r="W325" s="3"/>
      <c r="X325" s="3"/>
      <c r="Y325" s="3"/>
      <c r="AA325" s="1495"/>
      <c r="AB325" s="1495"/>
      <c r="AC325" s="1495"/>
      <c r="AD325" s="1495"/>
      <c r="AE325" s="1495"/>
      <c r="AF325" s="1495"/>
      <c r="AG325" s="4"/>
      <c r="AH325" s="4"/>
      <c r="AI325" s="35"/>
      <c r="AJ325" s="35"/>
      <c r="AK325" s="35"/>
    </row>
    <row r="326" spans="2:37" ht="12.9" customHeight="1">
      <c r="B326" s="3" t="s">
        <v>76</v>
      </c>
      <c r="C326" s="3"/>
      <c r="D326" s="3"/>
      <c r="E326" s="3"/>
      <c r="F326" s="3"/>
      <c r="G326" s="3"/>
      <c r="H326" s="1483" t="s">
        <v>2724</v>
      </c>
      <c r="I326" s="1388"/>
      <c r="J326" s="1388"/>
      <c r="K326" s="1388"/>
      <c r="L326" s="1388"/>
      <c r="M326" s="1388"/>
      <c r="N326" s="1423"/>
      <c r="O326" s="1423"/>
      <c r="P326" s="1423"/>
      <c r="Q326" s="1423"/>
      <c r="R326" s="1423"/>
      <c r="S326" s="3"/>
      <c r="T326" s="3" t="s">
        <v>76</v>
      </c>
      <c r="V326" s="3"/>
      <c r="W326" s="3"/>
      <c r="X326" s="3"/>
      <c r="Y326" s="3"/>
      <c r="AA326" s="1388"/>
      <c r="AB326" s="1388"/>
      <c r="AC326" s="1388"/>
      <c r="AD326" s="1388"/>
      <c r="AE326" s="1388"/>
      <c r="AF326" s="1388"/>
      <c r="AG326" s="1423"/>
      <c r="AH326" s="1423"/>
      <c r="AI326" s="1423"/>
      <c r="AJ326" s="1423"/>
      <c r="AK326" s="1423"/>
    </row>
    <row r="327" spans="2:37" ht="12.9" customHeight="1"/>
    <row r="328" spans="2:37" ht="12.9" customHeight="1">
      <c r="B328" s="4" t="s">
        <v>907</v>
      </c>
      <c r="C328" s="3"/>
      <c r="D328" s="3"/>
      <c r="E328" s="3"/>
      <c r="F328" s="3"/>
      <c r="H328" s="1583" t="s">
        <v>2695</v>
      </c>
      <c r="I328" s="1583"/>
      <c r="J328" s="1583"/>
      <c r="K328" s="1583"/>
      <c r="L328" s="1583"/>
      <c r="M328" s="1583"/>
      <c r="N328" s="1583"/>
      <c r="O328" s="1583"/>
      <c r="P328" s="1583"/>
      <c r="Q328" s="1583"/>
      <c r="R328" s="1583"/>
      <c r="T328" s="3" t="s">
        <v>365</v>
      </c>
      <c r="V328" s="3"/>
      <c r="W328" s="3"/>
      <c r="X328" s="3"/>
      <c r="Y328" s="3"/>
      <c r="AA328" s="1423" t="s">
        <v>2712</v>
      </c>
      <c r="AB328" s="1423"/>
      <c r="AC328" s="1423"/>
      <c r="AD328" s="1423"/>
      <c r="AE328" s="1423"/>
      <c r="AF328" s="1423"/>
      <c r="AG328" s="1423"/>
      <c r="AH328" s="1423"/>
      <c r="AI328" s="1423"/>
      <c r="AJ328" s="1423"/>
      <c r="AK328" s="1423"/>
    </row>
    <row r="329" spans="2:37" ht="12.9" customHeight="1">
      <c r="B329" s="3" t="s">
        <v>470</v>
      </c>
      <c r="C329" s="3"/>
      <c r="D329" s="3"/>
      <c r="E329" s="3"/>
      <c r="F329" s="3"/>
      <c r="H329" s="1339" t="s">
        <v>2696</v>
      </c>
      <c r="I329" s="1339"/>
      <c r="J329" s="1339"/>
      <c r="K329" s="1339"/>
      <c r="L329" s="1339"/>
      <c r="M329" s="1339"/>
      <c r="N329" s="1339"/>
      <c r="O329" s="1339"/>
      <c r="P329" s="1339"/>
      <c r="Q329" s="1339"/>
      <c r="R329" s="1339"/>
      <c r="T329" s="3" t="s">
        <v>470</v>
      </c>
      <c r="V329" s="3"/>
      <c r="W329" s="3"/>
      <c r="X329" s="3"/>
      <c r="Y329" s="3"/>
      <c r="AA329" s="1388" t="s">
        <v>2713</v>
      </c>
      <c r="AB329" s="1388"/>
      <c r="AC329" s="1388"/>
      <c r="AD329" s="1388"/>
      <c r="AE329" s="1388"/>
      <c r="AF329" s="1388"/>
      <c r="AG329" s="1388"/>
      <c r="AH329" s="1388"/>
      <c r="AI329" s="1388"/>
      <c r="AJ329" s="1388"/>
      <c r="AK329" s="1388"/>
    </row>
    <row r="330" spans="2:37" ht="12.9" customHeight="1">
      <c r="B330" s="3" t="s">
        <v>471</v>
      </c>
      <c r="C330" s="3"/>
      <c r="D330" s="3"/>
      <c r="E330" s="3"/>
      <c r="F330" s="3"/>
      <c r="H330" s="1388" t="s">
        <v>2697</v>
      </c>
      <c r="I330" s="1388"/>
      <c r="J330" s="1388"/>
      <c r="K330" s="1388"/>
      <c r="L330" s="1388"/>
      <c r="M330" s="1388"/>
      <c r="N330" s="1388"/>
      <c r="O330" s="1388"/>
      <c r="P330" s="1388"/>
      <c r="Q330" s="1388"/>
      <c r="R330" s="1388"/>
      <c r="T330" s="3" t="s">
        <v>75</v>
      </c>
      <c r="V330" s="3"/>
      <c r="W330" s="3"/>
      <c r="X330" s="3"/>
      <c r="Y330" s="3"/>
      <c r="AA330" s="1388" t="s">
        <v>2714</v>
      </c>
      <c r="AB330" s="1388"/>
      <c r="AC330" s="1388"/>
      <c r="AD330" s="1388"/>
      <c r="AE330" s="1388"/>
      <c r="AF330" s="1388"/>
      <c r="AG330" s="1388"/>
      <c r="AH330" s="1388"/>
      <c r="AI330" s="1388"/>
      <c r="AJ330" s="1388"/>
      <c r="AK330" s="1388"/>
    </row>
    <row r="331" spans="2:37" ht="12.9" customHeight="1">
      <c r="B331" s="3" t="s">
        <v>87</v>
      </c>
      <c r="C331" s="3"/>
      <c r="D331" s="3"/>
      <c r="E331" s="3"/>
      <c r="F331" s="3"/>
      <c r="H331" s="1388" t="s">
        <v>2698</v>
      </c>
      <c r="I331" s="1388"/>
      <c r="J331" s="1388"/>
      <c r="K331" s="1388"/>
      <c r="L331" s="1388"/>
      <c r="M331" s="1388"/>
      <c r="N331" s="1388"/>
      <c r="O331" s="1388"/>
      <c r="P331" s="1388"/>
      <c r="Q331" s="1388"/>
      <c r="R331" s="1388"/>
      <c r="T331" s="3" t="s">
        <v>87</v>
      </c>
      <c r="V331" s="3"/>
      <c r="W331" s="3"/>
      <c r="X331" s="3"/>
      <c r="Y331" s="3"/>
      <c r="AA331" s="1388" t="s">
        <v>2715</v>
      </c>
      <c r="AB331" s="1388"/>
      <c r="AC331" s="1388"/>
      <c r="AD331" s="1388"/>
      <c r="AE331" s="1388"/>
      <c r="AF331" s="1388"/>
      <c r="AG331" s="1388"/>
      <c r="AH331" s="1388"/>
      <c r="AI331" s="1388"/>
      <c r="AJ331" s="1388"/>
      <c r="AK331" s="1388"/>
    </row>
    <row r="332" spans="2:37" ht="12.9" customHeight="1">
      <c r="B332" s="3" t="s">
        <v>88</v>
      </c>
      <c r="C332" s="3"/>
      <c r="D332" s="3"/>
      <c r="E332" s="3"/>
      <c r="F332" s="3"/>
      <c r="G332" s="3"/>
      <c r="H332" s="1555" t="s">
        <v>2699</v>
      </c>
      <c r="I332" s="1555"/>
      <c r="J332" s="1555"/>
      <c r="K332" s="1555"/>
      <c r="L332" s="1555"/>
      <c r="M332" s="1555"/>
      <c r="N332" s="4" t="s">
        <v>205</v>
      </c>
      <c r="O332" s="4"/>
      <c r="P332" s="1535">
        <v>5</v>
      </c>
      <c r="Q332" s="1535"/>
      <c r="R332" s="1535"/>
      <c r="S332" s="3"/>
      <c r="T332" s="3" t="s">
        <v>88</v>
      </c>
      <c r="V332" s="3"/>
      <c r="W332" s="3"/>
      <c r="X332" s="3"/>
      <c r="Y332" s="3"/>
      <c r="AA332" s="1555" t="s">
        <v>2716</v>
      </c>
      <c r="AB332" s="1555"/>
      <c r="AC332" s="1555"/>
      <c r="AD332" s="1555"/>
      <c r="AE332" s="1555"/>
      <c r="AF332" s="1555"/>
      <c r="AG332" s="4" t="s">
        <v>205</v>
      </c>
      <c r="AH332" s="4"/>
      <c r="AI332" s="1535"/>
      <c r="AJ332" s="1535"/>
      <c r="AK332" s="1535"/>
    </row>
    <row r="333" spans="2:37" ht="12.9" customHeight="1">
      <c r="B333" s="3" t="s">
        <v>89</v>
      </c>
      <c r="C333" s="3"/>
      <c r="D333" s="3"/>
      <c r="E333" s="3"/>
      <c r="F333" s="3"/>
      <c r="G333" s="3"/>
      <c r="H333" s="1495"/>
      <c r="I333" s="1495"/>
      <c r="J333" s="1495"/>
      <c r="K333" s="1495"/>
      <c r="L333" s="1495"/>
      <c r="M333" s="1495"/>
      <c r="N333" s="4"/>
      <c r="O333" s="4"/>
      <c r="P333" s="35"/>
      <c r="Q333" s="35"/>
      <c r="R333" s="35"/>
      <c r="S333" s="3"/>
      <c r="T333" s="3" t="s">
        <v>89</v>
      </c>
      <c r="V333" s="3"/>
      <c r="W333" s="3"/>
      <c r="X333" s="3"/>
      <c r="Y333" s="3"/>
      <c r="AA333" s="1495"/>
      <c r="AB333" s="1495"/>
      <c r="AC333" s="1495"/>
      <c r="AD333" s="1495"/>
      <c r="AE333" s="1495"/>
      <c r="AF333" s="1495"/>
      <c r="AG333" s="4"/>
      <c r="AH333" s="4"/>
      <c r="AI333" s="35"/>
      <c r="AJ333" s="35"/>
      <c r="AK333" s="35"/>
    </row>
    <row r="334" spans="2:37" ht="12.9" customHeight="1">
      <c r="B334" s="3" t="s">
        <v>76</v>
      </c>
      <c r="C334" s="3"/>
      <c r="D334" s="3"/>
      <c r="E334" s="3"/>
      <c r="F334" s="3"/>
      <c r="G334" s="3"/>
      <c r="H334" s="1388" t="s">
        <v>2700</v>
      </c>
      <c r="I334" s="1388"/>
      <c r="J334" s="1388"/>
      <c r="K334" s="1388"/>
      <c r="L334" s="1388"/>
      <c r="M334" s="1388"/>
      <c r="N334" s="1423"/>
      <c r="O334" s="1423"/>
      <c r="P334" s="1423"/>
      <c r="Q334" s="1423"/>
      <c r="R334" s="1423"/>
      <c r="S334" s="3"/>
      <c r="T334" s="3" t="s">
        <v>76</v>
      </c>
      <c r="V334" s="3"/>
      <c r="W334" s="3"/>
      <c r="X334" s="3"/>
      <c r="Y334" s="3"/>
      <c r="AA334" s="1388" t="s">
        <v>2717</v>
      </c>
      <c r="AB334" s="1388"/>
      <c r="AC334" s="1388"/>
      <c r="AD334" s="1388"/>
      <c r="AE334" s="1388"/>
      <c r="AF334" s="1388"/>
      <c r="AG334" s="1423"/>
      <c r="AH334" s="1423"/>
      <c r="AI334" s="1423"/>
      <c r="AJ334" s="1423"/>
      <c r="AK334" s="1423"/>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422" t="s">
        <v>590</v>
      </c>
      <c r="I336" s="1423"/>
      <c r="J336" s="1423"/>
      <c r="K336" s="1423"/>
      <c r="L336" s="1423"/>
      <c r="M336" s="1423"/>
      <c r="N336" s="1423"/>
      <c r="O336" s="1423"/>
      <c r="P336" s="1423"/>
      <c r="Q336" s="1423"/>
      <c r="R336" s="1423"/>
      <c r="T336" s="3" t="s">
        <v>367</v>
      </c>
      <c r="V336" s="3"/>
      <c r="W336" s="3"/>
      <c r="X336" s="3"/>
      <c r="Y336" s="3"/>
      <c r="AA336" s="1422" t="s">
        <v>590</v>
      </c>
      <c r="AB336" s="1423"/>
      <c r="AC336" s="1423"/>
      <c r="AD336" s="1423"/>
      <c r="AE336" s="1423"/>
      <c r="AF336" s="1423"/>
      <c r="AG336" s="1423"/>
      <c r="AH336" s="1423"/>
      <c r="AI336" s="1423"/>
      <c r="AJ336" s="1423"/>
      <c r="AK336" s="1423"/>
    </row>
    <row r="337" spans="2:66" ht="12.9" customHeight="1">
      <c r="B337" s="3" t="s">
        <v>470</v>
      </c>
      <c r="C337" s="3"/>
      <c r="D337" s="3"/>
      <c r="E337" s="3"/>
      <c r="F337" s="3"/>
      <c r="H337" s="1388"/>
      <c r="I337" s="1388"/>
      <c r="J337" s="1388"/>
      <c r="K337" s="1388"/>
      <c r="L337" s="1388"/>
      <c r="M337" s="1388"/>
      <c r="N337" s="1388"/>
      <c r="O337" s="1388"/>
      <c r="P337" s="1388"/>
      <c r="Q337" s="1388"/>
      <c r="R337" s="1388"/>
      <c r="T337" s="3" t="s">
        <v>470</v>
      </c>
      <c r="V337" s="3"/>
      <c r="W337" s="3"/>
      <c r="X337" s="3"/>
      <c r="Y337" s="3"/>
      <c r="AA337" s="1388"/>
      <c r="AB337" s="1388"/>
      <c r="AC337" s="1388"/>
      <c r="AD337" s="1388"/>
      <c r="AE337" s="1388"/>
      <c r="AF337" s="1388"/>
      <c r="AG337" s="1388"/>
      <c r="AH337" s="1388"/>
      <c r="AI337" s="1388"/>
      <c r="AJ337" s="1388"/>
      <c r="AK337" s="1388"/>
    </row>
    <row r="338" spans="2:66" ht="12.9" customHeight="1">
      <c r="B338" s="3" t="s">
        <v>471</v>
      </c>
      <c r="C338" s="3"/>
      <c r="D338" s="3"/>
      <c r="E338" s="3"/>
      <c r="F338" s="3"/>
      <c r="H338" s="1388"/>
      <c r="I338" s="1388"/>
      <c r="J338" s="1388"/>
      <c r="K338" s="1388"/>
      <c r="L338" s="1388"/>
      <c r="M338" s="1388"/>
      <c r="N338" s="1388"/>
      <c r="O338" s="1388"/>
      <c r="P338" s="1388"/>
      <c r="Q338" s="1388"/>
      <c r="R338" s="1388"/>
      <c r="T338" s="3" t="s">
        <v>75</v>
      </c>
      <c r="V338" s="3"/>
      <c r="W338" s="3"/>
      <c r="X338" s="3"/>
      <c r="Y338" s="3"/>
      <c r="AA338" s="1388"/>
      <c r="AB338" s="1388"/>
      <c r="AC338" s="1388"/>
      <c r="AD338" s="1388"/>
      <c r="AE338" s="1388"/>
      <c r="AF338" s="1388"/>
      <c r="AG338" s="1388"/>
      <c r="AH338" s="1388"/>
      <c r="AI338" s="1388"/>
      <c r="AJ338" s="1388"/>
      <c r="AK338" s="1388"/>
    </row>
    <row r="339" spans="2:66" ht="12.9" customHeight="1">
      <c r="B339" s="3" t="s">
        <v>87</v>
      </c>
      <c r="C339" s="3"/>
      <c r="D339" s="3"/>
      <c r="E339" s="3"/>
      <c r="F339" s="3"/>
      <c r="H339" s="1388"/>
      <c r="I339" s="1388"/>
      <c r="J339" s="1388"/>
      <c r="K339" s="1388"/>
      <c r="L339" s="1388"/>
      <c r="M339" s="1388"/>
      <c r="N339" s="1388"/>
      <c r="O339" s="1388"/>
      <c r="P339" s="1388"/>
      <c r="Q339" s="1388"/>
      <c r="R339" s="1388"/>
      <c r="T339" s="3" t="s">
        <v>87</v>
      </c>
      <c r="V339" s="3"/>
      <c r="W339" s="3"/>
      <c r="X339" s="3"/>
      <c r="Y339" s="3"/>
      <c r="AA339" s="1388"/>
      <c r="AB339" s="1388"/>
      <c r="AC339" s="1388"/>
      <c r="AD339" s="1388"/>
      <c r="AE339" s="1388"/>
      <c r="AF339" s="1388"/>
      <c r="AG339" s="1388"/>
      <c r="AH339" s="1388"/>
      <c r="AI339" s="1388"/>
      <c r="AJ339" s="1388"/>
      <c r="AK339" s="1388"/>
    </row>
    <row r="340" spans="2:66" ht="12.9" customHeight="1">
      <c r="B340" s="3" t="s">
        <v>88</v>
      </c>
      <c r="C340" s="3"/>
      <c r="D340" s="3"/>
      <c r="E340" s="3"/>
      <c r="F340" s="3"/>
      <c r="G340" s="3"/>
      <c r="H340" s="1555"/>
      <c r="I340" s="1555"/>
      <c r="J340" s="1555"/>
      <c r="K340" s="1555"/>
      <c r="L340" s="1555"/>
      <c r="M340" s="1555"/>
      <c r="N340" s="4" t="s">
        <v>205</v>
      </c>
      <c r="O340" s="4"/>
      <c r="P340" s="1535"/>
      <c r="Q340" s="1535"/>
      <c r="R340" s="1535"/>
      <c r="S340" s="3"/>
      <c r="T340" s="3" t="s">
        <v>88</v>
      </c>
      <c r="V340" s="3"/>
      <c r="W340" s="3"/>
      <c r="X340" s="3"/>
      <c r="Y340" s="3"/>
      <c r="AA340" s="1555"/>
      <c r="AB340" s="1555"/>
      <c r="AC340" s="1555"/>
      <c r="AD340" s="1555"/>
      <c r="AE340" s="1555"/>
      <c r="AF340" s="1555"/>
      <c r="AG340" s="4" t="s">
        <v>205</v>
      </c>
      <c r="AH340" s="4"/>
      <c r="AI340" s="1535"/>
      <c r="AJ340" s="1535"/>
      <c r="AK340" s="1535"/>
    </row>
    <row r="341" spans="2:66" ht="12.9" customHeight="1">
      <c r="B341" s="3" t="s">
        <v>89</v>
      </c>
      <c r="C341" s="3"/>
      <c r="D341" s="3"/>
      <c r="E341" s="3"/>
      <c r="F341" s="3"/>
      <c r="G341" s="3"/>
      <c r="H341" s="1495"/>
      <c r="I341" s="1495"/>
      <c r="J341" s="1495"/>
      <c r="K341" s="1495"/>
      <c r="L341" s="1495"/>
      <c r="M341" s="1495"/>
      <c r="N341" s="4"/>
      <c r="O341" s="4"/>
      <c r="P341" s="35"/>
      <c r="Q341" s="35"/>
      <c r="R341" s="35"/>
      <c r="S341" s="3"/>
      <c r="T341" s="3" t="s">
        <v>89</v>
      </c>
      <c r="V341" s="3"/>
      <c r="W341" s="3"/>
      <c r="X341" s="3"/>
      <c r="Y341" s="3"/>
      <c r="AA341" s="1495"/>
      <c r="AB341" s="1495"/>
      <c r="AC341" s="1495"/>
      <c r="AD341" s="1495"/>
      <c r="AE341" s="1495"/>
      <c r="AF341" s="1495"/>
      <c r="AG341" s="4"/>
      <c r="AH341" s="4"/>
      <c r="AI341" s="35"/>
      <c r="AJ341" s="35"/>
      <c r="AK341" s="35"/>
    </row>
    <row r="342" spans="2:66" ht="12.9" customHeight="1">
      <c r="B342" s="3" t="s">
        <v>76</v>
      </c>
      <c r="C342" s="3"/>
      <c r="D342" s="3"/>
      <c r="E342" s="3"/>
      <c r="F342" s="3"/>
      <c r="G342" s="3"/>
      <c r="H342" s="1388"/>
      <c r="I342" s="1388"/>
      <c r="J342" s="1388"/>
      <c r="K342" s="1388"/>
      <c r="L342" s="1388"/>
      <c r="M342" s="1388"/>
      <c r="N342" s="1423"/>
      <c r="O342" s="1423"/>
      <c r="P342" s="1423"/>
      <c r="Q342" s="1423"/>
      <c r="R342" s="1423"/>
      <c r="S342" s="3"/>
      <c r="T342" s="3" t="s">
        <v>76</v>
      </c>
      <c r="V342" s="3"/>
      <c r="W342" s="3"/>
      <c r="X342" s="3"/>
      <c r="Y342" s="3"/>
      <c r="AA342" s="1388"/>
      <c r="AB342" s="1388"/>
      <c r="AC342" s="1388"/>
      <c r="AD342" s="1388"/>
      <c r="AE342" s="1388"/>
      <c r="AF342" s="1388"/>
      <c r="AG342" s="1423"/>
      <c r="AH342" s="1423"/>
      <c r="AI342" s="1423"/>
      <c r="AJ342" s="1423"/>
      <c r="AK342" s="1423"/>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423" t="s">
        <v>2701</v>
      </c>
      <c r="I344" s="1423"/>
      <c r="J344" s="1423"/>
      <c r="K344" s="1423"/>
      <c r="L344" s="1423"/>
      <c r="M344" s="1423"/>
      <c r="N344" s="1423"/>
      <c r="O344" s="1423"/>
      <c r="P344" s="1423"/>
      <c r="Q344" s="1423"/>
      <c r="R344" s="1423"/>
      <c r="T344" s="204" t="s">
        <v>885</v>
      </c>
      <c r="V344" s="3"/>
      <c r="W344" s="3"/>
      <c r="X344" s="3"/>
      <c r="Y344" s="3"/>
      <c r="AA344" s="1422" t="s">
        <v>2670</v>
      </c>
      <c r="AB344" s="1423"/>
      <c r="AC344" s="1423"/>
      <c r="AD344" s="1423"/>
      <c r="AE344" s="1423"/>
      <c r="AF344" s="1423"/>
      <c r="AG344" s="1423"/>
      <c r="AH344" s="1423"/>
      <c r="AI344" s="1423"/>
      <c r="AJ344" s="1423"/>
      <c r="AK344" s="1423"/>
    </row>
    <row r="345" spans="2:66" ht="12.9" customHeight="1">
      <c r="B345" s="3" t="s">
        <v>470</v>
      </c>
      <c r="C345" s="3"/>
      <c r="D345" s="3"/>
      <c r="E345" s="3"/>
      <c r="F345" s="3"/>
      <c r="H345" s="1388" t="s">
        <v>2702</v>
      </c>
      <c r="I345" s="1388"/>
      <c r="J345" s="1388"/>
      <c r="K345" s="1388"/>
      <c r="L345" s="1388"/>
      <c r="M345" s="1388"/>
      <c r="N345" s="1388"/>
      <c r="O345" s="1388"/>
      <c r="P345" s="1388"/>
      <c r="Q345" s="1388"/>
      <c r="R345" s="1388"/>
      <c r="T345" s="3" t="s">
        <v>470</v>
      </c>
      <c r="V345" s="3"/>
      <c r="W345" s="3"/>
      <c r="X345" s="3"/>
      <c r="Y345" s="3"/>
      <c r="AA345" s="1388" t="s">
        <v>2679</v>
      </c>
      <c r="AB345" s="1388"/>
      <c r="AC345" s="1388"/>
      <c r="AD345" s="1388"/>
      <c r="AE345" s="1388"/>
      <c r="AF345" s="1388"/>
      <c r="AG345" s="1388"/>
      <c r="AH345" s="1388"/>
      <c r="AI345" s="1388"/>
      <c r="AJ345" s="1388"/>
      <c r="AK345" s="1388"/>
    </row>
    <row r="346" spans="2:66" ht="12.9" customHeight="1">
      <c r="B346" s="3" t="s">
        <v>75</v>
      </c>
      <c r="C346" s="3"/>
      <c r="D346" s="3"/>
      <c r="E346" s="3"/>
      <c r="F346" s="3"/>
      <c r="H346" s="1388" t="s">
        <v>2703</v>
      </c>
      <c r="I346" s="1388"/>
      <c r="J346" s="1388"/>
      <c r="K346" s="1388"/>
      <c r="L346" s="1388"/>
      <c r="M346" s="1388"/>
      <c r="N346" s="1388"/>
      <c r="O346" s="1388"/>
      <c r="P346" s="1388"/>
      <c r="Q346" s="1388"/>
      <c r="R346" s="1388"/>
      <c r="T346" s="3" t="s">
        <v>75</v>
      </c>
      <c r="V346" s="3"/>
      <c r="W346" s="3"/>
      <c r="X346" s="3"/>
      <c r="Y346" s="3"/>
      <c r="AA346" s="1388" t="s">
        <v>2708</v>
      </c>
      <c r="AB346" s="1388"/>
      <c r="AC346" s="1388"/>
      <c r="AD346" s="1388"/>
      <c r="AE346" s="1388"/>
      <c r="AF346" s="1388"/>
      <c r="AG346" s="1388"/>
      <c r="AH346" s="1388"/>
      <c r="AI346" s="1388"/>
      <c r="AJ346" s="1388"/>
      <c r="AK346" s="1388"/>
    </row>
    <row r="347" spans="2:66" ht="12.9" customHeight="1">
      <c r="B347" s="3" t="s">
        <v>87</v>
      </c>
      <c r="C347" s="3"/>
      <c r="D347" s="3"/>
      <c r="E347" s="3"/>
      <c r="F347" s="3"/>
      <c r="G347" s="3"/>
      <c r="H347" s="1388" t="s">
        <v>2704</v>
      </c>
      <c r="I347" s="1388"/>
      <c r="J347" s="1388"/>
      <c r="K347" s="1388"/>
      <c r="L347" s="1388"/>
      <c r="M347" s="1388"/>
      <c r="N347" s="1388"/>
      <c r="O347" s="1388"/>
      <c r="P347" s="1388"/>
      <c r="Q347" s="1388"/>
      <c r="R347" s="1388"/>
      <c r="T347" s="3" t="s">
        <v>87</v>
      </c>
      <c r="V347" s="3"/>
      <c r="W347" s="3"/>
      <c r="X347" s="3"/>
      <c r="Y347" s="3"/>
      <c r="AA347" s="1388" t="s">
        <v>2709</v>
      </c>
      <c r="AB347" s="1388"/>
      <c r="AC347" s="1388"/>
      <c r="AD347" s="1388"/>
      <c r="AE347" s="1388"/>
      <c r="AF347" s="1388"/>
      <c r="AG347" s="1388"/>
      <c r="AH347" s="1388"/>
      <c r="AI347" s="1388"/>
      <c r="AJ347" s="1388"/>
      <c r="AK347" s="1388"/>
    </row>
    <row r="348" spans="2:66" ht="12.9" customHeight="1">
      <c r="B348" s="3" t="s">
        <v>88</v>
      </c>
      <c r="C348" s="3"/>
      <c r="D348" s="3"/>
      <c r="E348" s="3"/>
      <c r="F348" s="3"/>
      <c r="G348" s="3"/>
      <c r="H348" s="1555" t="s">
        <v>2705</v>
      </c>
      <c r="I348" s="1555"/>
      <c r="J348" s="1555"/>
      <c r="K348" s="1555"/>
      <c r="L348" s="1555"/>
      <c r="M348" s="1555"/>
      <c r="N348" s="4" t="s">
        <v>205</v>
      </c>
      <c r="O348" s="4"/>
      <c r="P348" s="1535"/>
      <c r="Q348" s="1535"/>
      <c r="R348" s="1535"/>
      <c r="S348" s="3"/>
      <c r="T348" s="3" t="s">
        <v>88</v>
      </c>
      <c r="V348" s="3"/>
      <c r="W348" s="3"/>
      <c r="X348" s="3"/>
      <c r="Y348" s="3"/>
      <c r="AA348" s="1555" t="s">
        <v>2710</v>
      </c>
      <c r="AB348" s="1555"/>
      <c r="AC348" s="1555"/>
      <c r="AD348" s="1555"/>
      <c r="AE348" s="1555"/>
      <c r="AF348" s="1555"/>
      <c r="AG348" s="4" t="s">
        <v>205</v>
      </c>
      <c r="AH348" s="4"/>
      <c r="AI348" s="1535"/>
      <c r="AJ348" s="1535"/>
      <c r="AK348" s="1535"/>
    </row>
    <row r="349" spans="2:66" ht="12.9" customHeight="1">
      <c r="B349" s="3" t="s">
        <v>89</v>
      </c>
      <c r="C349" s="3"/>
      <c r="D349" s="3"/>
      <c r="E349" s="3"/>
      <c r="F349" s="3"/>
      <c r="G349" s="3"/>
      <c r="H349" s="1495" t="s">
        <v>2706</v>
      </c>
      <c r="I349" s="1495"/>
      <c r="J349" s="1495"/>
      <c r="K349" s="1495"/>
      <c r="L349" s="1495"/>
      <c r="M349" s="1495"/>
      <c r="N349" s="4"/>
      <c r="O349" s="4"/>
      <c r="P349" s="35"/>
      <c r="Q349" s="35"/>
      <c r="R349" s="35"/>
      <c r="S349" s="3"/>
      <c r="T349" s="3" t="s">
        <v>89</v>
      </c>
      <c r="V349" s="3"/>
      <c r="W349" s="3"/>
      <c r="X349" s="3"/>
      <c r="Y349" s="3"/>
      <c r="AA349" s="1495"/>
      <c r="AB349" s="1495"/>
      <c r="AC349" s="1495"/>
      <c r="AD349" s="1495"/>
      <c r="AE349" s="1495"/>
      <c r="AF349" s="1495"/>
      <c r="AG349" s="4"/>
      <c r="AH349" s="4"/>
      <c r="AI349" s="35"/>
      <c r="AJ349" s="35"/>
      <c r="AK349" s="35"/>
    </row>
    <row r="350" spans="2:66" ht="12.9" customHeight="1">
      <c r="B350" s="3" t="s">
        <v>76</v>
      </c>
      <c r="C350" s="3"/>
      <c r="D350" s="3"/>
      <c r="E350" s="3"/>
      <c r="F350" s="3"/>
      <c r="G350" s="3"/>
      <c r="H350" s="1388" t="s">
        <v>2707</v>
      </c>
      <c r="I350" s="1388"/>
      <c r="J350" s="1388"/>
      <c r="K350" s="1388"/>
      <c r="L350" s="1388"/>
      <c r="M350" s="1388"/>
      <c r="N350" s="1423"/>
      <c r="O350" s="1423"/>
      <c r="P350" s="1423"/>
      <c r="Q350" s="1423"/>
      <c r="R350" s="1423"/>
      <c r="S350" s="3"/>
      <c r="T350" s="3" t="s">
        <v>76</v>
      </c>
      <c r="V350" s="3"/>
      <c r="W350" s="3"/>
      <c r="X350" s="3"/>
      <c r="Y350" s="3"/>
      <c r="AA350" s="1388" t="s">
        <v>2711</v>
      </c>
      <c r="AB350" s="1388"/>
      <c r="AC350" s="1388"/>
      <c r="AD350" s="1388"/>
      <c r="AE350" s="1388"/>
      <c r="AF350" s="1388"/>
      <c r="AG350" s="1423"/>
      <c r="AH350" s="1423"/>
      <c r="AI350" s="1423"/>
      <c r="AJ350" s="1423"/>
      <c r="AK350" s="1423"/>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886</v>
      </c>
      <c r="P352" s="1422" t="s">
        <v>590</v>
      </c>
      <c r="Q352" s="1423"/>
      <c r="R352" s="1423"/>
      <c r="S352" s="1423"/>
      <c r="T352" s="1423"/>
      <c r="U352" s="1423"/>
      <c r="V352" s="1423"/>
      <c r="W352" s="1423"/>
      <c r="X352" s="1423"/>
      <c r="Y352" s="1423"/>
      <c r="Z352" s="1423"/>
      <c r="AA352" s="1423"/>
      <c r="AB352" s="1423"/>
      <c r="AC352" s="1423"/>
      <c r="AD352" s="1423"/>
      <c r="AE352" s="1423"/>
      <c r="BN352" t="s">
        <v>668</v>
      </c>
    </row>
    <row r="353" spans="1:66" ht="12.9" customHeight="1">
      <c r="B353" s="4"/>
      <c r="C353" s="4"/>
      <c r="D353" s="4"/>
      <c r="E353" s="4"/>
      <c r="F353" s="4"/>
      <c r="I353" s="4" t="s">
        <v>470</v>
      </c>
      <c r="P353" s="1388"/>
      <c r="Q353" s="1388"/>
      <c r="R353" s="1388"/>
      <c r="S353" s="1388"/>
      <c r="T353" s="1388"/>
      <c r="U353" s="1388"/>
      <c r="V353" s="1388"/>
      <c r="W353" s="1388"/>
      <c r="X353" s="1388"/>
      <c r="Y353" s="1388"/>
      <c r="Z353" s="1388"/>
      <c r="AA353" s="1388"/>
      <c r="AB353" s="1388"/>
      <c r="AC353" s="1388"/>
      <c r="AD353" s="1388"/>
      <c r="AE353" s="1388"/>
      <c r="BN353" t="s">
        <v>544</v>
      </c>
    </row>
    <row r="354" spans="1:66" ht="12.9" customHeight="1">
      <c r="B354" s="4"/>
      <c r="C354" s="4"/>
      <c r="D354" s="4"/>
      <c r="E354" s="4"/>
      <c r="F354" s="4"/>
      <c r="I354" s="4" t="s">
        <v>75</v>
      </c>
      <c r="P354" s="1388"/>
      <c r="Q354" s="1388"/>
      <c r="R354" s="1388"/>
      <c r="S354" s="1388"/>
      <c r="T354" s="1388"/>
      <c r="U354" s="1388"/>
      <c r="V354" s="1388"/>
      <c r="W354" s="1388"/>
      <c r="X354" s="1388"/>
      <c r="Y354" s="1388"/>
      <c r="Z354" s="1388"/>
      <c r="AA354" s="1388"/>
      <c r="AB354" s="1388"/>
      <c r="AC354" s="1388"/>
      <c r="AD354" s="1388"/>
      <c r="AE354" s="1388"/>
    </row>
    <row r="355" spans="1:66" ht="12.9" customHeight="1">
      <c r="B355" s="4"/>
      <c r="C355" s="4"/>
      <c r="D355" s="4"/>
      <c r="E355" s="4"/>
      <c r="F355" s="4"/>
      <c r="G355" s="4"/>
      <c r="I355" s="4" t="s">
        <v>87</v>
      </c>
      <c r="P355" s="1388"/>
      <c r="Q355" s="1388"/>
      <c r="R355" s="1388"/>
      <c r="S355" s="1388"/>
      <c r="T355" s="1388"/>
      <c r="U355" s="1388"/>
      <c r="V355" s="1388"/>
      <c r="W355" s="1388"/>
      <c r="X355" s="1388"/>
      <c r="Y355" s="1388"/>
      <c r="Z355" s="1388"/>
      <c r="AA355" s="1388"/>
      <c r="AB355" s="1388"/>
      <c r="AC355" s="1388"/>
      <c r="AD355" s="1388"/>
      <c r="AE355" s="1388"/>
    </row>
    <row r="356" spans="1:66" ht="12.9" customHeight="1">
      <c r="B356" s="4"/>
      <c r="C356" s="4"/>
      <c r="D356" s="4"/>
      <c r="E356" s="4"/>
      <c r="F356" s="4"/>
      <c r="G356" s="4"/>
      <c r="H356" s="302"/>
      <c r="I356" s="4" t="s">
        <v>88</v>
      </c>
      <c r="P356" s="1495"/>
      <c r="Q356" s="1495"/>
      <c r="R356" s="1495"/>
      <c r="S356" s="1495"/>
      <c r="T356" s="1495"/>
      <c r="U356" s="1495"/>
      <c r="V356" s="1495"/>
      <c r="W356" s="1495"/>
      <c r="X356" s="1495"/>
      <c r="Y356" s="1495"/>
      <c r="Z356" s="1495"/>
      <c r="AA356" s="4" t="s">
        <v>205</v>
      </c>
      <c r="AB356" s="4"/>
      <c r="AC356" s="1484"/>
      <c r="AD356" s="1484"/>
      <c r="AE356" s="1484"/>
      <c r="AF356" s="302"/>
      <c r="AG356" s="4"/>
      <c r="AH356" s="4"/>
      <c r="AI356" s="4"/>
      <c r="AJ356" s="4"/>
      <c r="AK356" s="4"/>
    </row>
    <row r="357" spans="1:66" ht="12.9" customHeight="1">
      <c r="B357" s="4"/>
      <c r="C357" s="4"/>
      <c r="D357" s="4"/>
      <c r="E357" s="4"/>
      <c r="F357" s="4"/>
      <c r="G357" s="4"/>
      <c r="H357" s="302"/>
      <c r="I357" s="4" t="s">
        <v>89</v>
      </c>
      <c r="P357" s="1495"/>
      <c r="Q357" s="1495"/>
      <c r="R357" s="1495"/>
      <c r="S357" s="1495"/>
      <c r="T357" s="1495"/>
      <c r="U357" s="1495"/>
      <c r="V357" s="1495"/>
      <c r="W357" s="1495"/>
      <c r="X357" s="1495"/>
      <c r="Y357" s="1495"/>
      <c r="Z357" s="1495"/>
      <c r="AF357" s="302"/>
      <c r="AG357" s="4"/>
      <c r="AH357" s="4"/>
      <c r="AI357" s="35"/>
      <c r="AJ357" s="35"/>
      <c r="AK357" s="35"/>
    </row>
    <row r="358" spans="1:66" ht="12.9" customHeight="1">
      <c r="B358" s="4"/>
      <c r="C358" s="4"/>
      <c r="D358" s="4"/>
      <c r="E358" s="4"/>
      <c r="F358" s="4"/>
      <c r="G358" s="4"/>
      <c r="I358" s="4" t="s">
        <v>76</v>
      </c>
      <c r="P358" s="1423"/>
      <c r="Q358" s="1423"/>
      <c r="R358" s="1423"/>
      <c r="S358" s="1423"/>
      <c r="T358" s="1423"/>
      <c r="U358" s="1423"/>
      <c r="V358" s="1423"/>
      <c r="W358" s="1423"/>
      <c r="X358" s="1423"/>
      <c r="Y358" s="1423"/>
      <c r="Z358" s="1423"/>
      <c r="AA358" s="1423"/>
      <c r="AB358" s="1423"/>
      <c r="AC358" s="1423"/>
      <c r="AD358" s="1423"/>
      <c r="AE358" s="1423"/>
    </row>
    <row r="359" spans="1:66" ht="12.9" customHeight="1">
      <c r="T359" s="8"/>
      <c r="U359" s="8"/>
      <c r="V359" s="8"/>
      <c r="W359" s="8"/>
      <c r="X359" s="8"/>
      <c r="Y359" s="8"/>
      <c r="Z359" s="8"/>
      <c r="AU359" s="95"/>
      <c r="AV359" s="95"/>
      <c r="AW359" s="95"/>
      <c r="AX359" s="95"/>
      <c r="AY359" s="95"/>
    </row>
    <row r="360" spans="1:66" ht="12.9" customHeight="1">
      <c r="A360" s="1547" t="s">
        <v>541</v>
      </c>
      <c r="B360" s="1547"/>
      <c r="C360" s="1547"/>
      <c r="D360" s="1547"/>
      <c r="E360" s="1547"/>
      <c r="F360" s="1547"/>
      <c r="G360" s="1547"/>
      <c r="H360" s="1547"/>
      <c r="I360" s="1547"/>
      <c r="J360" s="1547"/>
      <c r="K360" s="1547"/>
      <c r="L360" s="1547"/>
      <c r="M360" s="1547"/>
      <c r="N360" s="1547"/>
      <c r="O360" s="1547"/>
      <c r="P360" s="1547"/>
      <c r="Q360" s="1547"/>
      <c r="R360" s="1547"/>
      <c r="S360" s="1547"/>
      <c r="T360" s="1547"/>
      <c r="U360" s="1547"/>
      <c r="V360" s="1547"/>
      <c r="W360" s="1547"/>
      <c r="X360" s="1547"/>
      <c r="Y360" s="1547"/>
      <c r="Z360" s="1547"/>
      <c r="AA360" s="1547"/>
      <c r="AB360" s="1547"/>
      <c r="AC360" s="1547"/>
      <c r="AD360" s="1547"/>
      <c r="AE360" s="1547"/>
      <c r="AF360" s="1547"/>
      <c r="AG360" s="1547"/>
      <c r="AH360" s="1547"/>
      <c r="AI360" s="1547"/>
      <c r="AJ360" s="1547"/>
      <c r="AK360" s="1547"/>
      <c r="AL360" s="1547"/>
      <c r="AM360" s="1547"/>
      <c r="AN360" s="1547"/>
      <c r="AO360" s="1547"/>
      <c r="AP360" s="1547"/>
      <c r="AQ360" s="1547"/>
      <c r="AR360" s="1547"/>
      <c r="AS360" s="1547"/>
      <c r="AT360" s="1547"/>
      <c r="AU360" s="95"/>
      <c r="AV360" s="95"/>
      <c r="AW360" s="95"/>
      <c r="AX360" s="95"/>
      <c r="AY360" s="95"/>
    </row>
    <row r="361" spans="1:66" ht="12.9" customHeight="1">
      <c r="A361" s="1547"/>
      <c r="B361" s="1547"/>
      <c r="C361" s="1547"/>
      <c r="D361" s="1547"/>
      <c r="E361" s="1547"/>
      <c r="F361" s="1547"/>
      <c r="G361" s="1547"/>
      <c r="H361" s="1547"/>
      <c r="I361" s="1547"/>
      <c r="J361" s="1547"/>
      <c r="K361" s="1547"/>
      <c r="L361" s="1547"/>
      <c r="M361" s="1547"/>
      <c r="N361" s="1547"/>
      <c r="O361" s="1547"/>
      <c r="P361" s="1547"/>
      <c r="Q361" s="1547"/>
      <c r="R361" s="1547"/>
      <c r="S361" s="1547"/>
      <c r="T361" s="1547"/>
      <c r="U361" s="1547"/>
      <c r="V361" s="1547"/>
      <c r="W361" s="1547"/>
      <c r="X361" s="1547"/>
      <c r="Y361" s="1547"/>
      <c r="Z361" s="1547"/>
      <c r="AA361" s="1547"/>
      <c r="AB361" s="1547"/>
      <c r="AC361" s="1547"/>
      <c r="AD361" s="1547"/>
      <c r="AE361" s="1547"/>
      <c r="AF361" s="1547"/>
      <c r="AG361" s="1547"/>
      <c r="AH361" s="1547"/>
      <c r="AI361" s="1547"/>
      <c r="AJ361" s="1547"/>
      <c r="AK361" s="1547"/>
      <c r="AL361" s="1547"/>
      <c r="AM361" s="1547"/>
      <c r="AN361" s="1547"/>
      <c r="AO361" s="1547"/>
      <c r="AP361" s="1547"/>
      <c r="AQ361" s="1547"/>
      <c r="AR361" s="1547"/>
      <c r="AS361" s="1547"/>
      <c r="AT361" s="1547"/>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781</v>
      </c>
    </row>
    <row r="364" spans="1:66" ht="12.9" customHeight="1">
      <c r="D364" s="3" t="s">
        <v>2054</v>
      </c>
      <c r="M364" s="1431" t="s">
        <v>544</v>
      </c>
      <c r="N364" s="1431"/>
      <c r="P364" t="s">
        <v>1638</v>
      </c>
      <c r="AJ364" s="1431" t="s">
        <v>544</v>
      </c>
      <c r="AK364" s="1431"/>
    </row>
    <row r="365" spans="1:66" ht="12.9" customHeight="1">
      <c r="D365" s="3" t="s">
        <v>1627</v>
      </c>
      <c r="M365" s="1431" t="s">
        <v>590</v>
      </c>
      <c r="N365" s="1431"/>
      <c r="P365" s="3" t="s">
        <v>1707</v>
      </c>
      <c r="AJ365" s="1349">
        <v>0</v>
      </c>
      <c r="AK365" s="1349"/>
    </row>
    <row r="366" spans="1:66" ht="12.9" customHeight="1">
      <c r="D366" s="3" t="s">
        <v>703</v>
      </c>
      <c r="M366" s="1431" t="s">
        <v>590</v>
      </c>
      <c r="N366" s="1431"/>
      <c r="P366" t="s">
        <v>1637</v>
      </c>
      <c r="AJ366" s="1431" t="s">
        <v>590</v>
      </c>
      <c r="AK366" s="1431"/>
    </row>
    <row r="367" spans="1:66" ht="12.9" customHeight="1">
      <c r="D367" s="3" t="s">
        <v>704</v>
      </c>
      <c r="M367" s="1431" t="s">
        <v>590</v>
      </c>
      <c r="N367" s="1431"/>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431" t="s">
        <v>590</v>
      </c>
      <c r="O372" s="1431"/>
      <c r="P372" s="40"/>
      <c r="Q372" s="40"/>
      <c r="R372" s="40"/>
      <c r="S372" s="40"/>
      <c r="T372" s="40"/>
      <c r="U372" s="40"/>
      <c r="V372" s="40"/>
      <c r="W372" s="40"/>
      <c r="X372" s="40"/>
      <c r="Y372" s="40"/>
      <c r="Z372" s="40"/>
      <c r="AC372" s="40"/>
      <c r="AD372" s="40"/>
      <c r="AE372" s="40"/>
    </row>
    <row r="373" spans="1:34" ht="12.9" customHeight="1">
      <c r="E373" t="s">
        <v>369</v>
      </c>
      <c r="Y373" s="1431" t="s">
        <v>590</v>
      </c>
      <c r="Z373" s="1431"/>
    </row>
    <row r="374" spans="1:34" ht="12.9" customHeight="1">
      <c r="D374" s="4" t="s">
        <v>977</v>
      </c>
      <c r="Q374" s="1423"/>
      <c r="R374" s="1423"/>
      <c r="S374" s="1423"/>
      <c r="T374" s="1423"/>
      <c r="U374" s="1423"/>
      <c r="V374" s="1423"/>
      <c r="W374" s="1423"/>
      <c r="X374" s="1423"/>
      <c r="Y374" s="1423"/>
      <c r="Z374" s="1423"/>
      <c r="AA374" s="1423"/>
      <c r="AB374" s="1423"/>
      <c r="AC374" s="1423"/>
      <c r="AD374" s="1423"/>
      <c r="AE374" s="1423"/>
      <c r="AF374" s="1423"/>
      <c r="AG374" s="1423"/>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431" t="s">
        <v>590</v>
      </c>
      <c r="K376" s="1431"/>
      <c r="L376" s="40"/>
      <c r="M376" s="40"/>
      <c r="N376" s="40"/>
      <c r="O376" s="40"/>
      <c r="P376" s="40"/>
      <c r="Q376" s="40"/>
      <c r="R376" s="40"/>
      <c r="S376" s="40"/>
      <c r="T376" s="40"/>
      <c r="U376" s="40"/>
      <c r="V376" s="40"/>
      <c r="W376" s="40"/>
      <c r="X376" s="40"/>
      <c r="Y376" s="40"/>
      <c r="Z376" s="40"/>
      <c r="AC376" s="40"/>
      <c r="AD376" s="40"/>
      <c r="AE376" s="40"/>
    </row>
    <row r="377" spans="1:34" ht="12.9" customHeight="1">
      <c r="E377" s="1557" t="s">
        <v>705</v>
      </c>
      <c r="F377" s="1557"/>
      <c r="G377" s="1557"/>
      <c r="H377" s="1557"/>
      <c r="I377" s="1557"/>
      <c r="J377" s="1557"/>
      <c r="K377" s="1557"/>
      <c r="L377" s="1557"/>
      <c r="M377" s="1557"/>
      <c r="N377" s="1557"/>
      <c r="O377" s="1557"/>
      <c r="P377" s="1557"/>
      <c r="Q377" s="1557"/>
      <c r="R377" s="1557"/>
      <c r="S377" s="1557"/>
      <c r="T377" s="1557"/>
      <c r="U377" s="1557"/>
      <c r="V377" s="1557"/>
      <c r="W377" s="1557"/>
      <c r="X377" s="1557"/>
      <c r="Y377" s="1557"/>
      <c r="Z377" s="1557"/>
      <c r="AA377" s="1557"/>
      <c r="AB377" s="1557"/>
      <c r="AC377" s="1557"/>
      <c r="AD377" s="1557"/>
      <c r="AE377" s="1557"/>
      <c r="AF377" s="1557"/>
      <c r="AG377" s="1557"/>
      <c r="AH377" s="1557"/>
    </row>
    <row r="378" spans="1:34" ht="12.9" customHeight="1">
      <c r="E378" s="1557"/>
      <c r="F378" s="1557"/>
      <c r="G378" s="1557"/>
      <c r="H378" s="1557"/>
      <c r="I378" s="1557"/>
      <c r="J378" s="1557"/>
      <c r="K378" s="1557"/>
      <c r="L378" s="1557"/>
      <c r="M378" s="1557"/>
      <c r="N378" s="1557"/>
      <c r="O378" s="1557"/>
      <c r="P378" s="1557"/>
      <c r="Q378" s="1557"/>
      <c r="R378" s="1557"/>
      <c r="S378" s="1557"/>
      <c r="T378" s="1557"/>
      <c r="U378" s="1557"/>
      <c r="V378" s="1557"/>
      <c r="W378" s="1557"/>
      <c r="X378" s="1557"/>
      <c r="Y378" s="1557"/>
      <c r="Z378" s="1557"/>
      <c r="AA378" s="1557"/>
      <c r="AB378" s="1557"/>
      <c r="AC378" s="1557"/>
      <c r="AD378" s="1557"/>
      <c r="AE378" s="1557"/>
      <c r="AF378" s="1557"/>
      <c r="AG378" s="1557"/>
      <c r="AH378" s="1557"/>
    </row>
    <row r="379" spans="1:34" ht="12.9" customHeight="1">
      <c r="E379" s="4" t="s">
        <v>447</v>
      </c>
      <c r="F379" s="4"/>
      <c r="G379" s="4"/>
      <c r="H379" s="4"/>
      <c r="I379" s="4"/>
      <c r="J379" s="4"/>
      <c r="K379" s="4"/>
      <c r="L379" s="4"/>
      <c r="N379" s="1405"/>
      <c r="O379" s="1405"/>
      <c r="P379" s="1405"/>
      <c r="Q379" s="1405"/>
      <c r="R379" s="4"/>
      <c r="U379" s="4" t="s">
        <v>448</v>
      </c>
      <c r="V379" s="4"/>
      <c r="W379" s="4"/>
      <c r="X379" s="4"/>
      <c r="Y379" s="4"/>
      <c r="Z379" s="4"/>
      <c r="AA379" s="4"/>
      <c r="AB379" s="4"/>
      <c r="AC379" s="1405"/>
      <c r="AD379" s="1405"/>
      <c r="AE379" s="1405"/>
      <c r="AF379" s="1405"/>
    </row>
    <row r="380" spans="1:34" ht="12.9" customHeight="1">
      <c r="E380" s="4" t="s">
        <v>449</v>
      </c>
      <c r="F380" s="4"/>
      <c r="G380" s="4"/>
      <c r="H380" s="4"/>
      <c r="I380" s="4"/>
      <c r="J380" s="4"/>
      <c r="K380" s="4"/>
      <c r="L380" s="4"/>
      <c r="N380" s="1405"/>
      <c r="O380" s="1405"/>
      <c r="P380" s="1405"/>
      <c r="Q380" s="1405"/>
      <c r="R380" s="4"/>
      <c r="U380" s="4" t="s">
        <v>0</v>
      </c>
      <c r="V380" s="4"/>
      <c r="W380" s="4"/>
      <c r="X380" s="4"/>
      <c r="Y380" s="4"/>
      <c r="Z380" s="4"/>
      <c r="AA380" s="4"/>
      <c r="AB380" s="4"/>
      <c r="AC380" s="1405"/>
      <c r="AD380" s="1405"/>
      <c r="AE380" s="1405"/>
      <c r="AF380" s="1405"/>
    </row>
    <row r="381" spans="1:34" ht="12.9" customHeight="1">
      <c r="E381" s="4" t="s">
        <v>1</v>
      </c>
      <c r="F381" s="4"/>
      <c r="G381" s="4"/>
      <c r="H381" s="4"/>
      <c r="I381" s="4"/>
      <c r="J381" s="4"/>
      <c r="K381" s="4"/>
      <c r="L381" s="4"/>
      <c r="N381" s="1405"/>
      <c r="O381" s="1405"/>
      <c r="P381" s="1405"/>
      <c r="Q381" s="1405"/>
      <c r="R381" s="4"/>
      <c r="V381" s="4"/>
      <c r="W381" s="4"/>
      <c r="X381" s="4"/>
      <c r="Y381" s="4"/>
      <c r="Z381" s="4"/>
      <c r="AA381" s="4"/>
      <c r="AB381" s="4"/>
    </row>
    <row r="382" spans="1:34" ht="12.9" customHeight="1">
      <c r="E382" s="4" t="s">
        <v>2</v>
      </c>
      <c r="F382" s="4"/>
      <c r="G382" s="4"/>
      <c r="H382" s="4"/>
      <c r="I382" s="4"/>
      <c r="J382" s="4"/>
      <c r="K382" s="4"/>
      <c r="L382" s="4"/>
      <c r="N382" s="1536"/>
      <c r="O382" s="1536"/>
      <c r="P382" s="1536"/>
      <c r="Q382" s="1536"/>
      <c r="R382" s="1536"/>
      <c r="S382" s="1536"/>
      <c r="T382" s="1536"/>
      <c r="U382" s="1536"/>
      <c r="V382" s="1536"/>
      <c r="W382" s="1536"/>
      <c r="X382" s="1536"/>
      <c r="Y382" s="1536"/>
      <c r="Z382" s="1536"/>
      <c r="AA382" s="1536"/>
      <c r="AB382" s="1536"/>
      <c r="AC382" s="1536"/>
      <c r="AD382" s="1536"/>
      <c r="AE382" s="1536"/>
      <c r="AF382" s="1536"/>
    </row>
    <row r="383" spans="1:34" ht="12.9" customHeight="1">
      <c r="E383" s="4"/>
      <c r="F383" s="4"/>
      <c r="G383" s="4"/>
      <c r="H383" s="4"/>
      <c r="I383" s="4"/>
      <c r="J383" s="4"/>
      <c r="K383" s="4"/>
      <c r="L383" s="4"/>
      <c r="N383" s="1537"/>
      <c r="O383" s="1537"/>
      <c r="P383" s="1537"/>
      <c r="Q383" s="1537"/>
      <c r="R383" s="1537"/>
      <c r="S383" s="1537"/>
      <c r="T383" s="1537"/>
      <c r="U383" s="1537"/>
      <c r="V383" s="1537"/>
      <c r="W383" s="1537"/>
      <c r="X383" s="1537"/>
      <c r="Y383" s="1537"/>
      <c r="Z383" s="1537"/>
      <c r="AA383" s="1537"/>
      <c r="AB383" s="1537"/>
      <c r="AC383" s="1537"/>
      <c r="AD383" s="1537"/>
      <c r="AE383" s="1537"/>
      <c r="AF383" s="1537"/>
    </row>
    <row r="384" spans="1:34" ht="12.9" customHeight="1">
      <c r="C384" s="512"/>
      <c r="E384" s="4"/>
      <c r="F384" s="4"/>
      <c r="G384" s="4"/>
      <c r="H384" s="4"/>
      <c r="I384" s="4"/>
      <c r="J384" s="4"/>
      <c r="K384" s="4"/>
      <c r="L384" s="4"/>
    </row>
    <row r="385" spans="1:36" ht="12.9" customHeight="1">
      <c r="D385" s="2" t="s">
        <v>974</v>
      </c>
      <c r="E385" s="2"/>
      <c r="F385" s="4"/>
      <c r="G385" s="4"/>
      <c r="H385" s="4"/>
      <c r="I385" s="4"/>
      <c r="J385" s="4"/>
      <c r="K385" s="4"/>
      <c r="L385" s="4"/>
    </row>
    <row r="386" spans="1:36" ht="12.9" customHeight="1">
      <c r="E386" s="4" t="s">
        <v>2040</v>
      </c>
      <c r="F386" s="4"/>
      <c r="G386" s="4"/>
      <c r="H386" s="4"/>
      <c r="I386" s="4"/>
      <c r="J386" s="4"/>
      <c r="K386" s="4"/>
      <c r="L386" s="4"/>
      <c r="N386" t="s">
        <v>2036</v>
      </c>
      <c r="R386" s="27" t="s">
        <v>304</v>
      </c>
      <c r="S386" s="1453"/>
      <c r="T386" s="1453"/>
      <c r="U386" s="1" t="s">
        <v>305</v>
      </c>
      <c r="V386" s="1453"/>
      <c r="W386" s="1453"/>
      <c r="Y386" t="s">
        <v>2036</v>
      </c>
      <c r="AC386" s="27" t="s">
        <v>304</v>
      </c>
      <c r="AD386" s="1453"/>
      <c r="AE386" s="1453"/>
      <c r="AF386" s="1" t="s">
        <v>305</v>
      </c>
      <c r="AG386" s="1453"/>
      <c r="AH386" s="1453"/>
    </row>
    <row r="387" spans="1:36" ht="12.9" customHeight="1">
      <c r="E387" s="4" t="s">
        <v>986</v>
      </c>
      <c r="F387" s="4"/>
      <c r="G387" s="4"/>
      <c r="H387" s="4"/>
      <c r="I387" s="4"/>
      <c r="J387" s="4"/>
      <c r="K387" s="4"/>
      <c r="L387" s="4"/>
      <c r="N387" s="1453"/>
      <c r="O387" s="1453"/>
      <c r="P387" s="1453"/>
    </row>
    <row r="388" spans="1:36" ht="12.9" customHeight="1">
      <c r="E388" s="204" t="s">
        <v>2041</v>
      </c>
      <c r="F388" s="4"/>
      <c r="G388" s="4"/>
      <c r="H388" s="4"/>
      <c r="I388" s="4"/>
      <c r="J388" s="4"/>
      <c r="K388" s="4"/>
      <c r="L388" s="4"/>
      <c r="AG388" s="1456" t="s">
        <v>590</v>
      </c>
      <c r="AH388" s="1456"/>
    </row>
    <row r="389" spans="1:36" ht="12.9" customHeight="1">
      <c r="E389" s="4"/>
      <c r="F389" s="4"/>
      <c r="G389" s="4" t="s">
        <v>2042</v>
      </c>
      <c r="H389" s="4"/>
      <c r="I389" s="4"/>
      <c r="J389" s="4"/>
      <c r="K389" s="4"/>
      <c r="L389" s="4"/>
      <c r="AG389" s="1456" t="s">
        <v>590</v>
      </c>
      <c r="AH389" s="1456"/>
    </row>
    <row r="390" spans="1:36" ht="12.9" customHeight="1">
      <c r="E390" s="4"/>
      <c r="F390" s="4"/>
      <c r="G390" s="320" t="s">
        <v>987</v>
      </c>
      <c r="H390" s="4"/>
      <c r="I390" s="4"/>
      <c r="J390" s="4"/>
      <c r="K390" s="4"/>
      <c r="L390" s="4"/>
      <c r="V390" s="1431" t="s">
        <v>590</v>
      </c>
      <c r="W390" s="1431"/>
      <c r="Y390" s="22" t="s">
        <v>979</v>
      </c>
    </row>
    <row r="391" spans="1:36" ht="12.9" customHeight="1">
      <c r="E391" s="4" t="s">
        <v>980</v>
      </c>
      <c r="F391" s="4"/>
      <c r="G391" s="4"/>
      <c r="H391" s="4"/>
      <c r="I391" s="4"/>
      <c r="J391" s="4"/>
      <c r="K391" s="4"/>
      <c r="L391" s="4"/>
      <c r="V391" s="1431" t="s">
        <v>590</v>
      </c>
      <c r="W391" s="1431"/>
      <c r="Y391" s="4" t="s">
        <v>981</v>
      </c>
    </row>
    <row r="392" spans="1:36" ht="12.9" customHeight="1"/>
    <row r="393" spans="1:36" ht="12.9" customHeight="1">
      <c r="A393" s="2" t="s">
        <v>78</v>
      </c>
      <c r="B393" s="2"/>
    </row>
    <row r="394" spans="1:36" ht="12.9" customHeight="1">
      <c r="D394" t="s">
        <v>427</v>
      </c>
      <c r="J394" s="1422" t="s">
        <v>2736</v>
      </c>
      <c r="K394" s="1423"/>
      <c r="L394" s="1423"/>
      <c r="M394" s="1423"/>
      <c r="N394" s="1423"/>
      <c r="O394" s="1423"/>
      <c r="P394" s="1423"/>
      <c r="Q394" s="1423"/>
      <c r="R394" s="1423"/>
      <c r="S394" s="1423"/>
      <c r="T394" s="1423"/>
      <c r="U394" s="1423"/>
      <c r="V394" s="8" t="s">
        <v>83</v>
      </c>
      <c r="W394" s="8"/>
      <c r="X394" s="8"/>
      <c r="Y394" s="8"/>
      <c r="Z394" s="8"/>
      <c r="AA394" s="8"/>
      <c r="AB394" s="8"/>
      <c r="AC394" s="1422" t="s">
        <v>2737</v>
      </c>
      <c r="AD394" s="1423"/>
      <c r="AE394" s="1423"/>
      <c r="AF394" s="1423"/>
      <c r="AG394" s="1423"/>
      <c r="AH394" s="1423"/>
      <c r="AI394" s="1423"/>
      <c r="AJ394" s="1423"/>
    </row>
    <row r="395" spans="1:36" ht="12.9" customHeight="1">
      <c r="D395" s="3" t="s">
        <v>1181</v>
      </c>
      <c r="J395" s="1388" t="s">
        <v>2737</v>
      </c>
      <c r="K395" s="1388"/>
      <c r="L395" s="1388"/>
      <c r="M395" s="1388"/>
      <c r="N395" s="1388"/>
      <c r="O395" s="1388"/>
      <c r="P395" s="1388"/>
      <c r="Q395" s="1388"/>
      <c r="R395" s="1388"/>
      <c r="S395" s="1388"/>
      <c r="T395" s="1388"/>
      <c r="U395" s="1388"/>
      <c r="V395" s="3" t="s">
        <v>1181</v>
      </c>
      <c r="W395" s="8"/>
      <c r="X395" s="8"/>
      <c r="Y395" s="8"/>
      <c r="Z395" s="8"/>
      <c r="AA395" s="8"/>
      <c r="AB395" s="8"/>
      <c r="AC395" s="1422" t="s">
        <v>2738</v>
      </c>
      <c r="AD395" s="1423"/>
      <c r="AE395" s="1423"/>
      <c r="AF395" s="1423"/>
      <c r="AG395" s="1423"/>
      <c r="AH395" s="1423"/>
      <c r="AI395" s="1423"/>
      <c r="AJ395" s="1423"/>
    </row>
    <row r="396" spans="1:36" ht="12.9" customHeight="1">
      <c r="D396" s="3" t="s">
        <v>440</v>
      </c>
      <c r="J396" s="1483" t="s">
        <v>2739</v>
      </c>
      <c r="K396" s="1388"/>
      <c r="L396" s="1388"/>
      <c r="M396" s="1388"/>
      <c r="N396" s="1388"/>
      <c r="O396" s="1388"/>
      <c r="P396" s="1388"/>
      <c r="Q396" s="1388"/>
      <c r="R396" s="1388"/>
      <c r="S396" s="1388"/>
      <c r="T396" s="1388"/>
      <c r="U396" s="1388"/>
      <c r="V396" s="3" t="s">
        <v>440</v>
      </c>
      <c r="W396" s="8"/>
      <c r="X396" s="8"/>
      <c r="Y396" s="8"/>
      <c r="Z396" s="8"/>
      <c r="AA396" s="8"/>
      <c r="AB396" s="8"/>
      <c r="AC396" s="1422" t="s">
        <v>2739</v>
      </c>
      <c r="AD396" s="1423"/>
      <c r="AE396" s="1423"/>
      <c r="AF396" s="1423"/>
      <c r="AG396" s="1423"/>
      <c r="AH396" s="1423"/>
      <c r="AI396" s="1423"/>
      <c r="AJ396" s="1423"/>
    </row>
    <row r="397" spans="1:36" ht="12.9" customHeight="1">
      <c r="D397" t="s">
        <v>1177</v>
      </c>
      <c r="J397" s="1445"/>
      <c r="K397" s="1445"/>
      <c r="L397" s="1445"/>
      <c r="M397" s="1445"/>
      <c r="N397" s="1445"/>
      <c r="O397" s="1445"/>
      <c r="P397" s="1445"/>
      <c r="Q397" s="1445"/>
      <c r="R397" s="1445"/>
      <c r="S397" s="1445"/>
      <c r="T397" s="1445"/>
      <c r="U397" s="1445"/>
      <c r="V397" s="1423"/>
      <c r="W397" s="1423"/>
      <c r="X397" s="1423"/>
      <c r="Y397" s="1423"/>
      <c r="Z397" s="1423"/>
      <c r="AA397" s="1423"/>
      <c r="AB397" s="1423"/>
      <c r="AC397" s="1423"/>
      <c r="AD397" s="1423"/>
      <c r="AE397" s="1423"/>
      <c r="AF397" s="1423"/>
      <c r="AG397" s="1423"/>
      <c r="AH397" s="1423"/>
      <c r="AI397" s="1423"/>
      <c r="AJ397" s="1423"/>
    </row>
    <row r="398" spans="1:36" ht="12.9" customHeight="1">
      <c r="D398" t="s">
        <v>4</v>
      </c>
      <c r="Q398" s="1605">
        <v>46051</v>
      </c>
      <c r="R398" s="1605"/>
      <c r="S398" s="1605"/>
      <c r="T398" s="1605"/>
      <c r="U398" s="1605"/>
      <c r="V398" t="s">
        <v>308</v>
      </c>
      <c r="AI398" s="1431" t="s">
        <v>668</v>
      </c>
      <c r="AJ398" s="1431"/>
    </row>
    <row r="399" spans="1:36" ht="12.9" customHeight="1">
      <c r="D399" t="s">
        <v>5</v>
      </c>
      <c r="Q399" s="1541">
        <v>46387</v>
      </c>
      <c r="R399" s="1542"/>
      <c r="S399" s="1542"/>
      <c r="T399" s="1542"/>
      <c r="U399" s="1542"/>
      <c r="W399" s="21" t="s">
        <v>74</v>
      </c>
      <c r="AG399" s="1458"/>
      <c r="AH399" s="1458"/>
      <c r="AI399" s="1458"/>
      <c r="AJ399" s="1458"/>
    </row>
    <row r="400" spans="1:36" ht="12.9" customHeight="1">
      <c r="D400" t="s">
        <v>426</v>
      </c>
      <c r="Q400" s="1459">
        <v>1</v>
      </c>
      <c r="R400" s="1459"/>
      <c r="S400" s="1459"/>
      <c r="T400" s="1459"/>
      <c r="U400" s="1459"/>
      <c r="V400" s="3" t="s">
        <v>1180</v>
      </c>
      <c r="AG400" s="1532">
        <v>46327</v>
      </c>
      <c r="AH400" s="1532"/>
      <c r="AI400" s="1532"/>
      <c r="AJ400" s="1532"/>
    </row>
    <row r="401" spans="4:36" ht="12.9" customHeight="1">
      <c r="D401" t="s">
        <v>88</v>
      </c>
      <c r="I401" s="1555"/>
      <c r="J401" s="1555"/>
      <c r="K401" s="1555"/>
      <c r="L401" s="1555"/>
      <c r="M401" s="1555"/>
      <c r="N401" s="1555"/>
      <c r="Q401" s="4" t="s">
        <v>205</v>
      </c>
      <c r="S401" s="1457"/>
      <c r="T401" s="1457"/>
      <c r="U401" s="1457"/>
      <c r="V401" t="s">
        <v>73</v>
      </c>
      <c r="AI401" s="1431" t="s">
        <v>668</v>
      </c>
      <c r="AJ401" s="1431"/>
    </row>
    <row r="402" spans="4:36" ht="12.9" customHeight="1">
      <c r="D402" t="s">
        <v>309</v>
      </c>
      <c r="Q402" s="1534">
        <v>0</v>
      </c>
      <c r="R402" s="1534"/>
      <c r="S402" s="1534"/>
      <c r="T402" s="1534"/>
      <c r="U402" s="1534"/>
      <c r="V402" t="s">
        <v>310</v>
      </c>
      <c r="AG402" s="1458">
        <v>0</v>
      </c>
      <c r="AH402" s="1458"/>
      <c r="AI402" s="1458"/>
      <c r="AJ402" s="1458"/>
    </row>
    <row r="403" spans="4:36" ht="12.9" customHeight="1">
      <c r="D403" t="s">
        <v>311</v>
      </c>
      <c r="Q403" s="1595">
        <v>1.1597E-2</v>
      </c>
      <c r="R403" s="1595"/>
      <c r="S403" s="1595"/>
      <c r="T403" s="1595"/>
      <c r="U403" s="1595"/>
      <c r="V403" t="s">
        <v>1162</v>
      </c>
      <c r="AG403" s="1458">
        <v>0</v>
      </c>
      <c r="AH403" s="1458"/>
      <c r="AI403" s="1458"/>
      <c r="AJ403" s="1458"/>
    </row>
    <row r="404" spans="4:36" ht="12.9" customHeight="1">
      <c r="D404" t="s">
        <v>1161</v>
      </c>
      <c r="AG404" s="1458">
        <v>0</v>
      </c>
      <c r="AH404" s="1458"/>
      <c r="AI404" s="1458"/>
      <c r="AJ404" s="1458"/>
    </row>
    <row r="405" spans="4:36" ht="12.9" customHeight="1">
      <c r="AG405" s="456"/>
      <c r="AH405" s="456"/>
      <c r="AI405" s="456"/>
      <c r="AJ405" s="456"/>
    </row>
    <row r="406" spans="4:36" ht="12.9" customHeight="1">
      <c r="D406" s="3" t="s">
        <v>2098</v>
      </c>
      <c r="AG406" s="456"/>
      <c r="AH406" s="456"/>
      <c r="AI406" s="1431" t="s">
        <v>544</v>
      </c>
      <c r="AJ406" s="1431"/>
    </row>
    <row r="407" spans="4:36" ht="12.9" customHeight="1">
      <c r="D407" s="3" t="s">
        <v>1655</v>
      </c>
      <c r="T407" s="1475" t="s">
        <v>2736</v>
      </c>
      <c r="U407" s="1476"/>
      <c r="V407" s="1476"/>
      <c r="W407" s="1476"/>
      <c r="X407" s="1476"/>
      <c r="Y407" s="1476"/>
      <c r="Z407" s="1476"/>
      <c r="AA407" s="1476"/>
      <c r="AB407" s="1476"/>
      <c r="AC407" s="1476"/>
      <c r="AD407" s="1476"/>
      <c r="AE407" s="1476"/>
      <c r="AF407" s="1476"/>
      <c r="AG407" s="1476"/>
      <c r="AH407" s="1476"/>
      <c r="AI407" s="1476"/>
      <c r="AJ407" s="1476"/>
    </row>
    <row r="408" spans="4:36" ht="12.9" customHeight="1">
      <c r="D408" s="3" t="s">
        <v>1654</v>
      </c>
      <c r="T408" s="1475" t="s">
        <v>2674</v>
      </c>
      <c r="U408" s="1476"/>
      <c r="V408" s="1476"/>
      <c r="W408" s="1476"/>
      <c r="X408" s="1476"/>
      <c r="Y408" s="1476"/>
      <c r="Z408" s="1476"/>
      <c r="AA408" s="1476"/>
      <c r="AB408" s="1476"/>
      <c r="AC408" s="1476"/>
      <c r="AD408" s="1476"/>
      <c r="AE408" s="1476"/>
      <c r="AF408" s="1476"/>
      <c r="AG408" s="1476"/>
      <c r="AH408" s="1476"/>
      <c r="AI408" s="1476"/>
      <c r="AJ408" s="1476"/>
    </row>
    <row r="409" spans="4:36" ht="12.9" customHeight="1">
      <c r="AG409" s="456"/>
      <c r="AH409" s="456"/>
      <c r="AI409" s="456"/>
      <c r="AJ409" s="456"/>
    </row>
    <row r="410" spans="4:36" ht="12.9" customHeight="1">
      <c r="D410" s="3" t="s">
        <v>1648</v>
      </c>
      <c r="S410" s="1476" t="s">
        <v>668</v>
      </c>
      <c r="T410" s="1476"/>
      <c r="U410" s="1476"/>
      <c r="V410" t="s">
        <v>1649</v>
      </c>
      <c r="AG410" s="1543"/>
      <c r="AH410" s="1543"/>
      <c r="AI410" s="1543"/>
      <c r="AJ410" s="1543"/>
    </row>
    <row r="411" spans="4:36" ht="12.9" customHeight="1">
      <c r="D411" s="3" t="s">
        <v>1646</v>
      </c>
      <c r="S411" s="1476" t="s">
        <v>590</v>
      </c>
      <c r="T411" s="1476"/>
      <c r="U411" s="1476"/>
      <c r="V411" t="s">
        <v>1651</v>
      </c>
      <c r="AE411" s="1531"/>
      <c r="AF411" s="1531"/>
      <c r="AG411" s="1531"/>
      <c r="AH411" s="1531"/>
      <c r="AI411" s="1531"/>
      <c r="AJ411" s="1531"/>
    </row>
    <row r="412" spans="4:36" ht="12.9" customHeight="1">
      <c r="D412" s="3" t="s">
        <v>1647</v>
      </c>
      <c r="K412" s="1533"/>
      <c r="L412" s="1533"/>
      <c r="M412" s="1533"/>
      <c r="N412" s="1533"/>
      <c r="O412" s="1533"/>
      <c r="P412" s="1533"/>
      <c r="Q412" s="1533"/>
      <c r="R412" s="1533"/>
      <c r="S412" s="1533"/>
      <c r="T412" s="1533"/>
      <c r="U412" s="1533"/>
      <c r="V412" s="1533"/>
      <c r="W412" s="1533"/>
      <c r="X412" s="1533"/>
      <c r="Y412" s="1533"/>
      <c r="Z412" s="1533"/>
      <c r="AA412" s="1533"/>
      <c r="AB412" s="1533"/>
      <c r="AC412" s="1533"/>
      <c r="AD412" s="1533"/>
      <c r="AE412" s="1533"/>
      <c r="AF412" s="1533"/>
      <c r="AG412" s="1533"/>
      <c r="AH412" s="1533"/>
      <c r="AI412" s="1533"/>
      <c r="AJ412" s="1533"/>
    </row>
    <row r="413" spans="4:36" ht="12.9" customHeight="1">
      <c r="D413" s="3" t="s">
        <v>1650</v>
      </c>
      <c r="K413" s="1533"/>
      <c r="L413" s="1533"/>
      <c r="M413" s="1533"/>
      <c r="N413" s="1533"/>
      <c r="O413" s="1533"/>
      <c r="P413" s="1533"/>
      <c r="Q413" s="1533"/>
      <c r="R413" s="1533"/>
      <c r="S413" s="1533"/>
      <c r="T413" s="1533"/>
      <c r="U413" s="1533"/>
      <c r="V413" s="1533"/>
      <c r="W413" s="1533"/>
      <c r="X413" s="1533"/>
      <c r="Y413" s="1533"/>
      <c r="Z413" s="1533"/>
      <c r="AA413" s="1533"/>
      <c r="AB413" s="1533"/>
      <c r="AC413" s="1533"/>
      <c r="AD413" s="1533"/>
      <c r="AE413" s="1533"/>
      <c r="AF413" s="1533"/>
      <c r="AG413" s="1533"/>
      <c r="AH413" s="1533"/>
      <c r="AI413" s="1533"/>
      <c r="AJ413" s="1533"/>
    </row>
    <row r="414" spans="4:36" ht="12.9" customHeight="1">
      <c r="D414" s="3" t="s">
        <v>1653</v>
      </c>
      <c r="E414" s="477"/>
      <c r="F414" s="477"/>
      <c r="G414" s="477"/>
      <c r="H414" s="477"/>
      <c r="I414" s="477"/>
      <c r="J414" s="477"/>
      <c r="K414" s="477"/>
      <c r="L414" s="477"/>
      <c r="M414" s="477"/>
      <c r="N414" s="477"/>
      <c r="O414" s="477"/>
      <c r="P414" s="477"/>
      <c r="Q414" s="477"/>
      <c r="R414" s="477"/>
      <c r="S414" s="1455" t="s">
        <v>2741</v>
      </c>
      <c r="T414" s="1455"/>
      <c r="U414" s="1455"/>
      <c r="V414" s="1455"/>
      <c r="W414" s="1455"/>
      <c r="X414" s="1455"/>
      <c r="Y414" s="1455"/>
      <c r="Z414" s="1455"/>
      <c r="AA414" s="1455"/>
      <c r="AB414" s="1455"/>
      <c r="AC414" s="1455"/>
      <c r="AD414" s="1455"/>
      <c r="AE414" s="1455"/>
      <c r="AF414" s="1455"/>
      <c r="AG414" s="1455"/>
      <c r="AH414" s="1455"/>
      <c r="AI414" s="1455"/>
      <c r="AJ414" s="1455"/>
    </row>
    <row r="415" spans="4:36" ht="12.9"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 customHeight="1">
      <c r="AG417" s="456"/>
      <c r="AH417" s="456"/>
      <c r="AI417" s="456"/>
      <c r="AJ417" s="456"/>
    </row>
    <row r="418" spans="1:39" ht="12.9" customHeight="1">
      <c r="A418" s="2" t="s">
        <v>588</v>
      </c>
      <c r="B418" s="2"/>
      <c r="C418" s="2" t="s">
        <v>111</v>
      </c>
    </row>
    <row r="419" spans="1:39" ht="12.9" customHeight="1">
      <c r="B419" s="2"/>
      <c r="C419" s="2"/>
      <c r="D419" s="2" t="s">
        <v>1203</v>
      </c>
      <c r="I419" s="1422" t="s">
        <v>2650</v>
      </c>
      <c r="J419" s="1422"/>
      <c r="K419" s="1422"/>
      <c r="L419" s="1422"/>
      <c r="M419" s="1422"/>
      <c r="N419" s="1422"/>
      <c r="O419" s="1422"/>
      <c r="P419" s="1422"/>
      <c r="Q419" s="1422"/>
      <c r="R419" s="1422"/>
      <c r="S419" s="1422"/>
      <c r="T419" s="1422"/>
      <c r="U419" s="1422"/>
      <c r="V419" s="1422"/>
      <c r="W419" s="1422"/>
      <c r="X419" s="1422"/>
      <c r="Y419" s="1422"/>
      <c r="Z419" s="1422"/>
      <c r="AA419" s="1422"/>
      <c r="AB419" s="1422"/>
      <c r="AC419" s="1422"/>
      <c r="AD419" s="1422"/>
      <c r="AE419" s="1422"/>
    </row>
    <row r="420" spans="1:39" ht="12.9" customHeight="1">
      <c r="E420" t="s">
        <v>106</v>
      </c>
      <c r="R420" s="1431" t="s">
        <v>544</v>
      </c>
      <c r="S420" s="1431"/>
      <c r="AC420" s="27" t="s">
        <v>569</v>
      </c>
      <c r="AD420" s="1405">
        <v>8</v>
      </c>
      <c r="AE420" s="1405"/>
    </row>
    <row r="421" spans="1:39" ht="12.9" customHeight="1">
      <c r="E421" t="s">
        <v>107</v>
      </c>
      <c r="R421" s="1431" t="s">
        <v>590</v>
      </c>
      <c r="S421" s="1431"/>
      <c r="AC421" s="27" t="s">
        <v>569</v>
      </c>
      <c r="AD421" s="1405"/>
      <c r="AE421" s="1405"/>
    </row>
    <row r="422" spans="1:39" ht="12.9" customHeight="1">
      <c r="E422" t="s">
        <v>108</v>
      </c>
      <c r="S422" s="1431" t="s">
        <v>590</v>
      </c>
      <c r="T422" s="1431"/>
    </row>
    <row r="423" spans="1:39" ht="12.9" customHeight="1">
      <c r="E423" t="s">
        <v>169</v>
      </c>
      <c r="H423" s="1596" t="s">
        <v>333</v>
      </c>
      <c r="I423" s="1596"/>
      <c r="J423" s="1596"/>
      <c r="K423" s="1596"/>
      <c r="L423" s="1596"/>
      <c r="M423" s="1596"/>
      <c r="N423" s="1596"/>
      <c r="O423" s="1596"/>
      <c r="P423" s="1596"/>
      <c r="Q423" s="1596"/>
      <c r="R423" s="1596"/>
      <c r="S423" s="1596"/>
      <c r="T423" s="1596"/>
      <c r="U423" s="1596"/>
      <c r="V423" s="1596"/>
      <c r="W423" s="1596"/>
      <c r="X423" s="1596"/>
      <c r="Y423" s="1596"/>
      <c r="Z423" s="1596"/>
      <c r="AA423" s="1596"/>
      <c r="AB423" s="1596"/>
      <c r="AC423" s="1596"/>
      <c r="AD423" s="1596"/>
      <c r="AE423" s="1596"/>
    </row>
    <row r="424" spans="1:39" ht="12.9" customHeight="1">
      <c r="H424" s="1597"/>
      <c r="I424" s="1597"/>
      <c r="J424" s="1597"/>
      <c r="K424" s="1597"/>
      <c r="L424" s="1597"/>
      <c r="M424" s="1597"/>
      <c r="N424" s="1597"/>
      <c r="O424" s="1597"/>
      <c r="P424" s="1597"/>
      <c r="Q424" s="1597"/>
      <c r="R424" s="1597"/>
      <c r="S424" s="1597"/>
      <c r="T424" s="1597"/>
      <c r="U424" s="1597"/>
      <c r="V424" s="1597"/>
      <c r="W424" s="1597"/>
      <c r="X424" s="1597"/>
      <c r="Y424" s="1597"/>
      <c r="Z424" s="1597"/>
      <c r="AA424" s="1597"/>
      <c r="AB424" s="1597"/>
      <c r="AC424" s="1597"/>
      <c r="AD424" s="1597"/>
      <c r="AE424" s="1597"/>
    </row>
    <row r="425" spans="1:39" ht="12.9" customHeight="1"/>
    <row r="426" spans="1:39" ht="12.9" customHeight="1">
      <c r="A426" s="2" t="s">
        <v>589</v>
      </c>
      <c r="B426" s="2"/>
      <c r="C426" s="2"/>
      <c r="D426" s="2" t="s">
        <v>114</v>
      </c>
      <c r="AF426" s="2" t="s">
        <v>956</v>
      </c>
    </row>
    <row r="427" spans="1:39" ht="12.9" customHeight="1">
      <c r="E427" s="1453"/>
      <c r="F427" s="1453"/>
      <c r="G427" s="1453"/>
      <c r="H427" s="13" t="s">
        <v>115</v>
      </c>
      <c r="I427" s="1453"/>
      <c r="J427" s="1453"/>
      <c r="K427" s="1453"/>
      <c r="L427" t="s">
        <v>116</v>
      </c>
      <c r="N427" s="27" t="s">
        <v>574</v>
      </c>
      <c r="P427" s="1599">
        <v>1.91</v>
      </c>
      <c r="Q427" s="1599"/>
      <c r="R427" s="1599"/>
      <c r="S427" t="s">
        <v>117</v>
      </c>
      <c r="W427" s="1454">
        <f>IF(E427&gt;0,(E427*I427),(P427*43560))</f>
        <v>83199.599999999991</v>
      </c>
      <c r="X427" s="1454"/>
      <c r="Y427" s="1454"/>
      <c r="Z427" t="s">
        <v>118</v>
      </c>
      <c r="AF427" s="1600">
        <f>IFERROR(IF(P427&gt;0,(AG446/P427),(AG446/(W427/43560))),0)</f>
        <v>122.51308900523561</v>
      </c>
      <c r="AG427" s="1600"/>
      <c r="AH427" s="1600"/>
      <c r="AM427" s="3"/>
    </row>
    <row r="428" spans="1:39" ht="12.9" customHeight="1">
      <c r="E428" t="s">
        <v>51</v>
      </c>
    </row>
    <row r="429" spans="1:39" ht="12.9" customHeight="1">
      <c r="E429" s="1504"/>
      <c r="F429" s="1504"/>
      <c r="G429" s="1504"/>
      <c r="H429" s="1504"/>
      <c r="I429" s="1504"/>
      <c r="J429" s="1504"/>
      <c r="K429" s="1504"/>
      <c r="L429" s="1504"/>
      <c r="M429" s="1504"/>
      <c r="N429" s="1504"/>
      <c r="O429" s="1504"/>
      <c r="P429" s="1504"/>
      <c r="Q429" s="1504"/>
      <c r="R429" s="1504"/>
      <c r="S429" s="1504"/>
      <c r="T429" s="1504"/>
      <c r="U429" s="1504"/>
      <c r="V429" s="1504"/>
      <c r="W429" s="1504"/>
      <c r="X429" s="1504"/>
      <c r="Y429" s="1504"/>
      <c r="Z429" s="1504"/>
      <c r="AA429" s="1504"/>
      <c r="AB429" s="1504"/>
      <c r="AC429" s="1504"/>
      <c r="AD429" s="1504"/>
      <c r="AE429" s="1504"/>
      <c r="AF429" s="1504"/>
      <c r="AG429" s="1504"/>
      <c r="AH429" s="1504"/>
      <c r="AI429" s="1504"/>
      <c r="AJ429" s="1504"/>
    </row>
    <row r="430" spans="1:39" ht="12.9" customHeight="1">
      <c r="E430" s="118" t="s">
        <v>1724</v>
      </c>
      <c r="F430" s="1008"/>
      <c r="G430" s="1008"/>
      <c r="H430" s="1008"/>
      <c r="I430" s="1598">
        <f>P427</f>
        <v>1.91</v>
      </c>
      <c r="J430" s="1598"/>
      <c r="K430" s="1598"/>
      <c r="L430" s="1008"/>
      <c r="M430" s="118"/>
      <c r="N430" s="1008"/>
      <c r="O430" s="1008"/>
      <c r="P430" s="1674">
        <f>(DU763+DU786+DU808)/I430</f>
        <v>217.27748691099478</v>
      </c>
      <c r="Q430" s="1674"/>
      <c r="R430" s="1674"/>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591</v>
      </c>
      <c r="B432" s="2"/>
      <c r="C432" s="2"/>
      <c r="D432" s="2" t="s">
        <v>120</v>
      </c>
    </row>
    <row r="433" spans="1:36" ht="12.9" customHeight="1">
      <c r="E433" t="s">
        <v>121</v>
      </c>
      <c r="P433" s="1431">
        <v>1</v>
      </c>
      <c r="Q433" s="1431"/>
      <c r="S433" t="s">
        <v>188</v>
      </c>
      <c r="AE433" s="1431">
        <v>1</v>
      </c>
      <c r="AF433" s="1431"/>
    </row>
    <row r="434" spans="1:36" ht="12.9" customHeight="1">
      <c r="E434" t="s">
        <v>189</v>
      </c>
      <c r="P434" s="1431">
        <v>0</v>
      </c>
      <c r="Q434" s="1431"/>
      <c r="S434" t="s">
        <v>131</v>
      </c>
      <c r="AE434" s="1431" t="s">
        <v>544</v>
      </c>
      <c r="AF434" s="1431"/>
    </row>
    <row r="435" spans="1:36" ht="12.9" customHeight="1">
      <c r="F435" s="28" t="s">
        <v>132</v>
      </c>
    </row>
    <row r="436" spans="1:36" ht="12.9" customHeight="1">
      <c r="F436" s="1538" t="s">
        <v>2742</v>
      </c>
      <c r="G436" s="1539"/>
      <c r="H436" s="1539"/>
      <c r="I436" s="1539"/>
      <c r="J436" s="1539"/>
      <c r="K436" s="1539"/>
      <c r="L436" s="1539"/>
      <c r="M436" s="1539"/>
      <c r="N436" s="1539"/>
      <c r="O436" s="1539"/>
      <c r="P436" s="1539"/>
      <c r="Q436" s="1539"/>
      <c r="R436" s="1539"/>
      <c r="S436" s="1539"/>
      <c r="T436" s="1539"/>
      <c r="U436" s="1539"/>
      <c r="V436" s="1539"/>
      <c r="W436" s="1539"/>
      <c r="X436" s="1539"/>
      <c r="Y436" s="1539"/>
      <c r="Z436" s="1539"/>
      <c r="AA436" s="1539"/>
      <c r="AB436" s="1539"/>
      <c r="AC436" s="1539"/>
      <c r="AD436" s="1539"/>
      <c r="AE436" s="1539"/>
      <c r="AF436" s="1539"/>
      <c r="AG436" s="1539"/>
      <c r="AH436" s="1539"/>
    </row>
    <row r="437" spans="1:36" ht="12.9" customHeight="1">
      <c r="F437" s="1540"/>
      <c r="G437" s="1540"/>
      <c r="H437" s="1540"/>
      <c r="I437" s="1540"/>
      <c r="J437" s="1540"/>
      <c r="K437" s="1540"/>
      <c r="L437" s="1540"/>
      <c r="M437" s="1540"/>
      <c r="N437" s="1540"/>
      <c r="O437" s="1540"/>
      <c r="P437" s="1540"/>
      <c r="Q437" s="1540"/>
      <c r="R437" s="1540"/>
      <c r="S437" s="1540"/>
      <c r="T437" s="1540"/>
      <c r="U437" s="1540"/>
      <c r="V437" s="1540"/>
      <c r="W437" s="1540"/>
      <c r="X437" s="1540"/>
      <c r="Y437" s="1540"/>
      <c r="Z437" s="1540"/>
      <c r="AA437" s="1540"/>
      <c r="AB437" s="1540"/>
      <c r="AC437" s="1540"/>
      <c r="AD437" s="1540"/>
      <c r="AE437" s="1540"/>
      <c r="AF437" s="1540"/>
      <c r="AG437" s="1540"/>
      <c r="AH437" s="1540"/>
    </row>
    <row r="438" spans="1:36" ht="12.9" customHeight="1">
      <c r="E438" t="s">
        <v>607</v>
      </c>
      <c r="P438" s="1"/>
      <c r="Q438" s="1431" t="s">
        <v>544</v>
      </c>
      <c r="R438" s="1431"/>
    </row>
    <row r="439" spans="1:36" ht="12.9" customHeight="1">
      <c r="F439" t="s">
        <v>608</v>
      </c>
      <c r="P439" s="1"/>
      <c r="Q439" s="1"/>
      <c r="AF439" s="1431" t="s">
        <v>590</v>
      </c>
      <c r="AG439" s="1506"/>
    </row>
    <row r="440" spans="1:36" ht="12.9" customHeight="1"/>
    <row r="441" spans="1:36" ht="12.9" customHeight="1">
      <c r="A441" s="2"/>
      <c r="B441" s="2"/>
      <c r="C441" s="2"/>
      <c r="E441" s="4" t="s">
        <v>307</v>
      </c>
      <c r="Z441" s="1431" t="s">
        <v>668</v>
      </c>
      <c r="AA441" s="1431"/>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706</v>
      </c>
      <c r="G443" s="40"/>
      <c r="I443" s="40"/>
      <c r="J443" s="40"/>
      <c r="K443" s="40"/>
      <c r="L443" s="40"/>
      <c r="M443" s="40"/>
      <c r="N443" s="40"/>
      <c r="O443" s="28"/>
      <c r="P443" s="40"/>
      <c r="Q443" s="40"/>
      <c r="R443" s="40"/>
      <c r="S443" s="40"/>
      <c r="T443" s="40"/>
      <c r="U443" s="40"/>
      <c r="V443" s="40"/>
      <c r="W443" s="40"/>
      <c r="Z443" s="1431" t="s">
        <v>590</v>
      </c>
      <c r="AA443" s="1431"/>
    </row>
    <row r="444" spans="1:36" ht="12.9" customHeight="1"/>
    <row r="445" spans="1:36" ht="12.9" customHeight="1">
      <c r="A445" s="2" t="s">
        <v>466</v>
      </c>
      <c r="B445" s="2"/>
      <c r="C445" s="2"/>
      <c r="D445" s="2" t="s">
        <v>763</v>
      </c>
      <c r="AF445" s="48"/>
    </row>
    <row r="446" spans="1:36" ht="12.9" customHeight="1">
      <c r="D446" s="1505" t="s">
        <v>43</v>
      </c>
      <c r="E446" s="1451"/>
      <c r="F446" s="1451"/>
      <c r="G446" s="1451"/>
      <c r="H446" s="1451"/>
      <c r="I446" s="1451"/>
      <c r="J446" s="1451"/>
      <c r="K446" s="1451"/>
      <c r="L446" s="1451"/>
      <c r="M446" s="1451"/>
      <c r="N446" s="1451"/>
      <c r="O446" s="1451"/>
      <c r="P446" s="1451"/>
      <c r="Q446" s="1451"/>
      <c r="R446" s="1451"/>
      <c r="S446" s="1451"/>
      <c r="T446" s="1451"/>
      <c r="U446" s="1451"/>
      <c r="V446" s="1451"/>
      <c r="W446" s="1451"/>
      <c r="X446" s="1451"/>
      <c r="Y446" s="1451"/>
      <c r="Z446" s="1451"/>
      <c r="AA446" s="1451"/>
      <c r="AB446" s="1451"/>
      <c r="AC446" s="1451"/>
      <c r="AD446" s="1451"/>
      <c r="AE446" s="1451"/>
      <c r="AF446" s="1452"/>
      <c r="AG446" s="1400">
        <v>234</v>
      </c>
      <c r="AH446" s="1400"/>
      <c r="AI446" s="1400"/>
      <c r="AJ446" s="1400"/>
    </row>
    <row r="447" spans="1:36" ht="12.9" customHeight="1">
      <c r="D447" s="1436" t="s">
        <v>1221</v>
      </c>
      <c r="E447" s="1437"/>
      <c r="F447" s="1437"/>
      <c r="G447" s="1437"/>
      <c r="H447" s="1437"/>
      <c r="I447" s="1437"/>
      <c r="J447" s="1437"/>
      <c r="K447" s="1437"/>
      <c r="L447" s="1437"/>
      <c r="M447" s="1437"/>
      <c r="N447" s="1437"/>
      <c r="O447" s="1437"/>
      <c r="P447" s="1437"/>
      <c r="Q447" s="1437"/>
      <c r="R447" s="1437"/>
      <c r="S447" s="1437"/>
      <c r="T447" s="1437"/>
      <c r="U447" s="1437"/>
      <c r="V447" s="1437"/>
      <c r="W447" s="1437"/>
      <c r="X447" s="1437"/>
      <c r="Y447" s="1437"/>
      <c r="Z447" s="1437"/>
      <c r="AA447" s="1437"/>
      <c r="AB447" s="1437"/>
      <c r="AC447" s="1437"/>
      <c r="AD447" s="1437"/>
      <c r="AE447" s="1437"/>
      <c r="AF447" s="1438"/>
      <c r="AG447" s="1473">
        <v>0</v>
      </c>
      <c r="AH447" s="1474"/>
      <c r="AI447" s="1474"/>
      <c r="AJ447" s="1474"/>
    </row>
    <row r="448" spans="1:36" ht="12.9" customHeight="1">
      <c r="D448" s="1436" t="s">
        <v>1030</v>
      </c>
      <c r="E448" s="1437"/>
      <c r="F448" s="1437"/>
      <c r="G448" s="1437"/>
      <c r="H448" s="1437"/>
      <c r="I448" s="1437"/>
      <c r="J448" s="1437"/>
      <c r="K448" s="1437"/>
      <c r="L448" s="1437"/>
      <c r="M448" s="1437"/>
      <c r="N448" s="1437"/>
      <c r="O448" s="1437"/>
      <c r="P448" s="1437"/>
      <c r="Q448" s="1437"/>
      <c r="R448" s="1437"/>
      <c r="S448" s="1437"/>
      <c r="T448" s="1437"/>
      <c r="U448" s="1437"/>
      <c r="V448" s="1437"/>
      <c r="W448" s="1437"/>
      <c r="X448" s="1437"/>
      <c r="Y448" s="1437"/>
      <c r="Z448" s="1437"/>
      <c r="AA448" s="1437"/>
      <c r="AB448" s="1437"/>
      <c r="AC448" s="1437"/>
      <c r="AD448" s="1437"/>
      <c r="AE448" s="1437"/>
      <c r="AF448" s="1438"/>
      <c r="AG448" s="1400">
        <v>232</v>
      </c>
      <c r="AH448" s="1400"/>
      <c r="AI448" s="1400"/>
      <c r="AJ448" s="1400"/>
    </row>
    <row r="449" spans="4:55" ht="12.9" customHeight="1">
      <c r="D449" s="1436" t="s">
        <v>1031</v>
      </c>
      <c r="E449" s="1437"/>
      <c r="F449" s="1437"/>
      <c r="G449" s="1437"/>
      <c r="H449" s="1437"/>
      <c r="I449" s="1437"/>
      <c r="J449" s="1437"/>
      <c r="K449" s="1437"/>
      <c r="L449" s="1437"/>
      <c r="M449" s="1437"/>
      <c r="N449" s="1437"/>
      <c r="O449" s="1437"/>
      <c r="P449" s="1437"/>
      <c r="Q449" s="1437"/>
      <c r="R449" s="1437"/>
      <c r="S449" s="1437"/>
      <c r="T449" s="1437"/>
      <c r="U449" s="1437"/>
      <c r="V449" s="1437"/>
      <c r="W449" s="1437"/>
      <c r="X449" s="1437"/>
      <c r="Y449" s="1437"/>
      <c r="Z449" s="1437"/>
      <c r="AA449" s="1437"/>
      <c r="AB449" s="1437"/>
      <c r="AC449" s="1437"/>
      <c r="AD449" s="1437"/>
      <c r="AE449" s="1437"/>
      <c r="AF449" s="1438"/>
      <c r="AG449" s="1400">
        <v>232</v>
      </c>
      <c r="AH449" s="1400"/>
      <c r="AI449" s="1400"/>
      <c r="AJ449" s="1400"/>
    </row>
    <row r="450" spans="4:55" ht="12.9" customHeight="1">
      <c r="D450" s="1436" t="s">
        <v>1033</v>
      </c>
      <c r="E450" s="1437"/>
      <c r="F450" s="1437"/>
      <c r="G450" s="1437"/>
      <c r="H450" s="1437"/>
      <c r="I450" s="1437"/>
      <c r="J450" s="1437"/>
      <c r="K450" s="1437"/>
      <c r="L450" s="1437"/>
      <c r="M450" s="1437"/>
      <c r="N450" s="1437"/>
      <c r="O450" s="1437"/>
      <c r="P450" s="1437"/>
      <c r="Q450" s="1437"/>
      <c r="R450" s="1437"/>
      <c r="S450" s="1437"/>
      <c r="T450" s="1437"/>
      <c r="U450" s="1437"/>
      <c r="V450" s="1437"/>
      <c r="W450" s="1437"/>
      <c r="X450" s="1437"/>
      <c r="Y450" s="1437"/>
      <c r="Z450" s="1437"/>
      <c r="AA450" s="1437"/>
      <c r="AB450" s="1437"/>
      <c r="AC450" s="1437"/>
      <c r="AD450" s="1437"/>
      <c r="AE450" s="1437"/>
      <c r="AF450" s="1438"/>
      <c r="AG450" s="1435">
        <f>IF(ISERROR(AG449/AG448),0,AG449/AG448)</f>
        <v>1</v>
      </c>
      <c r="AH450" s="1435"/>
      <c r="AI450" s="1435"/>
      <c r="AJ450" s="1435"/>
    </row>
    <row r="451" spans="4:55" ht="12.9" customHeight="1">
      <c r="D451" s="1436" t="s">
        <v>1032</v>
      </c>
      <c r="E451" s="1437"/>
      <c r="F451" s="1437"/>
      <c r="G451" s="1437"/>
      <c r="H451" s="1437"/>
      <c r="I451" s="1437"/>
      <c r="J451" s="1437"/>
      <c r="K451" s="1437"/>
      <c r="L451" s="1437"/>
      <c r="M451" s="1437"/>
      <c r="N451" s="1437"/>
      <c r="O451" s="1437"/>
      <c r="P451" s="1437"/>
      <c r="Q451" s="1437"/>
      <c r="R451" s="1437"/>
      <c r="S451" s="1437"/>
      <c r="T451" s="1437"/>
      <c r="U451" s="1437"/>
      <c r="V451" s="1437"/>
      <c r="W451" s="1437"/>
      <c r="X451" s="1437"/>
      <c r="Y451" s="1437"/>
      <c r="Z451" s="1437"/>
      <c r="AA451" s="1437"/>
      <c r="AB451" s="1437"/>
      <c r="AC451" s="1437"/>
      <c r="AD451" s="1437"/>
      <c r="AE451" s="1437"/>
      <c r="AF451" s="1438"/>
      <c r="AG451" s="1434">
        <v>160049</v>
      </c>
      <c r="AH451" s="1434"/>
      <c r="AI451" s="1434"/>
      <c r="AJ451" s="1434"/>
    </row>
    <row r="452" spans="4:55" ht="12.9" customHeight="1">
      <c r="D452" s="1436" t="s">
        <v>1034</v>
      </c>
      <c r="E452" s="1437"/>
      <c r="F452" s="1437"/>
      <c r="G452" s="1437"/>
      <c r="H452" s="1437"/>
      <c r="I452" s="1437"/>
      <c r="J452" s="1437"/>
      <c r="K452" s="1437"/>
      <c r="L452" s="1437"/>
      <c r="M452" s="1437"/>
      <c r="N452" s="1437"/>
      <c r="O452" s="1437"/>
      <c r="P452" s="1437"/>
      <c r="Q452" s="1437"/>
      <c r="R452" s="1437"/>
      <c r="S452" s="1437"/>
      <c r="T452" s="1437"/>
      <c r="U452" s="1437"/>
      <c r="V452" s="1437"/>
      <c r="W452" s="1437"/>
      <c r="X452" s="1437"/>
      <c r="Y452" s="1437"/>
      <c r="Z452" s="1437"/>
      <c r="AA452" s="1437"/>
      <c r="AB452" s="1437"/>
      <c r="AC452" s="1437"/>
      <c r="AD452" s="1437"/>
      <c r="AE452" s="1437"/>
      <c r="AF452" s="1438"/>
      <c r="AG452" s="1434">
        <v>160049</v>
      </c>
      <c r="AH452" s="1434"/>
      <c r="AI452" s="1434"/>
      <c r="AJ452" s="1434"/>
    </row>
    <row r="453" spans="4:55" ht="12.9" customHeight="1">
      <c r="D453" s="1436" t="s">
        <v>1035</v>
      </c>
      <c r="E453" s="1437"/>
      <c r="F453" s="1437"/>
      <c r="G453" s="1437"/>
      <c r="H453" s="1437"/>
      <c r="I453" s="1437"/>
      <c r="J453" s="1437"/>
      <c r="K453" s="1437"/>
      <c r="L453" s="1437"/>
      <c r="M453" s="1437"/>
      <c r="N453" s="1437"/>
      <c r="O453" s="1437"/>
      <c r="P453" s="1437"/>
      <c r="Q453" s="1437"/>
      <c r="R453" s="1437"/>
      <c r="S453" s="1437"/>
      <c r="T453" s="1437"/>
      <c r="U453" s="1437"/>
      <c r="V453" s="1437"/>
      <c r="W453" s="1437"/>
      <c r="X453" s="1437"/>
      <c r="Y453" s="1437"/>
      <c r="Z453" s="1437"/>
      <c r="AA453" s="1437"/>
      <c r="AB453" s="1437"/>
      <c r="AC453" s="1437"/>
      <c r="AD453" s="1437"/>
      <c r="AE453" s="1437"/>
      <c r="AF453" s="1438"/>
      <c r="AG453" s="1435">
        <f>IF(ISERROR(AG452/AG451),0,AG452/AG451)</f>
        <v>1</v>
      </c>
      <c r="AH453" s="1435"/>
      <c r="AI453" s="1435"/>
      <c r="AJ453" s="1435"/>
    </row>
    <row r="454" spans="4:55" ht="12.9" customHeight="1">
      <c r="D454" s="1436" t="s">
        <v>1036</v>
      </c>
      <c r="E454" s="1437"/>
      <c r="F454" s="1437"/>
      <c r="G454" s="1437"/>
      <c r="H454" s="1437"/>
      <c r="I454" s="1437"/>
      <c r="J454" s="1437"/>
      <c r="K454" s="1437"/>
      <c r="L454" s="1437"/>
      <c r="M454" s="1437"/>
      <c r="N454" s="1437"/>
      <c r="O454" s="1437"/>
      <c r="P454" s="1437"/>
      <c r="Q454" s="1437"/>
      <c r="R454" s="1437"/>
      <c r="S454" s="1437"/>
      <c r="T454" s="1437"/>
      <c r="U454" s="1437"/>
      <c r="V454" s="1437"/>
      <c r="W454" s="1437"/>
      <c r="X454" s="1437"/>
      <c r="Y454" s="1437"/>
      <c r="Z454" s="1437"/>
      <c r="AA454" s="1437"/>
      <c r="AB454" s="1437"/>
      <c r="AC454" s="1437"/>
      <c r="AD454" s="1437"/>
      <c r="AE454" s="1437"/>
      <c r="AF454" s="1438"/>
      <c r="AG454" s="1435">
        <f>MIN(IF(AG450&gt;AG453,AG453,AG450),1)</f>
        <v>1</v>
      </c>
      <c r="AH454" s="1435"/>
      <c r="AI454" s="1435"/>
      <c r="AJ454" s="1435"/>
    </row>
    <row r="455" spans="4:55" ht="12.9" customHeight="1">
      <c r="D455" s="1436" t="s">
        <v>2043</v>
      </c>
      <c r="E455" s="1451"/>
      <c r="F455" s="1451"/>
      <c r="G455" s="1451"/>
      <c r="H455" s="1451"/>
      <c r="I455" s="1451"/>
      <c r="J455" s="1451"/>
      <c r="K455" s="1451"/>
      <c r="L455" s="1451"/>
      <c r="M455" s="1451"/>
      <c r="N455" s="1451"/>
      <c r="O455" s="1451"/>
      <c r="P455" s="1451"/>
      <c r="Q455" s="1451"/>
      <c r="R455" s="1451"/>
      <c r="S455" s="1451"/>
      <c r="T455" s="1451"/>
      <c r="U455" s="1451"/>
      <c r="V455" s="1451"/>
      <c r="W455" s="1451"/>
      <c r="X455" s="1451"/>
      <c r="Y455" s="1451"/>
      <c r="Z455" s="1451"/>
      <c r="AA455" s="1451"/>
      <c r="AB455" s="1451"/>
      <c r="AC455" s="1451"/>
      <c r="AD455" s="1451"/>
      <c r="AE455" s="1451"/>
      <c r="AF455" s="1452"/>
      <c r="AG455" s="1434">
        <v>2439</v>
      </c>
      <c r="AH455" s="1434"/>
      <c r="AI455" s="1434"/>
      <c r="AJ455" s="1434"/>
      <c r="AZ455" s="34"/>
      <c r="BA455" s="34"/>
      <c r="BB455" s="34"/>
      <c r="BC455" s="34"/>
    </row>
    <row r="456" spans="4:55" ht="12.9" customHeight="1">
      <c r="D456" s="1505" t="s">
        <v>568</v>
      </c>
      <c r="E456" s="1451"/>
      <c r="F456" s="1451"/>
      <c r="G456" s="1451"/>
      <c r="H456" s="1451"/>
      <c r="I456" s="1451"/>
      <c r="J456" s="1451"/>
      <c r="K456" s="1451"/>
      <c r="L456" s="1451"/>
      <c r="M456" s="1451"/>
      <c r="N456" s="1451"/>
      <c r="O456" s="1451"/>
      <c r="P456" s="1451"/>
      <c r="Q456" s="1451"/>
      <c r="R456" s="1451"/>
      <c r="S456" s="1451"/>
      <c r="T456" s="1451"/>
      <c r="U456" s="1451"/>
      <c r="V456" s="1451"/>
      <c r="W456" s="1451"/>
      <c r="X456" s="1451"/>
      <c r="Y456" s="1451"/>
      <c r="Z456" s="1451"/>
      <c r="AA456" s="1451"/>
      <c r="AB456" s="1451"/>
      <c r="AC456" s="1451"/>
      <c r="AD456" s="1451"/>
      <c r="AE456" s="1451"/>
      <c r="AF456" s="1452"/>
      <c r="AG456" s="1434">
        <v>35923</v>
      </c>
      <c r="AH456" s="1434"/>
      <c r="AI456" s="1434"/>
      <c r="AJ456" s="1434"/>
      <c r="AZ456" s="3"/>
      <c r="BA456" s="3"/>
      <c r="BB456" s="3"/>
      <c r="BC456" s="3"/>
    </row>
    <row r="457" spans="4:55" ht="12.9" customHeight="1">
      <c r="D457" s="1436" t="s">
        <v>1204</v>
      </c>
      <c r="E457" s="1451"/>
      <c r="F457" s="1451"/>
      <c r="G457" s="1451"/>
      <c r="H457" s="1451"/>
      <c r="I457" s="1451"/>
      <c r="J457" s="1451"/>
      <c r="K457" s="1451"/>
      <c r="L457" s="1451"/>
      <c r="M457" s="1451"/>
      <c r="N457" s="1451"/>
      <c r="O457" s="1451"/>
      <c r="P457" s="1451"/>
      <c r="Q457" s="1451"/>
      <c r="R457" s="1451"/>
      <c r="S457" s="1451"/>
      <c r="T457" s="1451"/>
      <c r="U457" s="1451"/>
      <c r="V457" s="1451"/>
      <c r="W457" s="1451"/>
      <c r="X457" s="1451"/>
      <c r="Y457" s="1451"/>
      <c r="Z457" s="1451"/>
      <c r="AA457" s="1451"/>
      <c r="AB457" s="1451"/>
      <c r="AC457" s="1451"/>
      <c r="AD457" s="1451"/>
      <c r="AE457" s="1451"/>
      <c r="AF457" s="1452"/>
      <c r="AG457" s="1434">
        <f>44267-2439</f>
        <v>41828</v>
      </c>
      <c r="AH457" s="1434"/>
      <c r="AI457" s="1434"/>
      <c r="AJ457" s="1434"/>
      <c r="AZ457" s="3"/>
      <c r="BA457" s="3"/>
      <c r="BB457" s="3"/>
      <c r="BC457" s="3"/>
    </row>
    <row r="458" spans="4:55" ht="12.9" customHeight="1">
      <c r="D458" s="1436" t="s">
        <v>1037</v>
      </c>
      <c r="E458" s="1451"/>
      <c r="F458" s="1451"/>
      <c r="G458" s="1451"/>
      <c r="H458" s="1451"/>
      <c r="I458" s="1451"/>
      <c r="J458" s="1451"/>
      <c r="K458" s="1451"/>
      <c r="L458" s="1451"/>
      <c r="M458" s="1451"/>
      <c r="N458" s="1451"/>
      <c r="O458" s="1451"/>
      <c r="P458" s="1451"/>
      <c r="Q458" s="1451"/>
      <c r="R458" s="1451"/>
      <c r="S458" s="1451"/>
      <c r="T458" s="1451"/>
      <c r="U458" s="1451"/>
      <c r="V458" s="1451"/>
      <c r="W458" s="1451"/>
      <c r="X458" s="1451"/>
      <c r="Y458" s="1451"/>
      <c r="Z458" s="1451"/>
      <c r="AA458" s="1451"/>
      <c r="AB458" s="1451"/>
      <c r="AC458" s="1451"/>
      <c r="AD458" s="1451"/>
      <c r="AE458" s="1451"/>
      <c r="AF458" s="1452"/>
      <c r="AG458" s="1434">
        <v>117672</v>
      </c>
      <c r="AH458" s="1434"/>
      <c r="AI458" s="1434"/>
      <c r="AJ458" s="1434"/>
      <c r="BB458" s="3"/>
      <c r="BC458" s="3"/>
    </row>
    <row r="459" spans="4:55" ht="12.9" customHeight="1">
      <c r="D459" s="1592" t="s">
        <v>1038</v>
      </c>
      <c r="E459" s="1593"/>
      <c r="F459" s="1593"/>
      <c r="G459" s="1593"/>
      <c r="H459" s="1593"/>
      <c r="I459" s="1593"/>
      <c r="J459" s="1593"/>
      <c r="K459" s="1593"/>
      <c r="L459" s="1593"/>
      <c r="M459" s="1593"/>
      <c r="N459" s="1593"/>
      <c r="O459" s="1593"/>
      <c r="P459" s="1593"/>
      <c r="Q459" s="1593"/>
      <c r="R459" s="1593"/>
      <c r="S459" s="1593"/>
      <c r="T459" s="1593"/>
      <c r="U459" s="1593"/>
      <c r="V459" s="1593"/>
      <c r="W459" s="1593"/>
      <c r="X459" s="1593"/>
      <c r="Y459" s="1593"/>
      <c r="Z459" s="1593"/>
      <c r="AA459" s="1593"/>
      <c r="AB459" s="1593"/>
      <c r="AC459" s="1593"/>
      <c r="AD459" s="1593"/>
      <c r="AE459" s="1593"/>
      <c r="AF459" s="1594"/>
      <c r="AG459" s="1447">
        <f>AG451+AG455+AG457+AG458</f>
        <v>321988</v>
      </c>
      <c r="AH459" s="1447"/>
      <c r="AI459" s="1447"/>
      <c r="AJ459" s="1447"/>
      <c r="AZ459" s="3"/>
      <c r="BA459" s="3"/>
      <c r="BB459" s="3"/>
      <c r="BC459" s="3"/>
    </row>
    <row r="460" spans="4:55" ht="12.9" customHeight="1">
      <c r="D460" s="1601" t="s">
        <v>1205</v>
      </c>
      <c r="E460" s="1601"/>
      <c r="F460" s="1601"/>
      <c r="G460" s="1601"/>
      <c r="H460" s="1601"/>
      <c r="I460" s="1601"/>
      <c r="J460" s="1601"/>
      <c r="K460" s="1601"/>
      <c r="L460" s="1601"/>
      <c r="M460" s="1601"/>
      <c r="N460" s="1601"/>
      <c r="O460" s="1601"/>
      <c r="P460" s="1601"/>
      <c r="Q460" s="1601"/>
      <c r="R460" s="1601"/>
      <c r="S460" s="1601"/>
      <c r="T460" s="1601"/>
      <c r="U460" s="1601"/>
      <c r="V460" s="1601"/>
      <c r="W460" s="1601"/>
      <c r="X460" s="1601"/>
      <c r="Y460" s="1601"/>
      <c r="Z460" s="1601"/>
      <c r="AA460" s="1601"/>
      <c r="AB460" s="1601"/>
      <c r="AC460" s="1601"/>
      <c r="AD460" s="1601"/>
      <c r="AE460" s="1601"/>
      <c r="AF460" s="1601"/>
      <c r="AG460" s="1601"/>
      <c r="AH460" s="1601"/>
      <c r="AI460" s="1601"/>
      <c r="AJ460" s="1601"/>
      <c r="AZ460" s="3"/>
      <c r="BA460" s="3"/>
      <c r="BB460" s="3"/>
      <c r="BC460" s="3"/>
    </row>
    <row r="461" spans="4:55" ht="12.9" customHeight="1">
      <c r="D461" s="1602"/>
      <c r="E461" s="1602"/>
      <c r="F461" s="1602"/>
      <c r="G461" s="1602"/>
      <c r="H461" s="1602"/>
      <c r="I461" s="1602"/>
      <c r="J461" s="1602"/>
      <c r="K461" s="1602"/>
      <c r="L461" s="1602"/>
      <c r="M461" s="1602"/>
      <c r="N461" s="1602"/>
      <c r="O461" s="1602"/>
      <c r="P461" s="1602"/>
      <c r="Q461" s="1602"/>
      <c r="R461" s="1602"/>
      <c r="S461" s="1602"/>
      <c r="T461" s="1602"/>
      <c r="U461" s="1602"/>
      <c r="V461" s="1602"/>
      <c r="W461" s="1602"/>
      <c r="X461" s="1602"/>
      <c r="Y461" s="1602"/>
      <c r="Z461" s="1602"/>
      <c r="AA461" s="1602"/>
      <c r="AB461" s="1602"/>
      <c r="AC461" s="1602"/>
      <c r="AD461" s="1602"/>
      <c r="AE461" s="1602"/>
      <c r="AF461" s="1602"/>
      <c r="AG461" s="1602"/>
      <c r="AH461" s="1602"/>
      <c r="AI461" s="1602"/>
      <c r="AJ461" s="1602"/>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0">
        <f>IF(AG446=0,"",'Sources and Uses Budget'!B105/Application!AG446)</f>
        <v>854852.782051282</v>
      </c>
      <c r="AD463" s="1390"/>
      <c r="AE463" s="1390"/>
      <c r="AF463" s="1390"/>
      <c r="AG463" s="177"/>
      <c r="AH463" s="177"/>
      <c r="AI463" s="177"/>
      <c r="AJ463" s="183"/>
      <c r="AZ463" s="3"/>
      <c r="BA463" s="3" t="str">
        <f>AG583</f>
        <v>Yes</v>
      </c>
      <c r="BB463" s="3"/>
      <c r="BC463" s="3"/>
    </row>
    <row r="464" spans="4:55" ht="12.9"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0">
        <f>IF(AG446=0,"",'Sources and Uses Budget'!C105/Application!AG446)</f>
        <v>813657.62393162388</v>
      </c>
      <c r="AD464" s="1390"/>
      <c r="AE464" s="1390"/>
      <c r="AF464" s="1390"/>
      <c r="AG464" s="177"/>
      <c r="AH464" s="177"/>
      <c r="AI464" s="177"/>
      <c r="AJ464" s="183"/>
      <c r="AZ464" s="3"/>
      <c r="BA464" s="3"/>
      <c r="BB464" s="3"/>
      <c r="BC464" s="3"/>
    </row>
    <row r="465" spans="1:55" ht="12.9"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0">
        <f>IF(AG446=0,"",('Sources and Uses Budget'!$S$107+'Sources and Uses Budget'!$T$107)/Application!AG446)</f>
        <v>763286.10683760687</v>
      </c>
      <c r="AD465" s="1390"/>
      <c r="AE465" s="1390"/>
      <c r="AF465" s="1390"/>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99" t="s">
        <v>2055</v>
      </c>
      <c r="E473" s="1392"/>
      <c r="F473" s="1392"/>
      <c r="G473" s="1392"/>
      <c r="H473" s="1392"/>
      <c r="I473" s="1392"/>
      <c r="J473" s="1392"/>
      <c r="K473" s="1392"/>
      <c r="L473" s="1392"/>
      <c r="M473" s="1392"/>
      <c r="N473" s="1392"/>
      <c r="O473" s="1392"/>
      <c r="P473" s="1392"/>
      <c r="Q473" s="1392"/>
      <c r="R473" s="1392"/>
      <c r="S473" s="1392"/>
      <c r="T473" s="1392"/>
      <c r="U473" s="1392"/>
      <c r="V473" s="1393"/>
      <c r="W473" s="1406">
        <v>0</v>
      </c>
      <c r="X473" s="1407"/>
      <c r="Y473" s="1408"/>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391" t="s">
        <v>692</v>
      </c>
      <c r="E474" s="1392"/>
      <c r="F474" s="1392"/>
      <c r="G474" s="1392"/>
      <c r="H474" s="1392"/>
      <c r="I474" s="1392"/>
      <c r="J474" s="1392"/>
      <c r="K474" s="1392"/>
      <c r="L474" s="1392"/>
      <c r="M474" s="1392"/>
      <c r="N474" s="1392"/>
      <c r="O474" s="1392"/>
      <c r="P474" s="1392"/>
      <c r="Q474" s="1392"/>
      <c r="R474" s="1392"/>
      <c r="S474" s="1392"/>
      <c r="T474" s="1392"/>
      <c r="U474" s="1392"/>
      <c r="V474" s="1393"/>
      <c r="W474" s="1406">
        <v>0</v>
      </c>
      <c r="X474" s="1407"/>
      <c r="Y474" s="1408"/>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391" t="s">
        <v>693</v>
      </c>
      <c r="E475" s="1392"/>
      <c r="F475" s="1392"/>
      <c r="G475" s="1392"/>
      <c r="H475" s="1392"/>
      <c r="I475" s="1392"/>
      <c r="J475" s="1392"/>
      <c r="K475" s="1392"/>
      <c r="L475" s="1392"/>
      <c r="M475" s="1392"/>
      <c r="N475" s="1392"/>
      <c r="O475" s="1392"/>
      <c r="P475" s="1392"/>
      <c r="Q475" s="1392"/>
      <c r="R475" s="1392"/>
      <c r="S475" s="1392"/>
      <c r="T475" s="1392"/>
      <c r="U475" s="1392"/>
      <c r="V475" s="1393"/>
      <c r="W475" s="1406">
        <v>0</v>
      </c>
      <c r="X475" s="1407"/>
      <c r="Y475" s="1408"/>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391" t="s">
        <v>694</v>
      </c>
      <c r="E476" s="1392"/>
      <c r="F476" s="1392"/>
      <c r="G476" s="1392"/>
      <c r="H476" s="1392"/>
      <c r="I476" s="1392"/>
      <c r="J476" s="1392"/>
      <c r="K476" s="1392"/>
      <c r="L476" s="1392"/>
      <c r="M476" s="1392"/>
      <c r="N476" s="1392"/>
      <c r="O476" s="1392"/>
      <c r="P476" s="1392"/>
      <c r="Q476" s="1392"/>
      <c r="R476" s="1392"/>
      <c r="S476" s="1392"/>
      <c r="T476" s="1392"/>
      <c r="U476" s="1392"/>
      <c r="V476" s="1393"/>
      <c r="W476" s="1406">
        <v>0</v>
      </c>
      <c r="X476" s="1407"/>
      <c r="Y476" s="1408"/>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391" t="s">
        <v>880</v>
      </c>
      <c r="E477" s="1392"/>
      <c r="F477" s="1392"/>
      <c r="G477" s="1392"/>
      <c r="H477" s="1392"/>
      <c r="I477" s="1392"/>
      <c r="J477" s="1392"/>
      <c r="K477" s="1392"/>
      <c r="L477" s="1392"/>
      <c r="M477" s="1392"/>
      <c r="N477" s="1392"/>
      <c r="O477" s="1392"/>
      <c r="P477" s="1392"/>
      <c r="Q477" s="1392"/>
      <c r="R477" s="1392"/>
      <c r="S477" s="1392"/>
      <c r="T477" s="1392"/>
      <c r="U477" s="1392"/>
      <c r="V477" s="1393"/>
      <c r="W477" s="1406">
        <v>0</v>
      </c>
      <c r="X477" s="1407"/>
      <c r="Y477" s="1408"/>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391" t="s">
        <v>695</v>
      </c>
      <c r="E478" s="1392"/>
      <c r="F478" s="1392"/>
      <c r="G478" s="1392"/>
      <c r="H478" s="1392"/>
      <c r="I478" s="1392"/>
      <c r="J478" s="1392"/>
      <c r="K478" s="1392"/>
      <c r="L478" s="1392"/>
      <c r="M478" s="1392"/>
      <c r="N478" s="1392"/>
      <c r="O478" s="1392"/>
      <c r="P478" s="1392"/>
      <c r="Q478" s="1392"/>
      <c r="R478" s="1392"/>
      <c r="S478" s="1392"/>
      <c r="T478" s="1392"/>
      <c r="U478" s="1392"/>
      <c r="V478" s="1393"/>
      <c r="W478" s="1406">
        <v>0</v>
      </c>
      <c r="X478" s="1407"/>
      <c r="Y478" s="1408"/>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391" t="s">
        <v>1011</v>
      </c>
      <c r="E479" s="1392"/>
      <c r="F479" s="1392"/>
      <c r="G479" s="1392"/>
      <c r="H479" s="1392"/>
      <c r="I479" s="1392"/>
      <c r="J479" s="1392"/>
      <c r="K479" s="1392"/>
      <c r="L479" s="1392"/>
      <c r="M479" s="1392"/>
      <c r="N479" s="1392"/>
      <c r="O479" s="1392"/>
      <c r="P479" s="1392"/>
      <c r="Q479" s="1392"/>
      <c r="R479" s="1392"/>
      <c r="S479" s="1392"/>
      <c r="T479" s="1392"/>
      <c r="U479" s="1392"/>
      <c r="V479" s="1393"/>
      <c r="W479" s="1406">
        <v>0</v>
      </c>
      <c r="X479" s="1407"/>
      <c r="Y479" s="1408"/>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399" t="s">
        <v>2145</v>
      </c>
      <c r="E480" s="1409"/>
      <c r="F480" s="1409"/>
      <c r="G480" s="1409"/>
      <c r="H480" s="1409"/>
      <c r="I480" s="1409"/>
      <c r="J480" s="1409"/>
      <c r="K480" s="1409"/>
      <c r="L480" s="1409"/>
      <c r="M480" s="1409"/>
      <c r="N480" s="1409"/>
      <c r="O480" s="1409"/>
      <c r="P480" s="1409"/>
      <c r="Q480" s="1409"/>
      <c r="R480" s="1409"/>
      <c r="S480" s="1409"/>
      <c r="T480" s="1409"/>
      <c r="U480" s="1409"/>
      <c r="V480" s="1410"/>
      <c r="W480" s="1406">
        <v>0</v>
      </c>
      <c r="X480" s="1407"/>
      <c r="Y480" s="1408"/>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399" t="s">
        <v>1642</v>
      </c>
      <c r="E481" s="1392"/>
      <c r="F481" s="1392"/>
      <c r="G481" s="1392"/>
      <c r="H481" s="1392"/>
      <c r="I481" s="1392"/>
      <c r="J481" s="1392"/>
      <c r="K481" s="1392"/>
      <c r="L481" s="1392"/>
      <c r="M481" s="1392"/>
      <c r="N481" s="1392"/>
      <c r="O481" s="1392"/>
      <c r="P481" s="1392"/>
      <c r="Q481" s="1392"/>
      <c r="R481" s="1392"/>
      <c r="S481" s="1392"/>
      <c r="T481" s="1392"/>
      <c r="U481" s="1392"/>
      <c r="V481" s="1393"/>
      <c r="W481" s="1406">
        <v>50</v>
      </c>
      <c r="X481" s="1407"/>
      <c r="Y481" s="1408"/>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1671"/>
      <c r="H482" s="1672"/>
      <c r="I482" s="1672"/>
      <c r="J482" s="1672"/>
      <c r="K482" s="1672"/>
      <c r="L482" s="1672"/>
      <c r="M482" s="1672"/>
      <c r="N482" s="1672"/>
      <c r="O482" s="1672"/>
      <c r="P482" s="1672"/>
      <c r="Q482" s="1672"/>
      <c r="R482" s="1672"/>
      <c r="S482" s="1672"/>
      <c r="T482" s="1672"/>
      <c r="U482" s="1672"/>
      <c r="V482" s="1673"/>
      <c r="W482" s="1406">
        <v>0</v>
      </c>
      <c r="X482" s="1407"/>
      <c r="Y482" s="1408"/>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547" t="s">
        <v>809</v>
      </c>
      <c r="B488" s="1547"/>
      <c r="C488" s="1547"/>
      <c r="D488" s="1547"/>
      <c r="E488" s="1547"/>
      <c r="F488" s="1547"/>
      <c r="G488" s="1547"/>
      <c r="H488" s="1547"/>
      <c r="I488" s="1547"/>
      <c r="J488" s="1547"/>
      <c r="K488" s="1547"/>
      <c r="L488" s="1547"/>
      <c r="M488" s="1547"/>
      <c r="N488" s="1547"/>
      <c r="O488" s="1547"/>
      <c r="P488" s="1547"/>
      <c r="Q488" s="1547"/>
      <c r="R488" s="1547"/>
      <c r="S488" s="1547"/>
      <c r="T488" s="1547"/>
      <c r="U488" s="1547"/>
      <c r="V488" s="1547"/>
      <c r="W488" s="1547"/>
      <c r="X488" s="1547"/>
      <c r="Y488" s="1547"/>
      <c r="Z488" s="1547"/>
      <c r="AA488" s="1547"/>
      <c r="AB488" s="1547"/>
      <c r="AC488" s="1547"/>
      <c r="AD488" s="1547"/>
      <c r="AE488" s="1547"/>
      <c r="AF488" s="1547"/>
      <c r="AG488" s="1547"/>
      <c r="AH488" s="1547"/>
      <c r="AI488" s="1547"/>
      <c r="AJ488" s="1547"/>
      <c r="AK488" s="1547"/>
      <c r="AL488" s="1547"/>
      <c r="AM488" s="1547"/>
      <c r="AN488" s="1547"/>
      <c r="AO488" s="1547"/>
      <c r="AP488" s="1547"/>
      <c r="AQ488" s="1547"/>
      <c r="AR488" s="1547"/>
      <c r="AS488" s="1547"/>
      <c r="AT488" s="1547"/>
      <c r="AU488" s="95"/>
      <c r="AV488" s="95"/>
      <c r="AW488" s="95"/>
      <c r="AX488" s="95"/>
      <c r="AY488" s="95"/>
      <c r="AZ488" s="3"/>
      <c r="BB488" s="3"/>
      <c r="BC488" s="3"/>
    </row>
    <row r="489" spans="1:55" ht="12.9" customHeight="1">
      <c r="A489" s="1547"/>
      <c r="B489" s="1547"/>
      <c r="C489" s="1547"/>
      <c r="D489" s="1547"/>
      <c r="E489" s="1547"/>
      <c r="F489" s="1547"/>
      <c r="G489" s="1547"/>
      <c r="H489" s="1547"/>
      <c r="I489" s="1547"/>
      <c r="J489" s="1547"/>
      <c r="K489" s="1547"/>
      <c r="L489" s="1547"/>
      <c r="M489" s="1547"/>
      <c r="N489" s="1547"/>
      <c r="O489" s="1547"/>
      <c r="P489" s="1547"/>
      <c r="Q489" s="1547"/>
      <c r="R489" s="1547"/>
      <c r="S489" s="1547"/>
      <c r="T489" s="1547"/>
      <c r="U489" s="1547"/>
      <c r="V489" s="1547"/>
      <c r="W489" s="1547"/>
      <c r="X489" s="1547"/>
      <c r="Y489" s="1547"/>
      <c r="Z489" s="1547"/>
      <c r="AA489" s="1547"/>
      <c r="AB489" s="1547"/>
      <c r="AC489" s="1547"/>
      <c r="AD489" s="1547"/>
      <c r="AE489" s="1547"/>
      <c r="AF489" s="1547"/>
      <c r="AG489" s="1547"/>
      <c r="AH489" s="1547"/>
      <c r="AI489" s="1547"/>
      <c r="AJ489" s="1547"/>
      <c r="AK489" s="1547"/>
      <c r="AL489" s="1547"/>
      <c r="AM489" s="1547"/>
      <c r="AN489" s="1547"/>
      <c r="AO489" s="1547"/>
      <c r="AP489" s="1547"/>
      <c r="AQ489" s="1547"/>
      <c r="AR489" s="1547"/>
      <c r="AS489" s="1547"/>
      <c r="AT489" s="1547"/>
      <c r="AZ489" s="3"/>
      <c r="BB489" s="3"/>
      <c r="BC489" s="3"/>
    </row>
    <row r="490" spans="1:55" ht="12.9" customHeight="1">
      <c r="AZ490" s="3"/>
      <c r="BB490" s="3"/>
      <c r="BC490" s="3"/>
    </row>
    <row r="491" spans="1:55" ht="12.9" customHeight="1">
      <c r="A491" s="2" t="s">
        <v>318</v>
      </c>
      <c r="C491" s="2" t="s">
        <v>807</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401" t="s">
        <v>392</v>
      </c>
      <c r="R493" s="1402"/>
      <c r="S493" s="1402"/>
      <c r="T493" s="1402"/>
      <c r="U493" s="1402"/>
      <c r="V493" s="1402"/>
      <c r="W493" s="1402"/>
      <c r="X493" s="1402"/>
      <c r="Y493" s="1402"/>
      <c r="Z493" s="1402"/>
      <c r="AA493" s="1402"/>
      <c r="AB493" s="1402"/>
      <c r="AC493" s="1402"/>
      <c r="AD493" s="1402"/>
      <c r="AE493" s="1402"/>
      <c r="AF493" s="1402"/>
      <c r="AG493" s="1402"/>
      <c r="AH493" s="1402"/>
      <c r="AI493" s="1402"/>
      <c r="AJ493" s="1402"/>
      <c r="AK493" s="1403"/>
      <c r="AZ493" s="3"/>
      <c r="BB493" s="3"/>
      <c r="BC493" s="3"/>
    </row>
    <row r="494" spans="1:55" ht="12.9" customHeight="1">
      <c r="B494" s="45" t="s">
        <v>393</v>
      </c>
      <c r="C494" s="5"/>
      <c r="D494" s="5"/>
      <c r="E494" s="5"/>
      <c r="F494" s="5"/>
      <c r="G494" s="5"/>
      <c r="H494" s="5"/>
      <c r="I494" s="5"/>
      <c r="J494" s="5"/>
      <c r="K494" s="5"/>
      <c r="L494" s="5"/>
      <c r="M494" s="5"/>
      <c r="N494" s="5"/>
      <c r="O494" s="5"/>
      <c r="P494" s="5"/>
      <c r="Q494" s="1591" t="s">
        <v>2652</v>
      </c>
      <c r="R494" s="1388"/>
      <c r="S494" s="1388"/>
      <c r="T494" s="1388"/>
      <c r="U494" s="1388"/>
      <c r="V494" s="1388"/>
      <c r="W494" s="1388"/>
      <c r="X494" s="1388"/>
      <c r="Y494" s="1388"/>
      <c r="Z494" s="1388"/>
      <c r="AA494" s="1388"/>
      <c r="AB494" s="1388"/>
      <c r="AC494" s="1388"/>
      <c r="AD494" s="1388"/>
      <c r="AE494" s="1388"/>
      <c r="AF494" s="1388"/>
      <c r="AG494" s="1388"/>
      <c r="AH494" s="1388"/>
      <c r="AI494" s="1388"/>
      <c r="AJ494" s="1388"/>
      <c r="AK494" s="1389"/>
      <c r="AZ494" s="3"/>
      <c r="BB494" s="3"/>
      <c r="BC494" s="3"/>
    </row>
    <row r="495" spans="1:55" ht="12.9" customHeight="1">
      <c r="B495" s="45" t="s">
        <v>394</v>
      </c>
      <c r="C495" s="5"/>
      <c r="D495" s="5"/>
      <c r="E495" s="5"/>
      <c r="F495" s="5"/>
      <c r="G495" s="5"/>
      <c r="H495" s="5"/>
      <c r="I495" s="5"/>
      <c r="J495" s="5"/>
      <c r="K495" s="5"/>
      <c r="L495" s="5"/>
      <c r="M495" s="5"/>
      <c r="N495" s="5"/>
      <c r="O495" s="5"/>
      <c r="P495" s="5"/>
      <c r="Q495" s="1591" t="s">
        <v>2651</v>
      </c>
      <c r="R495" s="1388"/>
      <c r="S495" s="1388"/>
      <c r="T495" s="1388"/>
      <c r="U495" s="1388"/>
      <c r="V495" s="1388"/>
      <c r="W495" s="1388"/>
      <c r="X495" s="1388"/>
      <c r="Y495" s="1388"/>
      <c r="Z495" s="1388"/>
      <c r="AA495" s="1388"/>
      <c r="AB495" s="1388"/>
      <c r="AC495" s="1388"/>
      <c r="AD495" s="1388"/>
      <c r="AE495" s="1388"/>
      <c r="AF495" s="1388"/>
      <c r="AG495" s="1388"/>
      <c r="AH495" s="1388"/>
      <c r="AI495" s="1388"/>
      <c r="AJ495" s="1388"/>
      <c r="AK495" s="1389"/>
      <c r="AZ495" s="3"/>
      <c r="BB495" s="3"/>
      <c r="BC495" s="3"/>
    </row>
    <row r="496" spans="1:55" ht="12.9" customHeight="1">
      <c r="B496" s="45" t="s">
        <v>395</v>
      </c>
      <c r="C496" s="5"/>
      <c r="D496" s="5"/>
      <c r="E496" s="5"/>
      <c r="F496" s="5"/>
      <c r="G496" s="5"/>
      <c r="H496" s="5"/>
      <c r="I496" s="5"/>
      <c r="J496" s="5"/>
      <c r="K496" s="5"/>
      <c r="L496" s="5"/>
      <c r="M496" s="5"/>
      <c r="N496" s="5"/>
      <c r="O496" s="5"/>
      <c r="P496" s="5"/>
      <c r="Q496" s="1387" t="s">
        <v>2651</v>
      </c>
      <c r="R496" s="1388"/>
      <c r="S496" s="1388"/>
      <c r="T496" s="1388"/>
      <c r="U496" s="1388"/>
      <c r="V496" s="1388"/>
      <c r="W496" s="1388"/>
      <c r="X496" s="1388"/>
      <c r="Y496" s="1388"/>
      <c r="Z496" s="1388"/>
      <c r="AA496" s="1388"/>
      <c r="AB496" s="1388"/>
      <c r="AC496" s="1388"/>
      <c r="AD496" s="1388"/>
      <c r="AE496" s="1388"/>
      <c r="AF496" s="1388"/>
      <c r="AG496" s="1388"/>
      <c r="AH496" s="1388"/>
      <c r="AI496" s="1388"/>
      <c r="AJ496" s="1388"/>
      <c r="AK496" s="1389"/>
      <c r="AZ496" s="3"/>
      <c r="BA496" s="3"/>
      <c r="BB496" s="3"/>
      <c r="BC496" s="3"/>
    </row>
    <row r="497" spans="1:66" ht="12.9" customHeight="1">
      <c r="B497" s="1463" t="s">
        <v>396</v>
      </c>
      <c r="C497" s="1464"/>
      <c r="D497" s="1464"/>
      <c r="E497" s="1464"/>
      <c r="F497" s="1464"/>
      <c r="G497" s="1464"/>
      <c r="H497" s="1464"/>
      <c r="I497" s="1464"/>
      <c r="J497" s="1464"/>
      <c r="K497" s="1464"/>
      <c r="L497" s="1464"/>
      <c r="M497" s="1464"/>
      <c r="N497" s="1464"/>
      <c r="O497" s="1464"/>
      <c r="P497" s="1465"/>
      <c r="Q497" s="1469" t="s">
        <v>544</v>
      </c>
      <c r="R497" s="1470"/>
      <c r="S497" s="1584" t="s">
        <v>2653</v>
      </c>
      <c r="T497" s="1585"/>
      <c r="U497" s="1585"/>
      <c r="V497" s="1585"/>
      <c r="W497" s="1585"/>
      <c r="X497" s="1585"/>
      <c r="Y497" s="1585"/>
      <c r="Z497" s="1585"/>
      <c r="AA497" s="1585"/>
      <c r="AB497" s="1585"/>
      <c r="AC497" s="1585"/>
      <c r="AD497" s="1585"/>
      <c r="AE497" s="1585"/>
      <c r="AF497" s="1585"/>
      <c r="AG497" s="1585"/>
      <c r="AH497" s="1585"/>
      <c r="AI497" s="1585"/>
      <c r="AJ497" s="1585"/>
      <c r="AK497" s="1586"/>
      <c r="AZ497" s="3"/>
      <c r="BA497" s="3"/>
      <c r="BB497" s="3"/>
      <c r="BC497" s="3"/>
    </row>
    <row r="498" spans="1:66" ht="12.9" customHeight="1">
      <c r="B498" s="1466"/>
      <c r="C498" s="1467"/>
      <c r="D498" s="1467"/>
      <c r="E498" s="1467"/>
      <c r="F498" s="1467"/>
      <c r="G498" s="1467"/>
      <c r="H498" s="1467"/>
      <c r="I498" s="1467"/>
      <c r="J498" s="1467"/>
      <c r="K498" s="1467"/>
      <c r="L498" s="1467"/>
      <c r="M498" s="1467"/>
      <c r="N498" s="1467"/>
      <c r="O498" s="1467"/>
      <c r="P498" s="1468"/>
      <c r="Q498" s="1471"/>
      <c r="R498" s="1472"/>
      <c r="S498" s="1587"/>
      <c r="T498" s="1540"/>
      <c r="U498" s="1540"/>
      <c r="V498" s="1540"/>
      <c r="W498" s="1540"/>
      <c r="X498" s="1540"/>
      <c r="Y498" s="1540"/>
      <c r="Z498" s="1540"/>
      <c r="AA498" s="1540"/>
      <c r="AB498" s="1540"/>
      <c r="AC498" s="1540"/>
      <c r="AD498" s="1540"/>
      <c r="AE498" s="1540"/>
      <c r="AF498" s="1540"/>
      <c r="AG498" s="1540"/>
      <c r="AH498" s="1540"/>
      <c r="AI498" s="1540"/>
      <c r="AJ498" s="1540"/>
      <c r="AK498" s="1588"/>
      <c r="AZ498" s="3"/>
      <c r="BA498" s="3"/>
      <c r="BB498" s="3"/>
      <c r="BC498" s="3"/>
    </row>
    <row r="499" spans="1:66" ht="12.9" customHeight="1">
      <c r="B499" s="891" t="s">
        <v>1659</v>
      </c>
      <c r="C499" s="869"/>
      <c r="D499" s="869"/>
      <c r="E499" s="869"/>
      <c r="F499" s="869"/>
      <c r="G499" s="869"/>
      <c r="H499" s="869"/>
      <c r="I499" s="869"/>
      <c r="J499" s="869"/>
      <c r="K499" s="869"/>
      <c r="L499" s="869"/>
      <c r="M499" s="869"/>
      <c r="N499" s="869"/>
      <c r="O499" s="869"/>
      <c r="P499" s="869"/>
      <c r="Q499" s="1394" t="s">
        <v>544</v>
      </c>
      <c r="R499" s="1395"/>
      <c r="S499" s="1395"/>
      <c r="T499" s="1395"/>
      <c r="U499" s="1395"/>
      <c r="V499" s="1395"/>
      <c r="W499" s="1395"/>
      <c r="X499" s="1395"/>
      <c r="Y499" s="1395"/>
      <c r="Z499" s="1395"/>
      <c r="AA499" s="1395"/>
      <c r="AB499" s="1395"/>
      <c r="AC499" s="1395"/>
      <c r="AD499" s="1395"/>
      <c r="AE499" s="1395"/>
      <c r="AF499" s="1395"/>
      <c r="AG499" s="1395"/>
      <c r="AH499" s="1395"/>
      <c r="AI499" s="1395"/>
      <c r="AJ499" s="1395"/>
      <c r="AK499" s="1396"/>
      <c r="AZ499" s="3"/>
      <c r="BA499" s="3"/>
      <c r="BB499" s="3"/>
      <c r="BC499" s="3"/>
    </row>
    <row r="500" spans="1:66" ht="12.9" customHeight="1">
      <c r="B500" s="45" t="s">
        <v>397</v>
      </c>
      <c r="C500" s="5"/>
      <c r="D500" s="5"/>
      <c r="E500" s="5"/>
      <c r="F500" s="5"/>
      <c r="G500" s="5"/>
      <c r="H500" s="5"/>
      <c r="I500" s="5"/>
      <c r="J500" s="5"/>
      <c r="K500" s="5"/>
      <c r="L500" s="5"/>
      <c r="M500" s="5"/>
      <c r="N500" s="5"/>
      <c r="O500" s="5"/>
      <c r="P500" s="5"/>
      <c r="Q500" s="1591" t="s">
        <v>2743</v>
      </c>
      <c r="R500" s="1388"/>
      <c r="S500" s="1388"/>
      <c r="T500" s="1388"/>
      <c r="U500" s="1388"/>
      <c r="V500" s="1388"/>
      <c r="W500" s="1388"/>
      <c r="X500" s="1388"/>
      <c r="Y500" s="1388"/>
      <c r="Z500" s="1388"/>
      <c r="AA500" s="1388"/>
      <c r="AB500" s="1388"/>
      <c r="AC500" s="1388"/>
      <c r="AD500" s="1388"/>
      <c r="AE500" s="1388"/>
      <c r="AF500" s="1388"/>
      <c r="AG500" s="1388"/>
      <c r="AH500" s="1388"/>
      <c r="AI500" s="1388"/>
      <c r="AJ500" s="1388"/>
      <c r="AK500" s="1389"/>
      <c r="AZ500" s="3"/>
      <c r="BA500" s="3"/>
      <c r="BB500" s="3"/>
      <c r="BC500" s="3"/>
    </row>
    <row r="501" spans="1:66" ht="12.9" customHeight="1">
      <c r="B501" s="45" t="s">
        <v>398</v>
      </c>
      <c r="C501" s="5"/>
      <c r="D501" s="5"/>
      <c r="E501" s="5"/>
      <c r="F501" s="5"/>
      <c r="G501" s="5"/>
      <c r="H501" s="5"/>
      <c r="I501" s="5"/>
      <c r="J501" s="5"/>
      <c r="K501" s="5"/>
      <c r="L501" s="5"/>
      <c r="M501" s="5"/>
      <c r="N501" s="5"/>
      <c r="O501" s="5"/>
      <c r="P501" s="5"/>
      <c r="Q501" s="1591" t="s">
        <v>2743</v>
      </c>
      <c r="R501" s="1388"/>
      <c r="S501" s="1388"/>
      <c r="T501" s="1388"/>
      <c r="U501" s="1388"/>
      <c r="V501" s="1388"/>
      <c r="W501" s="1388"/>
      <c r="X501" s="1388"/>
      <c r="Y501" s="1388"/>
      <c r="Z501" s="1388"/>
      <c r="AA501" s="1388"/>
      <c r="AB501" s="1388"/>
      <c r="AC501" s="1388"/>
      <c r="AD501" s="1388"/>
      <c r="AE501" s="1388"/>
      <c r="AF501" s="1388"/>
      <c r="AG501" s="1388"/>
      <c r="AH501" s="1388"/>
      <c r="AI501" s="1388"/>
      <c r="AJ501" s="1388"/>
      <c r="AK501" s="1389"/>
      <c r="AZ501" s="3"/>
      <c r="BA501" s="3"/>
      <c r="BB501" s="3"/>
      <c r="BC501" s="3"/>
    </row>
    <row r="502" spans="1:66" ht="12.9" customHeight="1">
      <c r="B502" s="121" t="s">
        <v>1656</v>
      </c>
      <c r="C502" s="5"/>
      <c r="D502" s="5"/>
      <c r="E502" s="5"/>
      <c r="F502" s="5"/>
      <c r="G502" s="5"/>
      <c r="H502" s="5"/>
      <c r="I502" s="5"/>
      <c r="J502" s="5"/>
      <c r="K502" s="5"/>
      <c r="L502" s="5"/>
      <c r="M502" s="5"/>
      <c r="N502" s="5"/>
      <c r="O502" s="5"/>
      <c r="P502" s="5"/>
      <c r="Q502" s="1387">
        <v>257</v>
      </c>
      <c r="R502" s="1388"/>
      <c r="S502" s="1388"/>
      <c r="T502" s="1388"/>
      <c r="U502" s="1388"/>
      <c r="V502" s="1388"/>
      <c r="W502" s="1388"/>
      <c r="X502" s="1388"/>
      <c r="Y502" s="1388"/>
      <c r="Z502" s="1388"/>
      <c r="AA502" s="1388"/>
      <c r="AB502" s="1388"/>
      <c r="AC502" s="1388"/>
      <c r="AD502" s="1388"/>
      <c r="AE502" s="1388"/>
      <c r="AF502" s="1388"/>
      <c r="AG502" s="1388"/>
      <c r="AH502" s="1388"/>
      <c r="AI502" s="1388"/>
      <c r="AJ502" s="1388"/>
      <c r="AK502" s="1389"/>
      <c r="AZ502" s="3"/>
      <c r="BA502" s="3"/>
      <c r="BB502" s="3"/>
      <c r="BC502" s="3"/>
    </row>
    <row r="503" spans="1:66" ht="12.9" customHeight="1">
      <c r="B503" s="121" t="s">
        <v>1657</v>
      </c>
      <c r="C503" s="5"/>
      <c r="D503" s="5"/>
      <c r="E503" s="5"/>
      <c r="F503" s="5"/>
      <c r="G503" s="5"/>
      <c r="H503" s="5"/>
      <c r="I503" s="5"/>
      <c r="J503" s="5"/>
      <c r="K503" s="5"/>
      <c r="L503" s="5"/>
      <c r="M503" s="1397">
        <v>189</v>
      </c>
      <c r="N503" s="1349"/>
      <c r="O503" s="1349"/>
      <c r="P503" s="1398"/>
      <c r="Q503" s="121" t="s">
        <v>1658</v>
      </c>
      <c r="R503" s="5"/>
      <c r="S503" s="5"/>
      <c r="T503" s="5"/>
      <c r="U503" s="5"/>
      <c r="V503" s="5"/>
      <c r="W503" s="5"/>
      <c r="X503" s="5"/>
      <c r="Y503" s="5"/>
      <c r="Z503" s="5"/>
      <c r="AA503" s="5"/>
      <c r="AB503" s="5"/>
      <c r="AC503" s="5"/>
      <c r="AD503" s="5"/>
      <c r="AE503" s="5"/>
      <c r="AF503" s="5"/>
      <c r="AG503" s="5"/>
      <c r="AH503" s="1397">
        <v>68</v>
      </c>
      <c r="AI503" s="1349"/>
      <c r="AJ503" s="1349"/>
      <c r="AK503" s="1398"/>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1" t="s">
        <v>400</v>
      </c>
      <c r="AD507" s="1402"/>
      <c r="AE507" s="1402"/>
      <c r="AF507" s="1402"/>
      <c r="AG507" s="1402"/>
      <c r="AH507" s="1402"/>
      <c r="AI507" s="1402"/>
      <c r="AJ507" s="1402"/>
      <c r="AK507" s="1403"/>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1" t="s">
        <v>401</v>
      </c>
      <c r="AD508" s="1402"/>
      <c r="AE508" s="1402"/>
      <c r="AF508" s="1402"/>
      <c r="AG508" s="50" t="s">
        <v>402</v>
      </c>
      <c r="AH508" s="1402" t="s">
        <v>403</v>
      </c>
      <c r="AI508" s="1402"/>
      <c r="AJ508" s="1402"/>
      <c r="AK508" s="1403"/>
      <c r="AZ508" s="3"/>
      <c r="BA508" s="3"/>
      <c r="BB508" s="3"/>
      <c r="BC508" s="3"/>
      <c r="BD508" s="3"/>
      <c r="BE508" s="3"/>
      <c r="BF508" s="3"/>
      <c r="BG508" s="3"/>
      <c r="BH508" s="3"/>
      <c r="BI508" s="3"/>
      <c r="BJ508" s="3"/>
      <c r="BK508" s="3"/>
      <c r="BL508" s="3"/>
      <c r="BM508" s="3"/>
      <c r="BN508" s="3"/>
    </row>
    <row r="509" spans="1:66" ht="12.9" customHeight="1">
      <c r="B509" s="1411" t="s">
        <v>404</v>
      </c>
      <c r="C509" s="1412"/>
      <c r="D509" s="1412"/>
      <c r="E509" s="1412"/>
      <c r="F509" s="1412"/>
      <c r="G509" s="1412"/>
      <c r="H509" s="1413"/>
      <c r="I509" s="42" t="s">
        <v>405</v>
      </c>
      <c r="J509" s="42"/>
      <c r="K509" s="42"/>
      <c r="L509" s="42"/>
      <c r="M509" s="42"/>
      <c r="N509" s="42"/>
      <c r="O509" s="42"/>
      <c r="P509" s="42"/>
      <c r="Q509" s="42"/>
      <c r="R509" s="42"/>
      <c r="S509" s="42"/>
      <c r="T509" s="42"/>
      <c r="U509" s="42"/>
      <c r="V509" s="42"/>
      <c r="W509" s="42"/>
      <c r="AC509" s="1404" t="s">
        <v>590</v>
      </c>
      <c r="AD509" s="1405"/>
      <c r="AE509" s="1405"/>
      <c r="AF509" s="1405"/>
      <c r="AG509" s="13" t="s">
        <v>402</v>
      </c>
      <c r="AH509" s="1445"/>
      <c r="AI509" s="1445"/>
      <c r="AJ509" s="1445"/>
      <c r="AK509" s="1446"/>
      <c r="AZ509" s="3"/>
      <c r="BA509" s="3"/>
      <c r="BB509" s="3"/>
      <c r="BC509" s="3"/>
      <c r="BD509" s="3"/>
      <c r="BE509" s="3"/>
      <c r="BF509" s="3"/>
      <c r="BG509" s="3"/>
      <c r="BH509" s="3"/>
      <c r="BI509" s="3"/>
      <c r="BJ509" s="3"/>
      <c r="BK509" s="3"/>
      <c r="BL509" s="3"/>
      <c r="BM509" s="3"/>
      <c r="BN509" s="3"/>
    </row>
    <row r="510" spans="1:66" ht="12.9" customHeight="1">
      <c r="B510" s="1414"/>
      <c r="C510" s="1415"/>
      <c r="D510" s="1415"/>
      <c r="E510" s="1415"/>
      <c r="F510" s="1415"/>
      <c r="G510" s="1415"/>
      <c r="H510" s="1416"/>
      <c r="I510" s="48" t="s">
        <v>406</v>
      </c>
      <c r="J510" s="48"/>
      <c r="K510" s="48"/>
      <c r="L510" s="48"/>
      <c r="M510" s="48"/>
      <c r="N510" s="48"/>
      <c r="O510" s="48"/>
      <c r="P510" s="48"/>
      <c r="Q510" s="48"/>
      <c r="R510" s="48"/>
      <c r="S510" s="48"/>
      <c r="T510" s="48"/>
      <c r="U510" s="48"/>
      <c r="V510" s="48"/>
      <c r="W510" s="48"/>
      <c r="X510" s="48"/>
      <c r="Y510" s="48"/>
      <c r="Z510" s="48"/>
      <c r="AA510" s="48"/>
      <c r="AB510" s="48"/>
      <c r="AC510" s="1404">
        <v>1</v>
      </c>
      <c r="AD510" s="1405"/>
      <c r="AE510" s="1405"/>
      <c r="AF510" s="1405"/>
      <c r="AG510" s="38" t="s">
        <v>402</v>
      </c>
      <c r="AH510" s="1445">
        <v>2026</v>
      </c>
      <c r="AI510" s="1445"/>
      <c r="AJ510" s="1445"/>
      <c r="AK510" s="1446"/>
      <c r="AZ510" s="3"/>
      <c r="BA510" s="3"/>
      <c r="BB510" s="3"/>
      <c r="BC510" s="3"/>
      <c r="BD510" s="3"/>
      <c r="BE510" s="3"/>
      <c r="BF510" s="3"/>
      <c r="BG510" s="3"/>
      <c r="BH510" s="3"/>
      <c r="BI510" s="3"/>
      <c r="BJ510" s="3"/>
      <c r="BK510" s="3"/>
      <c r="BL510" s="3"/>
      <c r="BM510" s="3"/>
      <c r="BN510" s="3"/>
    </row>
    <row r="511" spans="1:66" ht="12.9" customHeight="1">
      <c r="B511" s="1411" t="s">
        <v>407</v>
      </c>
      <c r="C511" s="1412"/>
      <c r="D511" s="1412"/>
      <c r="E511" s="1412"/>
      <c r="F511" s="1412"/>
      <c r="G511" s="1412"/>
      <c r="H511" s="1413"/>
      <c r="I511" s="42" t="s">
        <v>408</v>
      </c>
      <c r="J511" s="42"/>
      <c r="K511" s="42"/>
      <c r="L511" s="42"/>
      <c r="M511" s="42"/>
      <c r="N511" s="42"/>
      <c r="O511" s="42"/>
      <c r="P511" s="42"/>
      <c r="Q511" s="42"/>
      <c r="R511" s="42"/>
      <c r="S511" s="42"/>
      <c r="T511" s="42"/>
      <c r="U511" s="42"/>
      <c r="V511" s="42"/>
      <c r="W511" s="42"/>
      <c r="AC511" s="1404" t="s">
        <v>590</v>
      </c>
      <c r="AD511" s="1405"/>
      <c r="AE511" s="1405"/>
      <c r="AF511" s="1405"/>
      <c r="AG511" s="13" t="s">
        <v>402</v>
      </c>
      <c r="AH511" s="1445"/>
      <c r="AI511" s="1445"/>
      <c r="AJ511" s="1445"/>
      <c r="AK511" s="1446"/>
      <c r="AZ511" s="3"/>
      <c r="BA511" s="3"/>
      <c r="BB511" s="3"/>
      <c r="BC511" s="3"/>
      <c r="BD511" s="3"/>
      <c r="BE511" s="3"/>
      <c r="BF511" s="3"/>
      <c r="BG511" s="3"/>
      <c r="BH511" s="3"/>
      <c r="BI511" s="3"/>
      <c r="BJ511" s="3"/>
      <c r="BK511" s="3"/>
      <c r="BL511" s="3"/>
      <c r="BM511" s="3"/>
      <c r="BN511" s="3"/>
    </row>
    <row r="512" spans="1:66" ht="12.9" customHeight="1">
      <c r="B512" s="1414"/>
      <c r="C512" s="1415"/>
      <c r="D512" s="1415"/>
      <c r="E512" s="1415"/>
      <c r="F512" s="1415"/>
      <c r="G512" s="1415"/>
      <c r="H512" s="1416"/>
      <c r="I512" t="s">
        <v>409</v>
      </c>
      <c r="AC512" s="1404" t="s">
        <v>590</v>
      </c>
      <c r="AD512" s="1405"/>
      <c r="AE512" s="1405"/>
      <c r="AF512" s="1405"/>
      <c r="AG512" s="13" t="s">
        <v>402</v>
      </c>
      <c r="AH512" s="1445"/>
      <c r="AI512" s="1445"/>
      <c r="AJ512" s="1445"/>
      <c r="AK512" s="1446"/>
      <c r="AZ512" s="3"/>
      <c r="BA512" s="3"/>
      <c r="BB512" s="3"/>
      <c r="BC512" s="3"/>
      <c r="BD512" s="3"/>
      <c r="BE512" s="3"/>
      <c r="BF512" s="3"/>
      <c r="BG512" s="3"/>
      <c r="BH512" s="3"/>
      <c r="BI512" s="3"/>
      <c r="BJ512" s="3"/>
      <c r="BK512" s="3"/>
      <c r="BL512" s="3"/>
      <c r="BM512" s="3"/>
      <c r="BN512" s="3"/>
    </row>
    <row r="513" spans="2:66" ht="12.9" customHeight="1">
      <c r="B513" s="1414"/>
      <c r="C513" s="1415"/>
      <c r="D513" s="1415"/>
      <c r="E513" s="1415"/>
      <c r="F513" s="1415"/>
      <c r="G513" s="1415"/>
      <c r="H513" s="1416"/>
      <c r="I513" t="s">
        <v>410</v>
      </c>
      <c r="AC513" s="1404">
        <v>2</v>
      </c>
      <c r="AD513" s="1405"/>
      <c r="AE513" s="1405"/>
      <c r="AF513" s="1405"/>
      <c r="AG513" s="13" t="s">
        <v>402</v>
      </c>
      <c r="AH513" s="1445">
        <v>2026</v>
      </c>
      <c r="AI513" s="1445"/>
      <c r="AJ513" s="1445"/>
      <c r="AK513" s="1446"/>
      <c r="AZ513" s="3"/>
      <c r="BA513" s="3"/>
      <c r="BB513" s="3"/>
      <c r="BC513" s="3"/>
      <c r="BD513" s="3"/>
      <c r="BE513" s="3"/>
      <c r="BF513" s="3"/>
      <c r="BG513" s="3"/>
      <c r="BH513" s="3"/>
      <c r="BI513" s="3"/>
      <c r="BJ513" s="3"/>
      <c r="BK513" s="3"/>
      <c r="BL513" s="3"/>
      <c r="BM513" s="3"/>
      <c r="BN513" s="3"/>
    </row>
    <row r="514" spans="2:66" ht="12.9" customHeight="1">
      <c r="B514" s="1414"/>
      <c r="C514" s="1415"/>
      <c r="D514" s="1415"/>
      <c r="E514" s="1415"/>
      <c r="F514" s="1415"/>
      <c r="G514" s="1415"/>
      <c r="H514" s="1416"/>
      <c r="I514" t="s">
        <v>411</v>
      </c>
      <c r="AC514" s="1404">
        <v>10</v>
      </c>
      <c r="AD514" s="1405"/>
      <c r="AE514" s="1405"/>
      <c r="AF514" s="1405"/>
      <c r="AG514" s="13" t="s">
        <v>402</v>
      </c>
      <c r="AH514" s="1445">
        <v>2026</v>
      </c>
      <c r="AI514" s="1445"/>
      <c r="AJ514" s="1445"/>
      <c r="AK514" s="1446"/>
      <c r="AZ514" s="3"/>
      <c r="BA514" s="3"/>
      <c r="BB514" s="3"/>
      <c r="BC514" s="3"/>
      <c r="BD514" s="3"/>
      <c r="BE514" s="3"/>
      <c r="BF514" s="3"/>
      <c r="BG514" s="3"/>
      <c r="BH514" s="3"/>
      <c r="BI514" s="3"/>
      <c r="BJ514" s="3"/>
      <c r="BK514" s="3"/>
      <c r="BL514" s="3"/>
      <c r="BM514" s="3"/>
      <c r="BN514" s="3"/>
    </row>
    <row r="515" spans="2:66" ht="12.9" customHeight="1">
      <c r="B515" s="1414"/>
      <c r="C515" s="1415"/>
      <c r="D515" s="1415"/>
      <c r="E515" s="1415"/>
      <c r="F515" s="1415"/>
      <c r="G515" s="1415"/>
      <c r="H515" s="1416"/>
      <c r="I515" s="3" t="s">
        <v>412</v>
      </c>
      <c r="AC515" s="1362">
        <v>10</v>
      </c>
      <c r="AD515" s="1363"/>
      <c r="AE515" s="1363"/>
      <c r="AF515" s="1363"/>
      <c r="AG515" s="13" t="s">
        <v>402</v>
      </c>
      <c r="AH515" s="1445">
        <v>2026</v>
      </c>
      <c r="AI515" s="1445"/>
      <c r="AJ515" s="1445"/>
      <c r="AK515" s="1446"/>
      <c r="AZ515" s="3"/>
      <c r="BA515" s="3"/>
      <c r="BB515" s="3"/>
      <c r="BC515" s="3"/>
      <c r="BD515" s="3"/>
      <c r="BE515" s="3"/>
      <c r="BF515" s="3"/>
      <c r="BG515" s="3"/>
      <c r="BH515" s="3"/>
      <c r="BI515" s="3"/>
      <c r="BJ515" s="3"/>
      <c r="BK515" s="3"/>
      <c r="BL515" s="3"/>
      <c r="BM515" s="3"/>
      <c r="BN515" s="3"/>
    </row>
    <row r="516" spans="2:66" ht="12.9" customHeight="1">
      <c r="B516" s="1414"/>
      <c r="C516" s="1415"/>
      <c r="D516" s="1415"/>
      <c r="E516" s="1415"/>
      <c r="F516" s="1415"/>
      <c r="G516" s="1415"/>
      <c r="H516" s="1416"/>
      <c r="I516" s="892" t="s">
        <v>169</v>
      </c>
      <c r="J516" s="48"/>
      <c r="K516" s="48"/>
      <c r="L516" s="1475" t="s">
        <v>333</v>
      </c>
      <c r="M516" s="1476"/>
      <c r="N516" s="1476"/>
      <c r="O516" s="1476"/>
      <c r="P516" s="1476"/>
      <c r="Q516" s="1476"/>
      <c r="R516" s="1476"/>
      <c r="S516" s="1476"/>
      <c r="T516" s="1476"/>
      <c r="U516" s="1476"/>
      <c r="V516" s="1476"/>
      <c r="W516" s="1476"/>
      <c r="X516" s="1476"/>
      <c r="Y516" s="1476"/>
      <c r="Z516" s="1476"/>
      <c r="AA516" s="1476"/>
      <c r="AB516" s="1608"/>
      <c r="AC516" s="1404" t="s">
        <v>590</v>
      </c>
      <c r="AD516" s="1405"/>
      <c r="AE516" s="1405"/>
      <c r="AF516" s="1405"/>
      <c r="AG516" s="38" t="s">
        <v>402</v>
      </c>
      <c r="AH516" s="1445"/>
      <c r="AI516" s="1445"/>
      <c r="AJ516" s="1445"/>
      <c r="AK516" s="1446"/>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1663</v>
      </c>
      <c r="AC517" s="1400" t="s">
        <v>668</v>
      </c>
      <c r="AD517" s="1400"/>
      <c r="AE517" s="1400"/>
      <c r="AF517" s="1400"/>
      <c r="AG517" s="13"/>
      <c r="AH517" s="1420"/>
      <c r="AI517" s="1420"/>
      <c r="AJ517" s="1420"/>
      <c r="AK517" s="1421"/>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1660</v>
      </c>
      <c r="AC518" s="1362"/>
      <c r="AD518" s="1363"/>
      <c r="AE518" s="1363"/>
      <c r="AF518" s="1364"/>
      <c r="AG518" s="13"/>
      <c r="AH518" s="1420"/>
      <c r="AI518" s="1420"/>
      <c r="AJ518" s="1420"/>
      <c r="AK518" s="1421"/>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60">
        <v>1</v>
      </c>
      <c r="AD520" s="1461"/>
      <c r="AE520" s="1461"/>
      <c r="AF520" s="1462"/>
      <c r="AG520" s="38"/>
      <c r="AH520" s="1603"/>
      <c r="AI520" s="1603"/>
      <c r="AJ520" s="1603"/>
      <c r="AK520" s="1604"/>
      <c r="AZ520" s="3"/>
      <c r="BA520" s="3"/>
      <c r="BB520" s="3"/>
      <c r="BC520" s="3"/>
      <c r="BD520" s="3"/>
      <c r="BE520" s="3"/>
      <c r="BF520" s="3"/>
      <c r="BG520" s="3"/>
      <c r="BH520" s="3"/>
      <c r="BI520" s="3"/>
      <c r="BJ520" s="3"/>
      <c r="BK520" s="3"/>
      <c r="BL520" s="3"/>
      <c r="BM520" s="3"/>
      <c r="BN520" s="3" t="s">
        <v>1183</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50" t="s">
        <v>401</v>
      </c>
      <c r="AD521" s="1432"/>
      <c r="AE521" s="1432"/>
      <c r="AF521" s="1432"/>
      <c r="AG521" s="38" t="s">
        <v>402</v>
      </c>
      <c r="AH521" s="1432" t="s">
        <v>403</v>
      </c>
      <c r="AI521" s="1432"/>
      <c r="AJ521" s="1432"/>
      <c r="AK521" s="1433"/>
      <c r="AZ521" s="3"/>
      <c r="BA521" s="3"/>
      <c r="BB521" s="3"/>
      <c r="BC521" s="3"/>
      <c r="BD521" s="3"/>
      <c r="BE521" s="3"/>
      <c r="BF521" s="3"/>
      <c r="BG521" s="3"/>
      <c r="BH521" s="3"/>
      <c r="BI521" s="3"/>
      <c r="BJ521" s="3"/>
      <c r="BK521" s="3"/>
      <c r="BL521" s="3"/>
      <c r="BM521" s="3"/>
      <c r="BN521" s="3" t="s">
        <v>2060</v>
      </c>
    </row>
    <row r="522" spans="2:66" ht="12.9" customHeight="1">
      <c r="B522" s="1411" t="s">
        <v>413</v>
      </c>
      <c r="C522" s="1412"/>
      <c r="D522" s="1412"/>
      <c r="E522" s="1412"/>
      <c r="F522" s="1412"/>
      <c r="G522" s="1412"/>
      <c r="H522" s="1413"/>
      <c r="I522" s="42" t="s">
        <v>414</v>
      </c>
      <c r="J522" s="42"/>
      <c r="K522" s="42"/>
      <c r="L522" s="42"/>
      <c r="M522" s="42"/>
      <c r="N522" s="42"/>
      <c r="O522" s="42"/>
      <c r="P522" s="42"/>
      <c r="Q522" s="42"/>
      <c r="R522" s="42"/>
      <c r="S522" s="42"/>
      <c r="T522" s="42"/>
      <c r="U522" s="42"/>
      <c r="V522" s="42"/>
      <c r="W522" s="42"/>
      <c r="AC522" s="1404">
        <v>1</v>
      </c>
      <c r="AD522" s="1405"/>
      <c r="AE522" s="1405"/>
      <c r="AF522" s="1405"/>
      <c r="AG522" s="13" t="s">
        <v>402</v>
      </c>
      <c r="AH522" s="1445">
        <v>2026</v>
      </c>
      <c r="AI522" s="1445"/>
      <c r="AJ522" s="1445"/>
      <c r="AK522" s="1446"/>
      <c r="AZ522" s="3"/>
      <c r="BA522" s="3"/>
      <c r="BB522" s="3"/>
      <c r="BC522" s="3"/>
      <c r="BD522" s="3"/>
      <c r="BE522" s="3"/>
      <c r="BF522" s="3"/>
      <c r="BG522" s="3"/>
      <c r="BH522" s="3"/>
      <c r="BI522" s="3"/>
      <c r="BJ522" s="3"/>
      <c r="BK522" s="3"/>
      <c r="BL522" s="3"/>
      <c r="BM522" s="3"/>
      <c r="BN522" s="3" t="s">
        <v>2061</v>
      </c>
    </row>
    <row r="523" spans="2:66" ht="12.9" customHeight="1">
      <c r="B523" s="1414"/>
      <c r="C523" s="1415"/>
      <c r="D523" s="1415"/>
      <c r="E523" s="1415"/>
      <c r="F523" s="1415"/>
      <c r="G523" s="1415"/>
      <c r="H523" s="1416"/>
      <c r="I523" t="s">
        <v>415</v>
      </c>
      <c r="AC523" s="1404">
        <v>1</v>
      </c>
      <c r="AD523" s="1405"/>
      <c r="AE523" s="1405"/>
      <c r="AF523" s="1405"/>
      <c r="AG523" s="13" t="s">
        <v>402</v>
      </c>
      <c r="AH523" s="1445">
        <v>2026</v>
      </c>
      <c r="AI523" s="1445"/>
      <c r="AJ523" s="1445"/>
      <c r="AK523" s="1446"/>
      <c r="AZ523" s="3"/>
      <c r="BA523" s="3"/>
      <c r="BB523" s="3"/>
      <c r="BC523" s="3"/>
      <c r="BD523" s="3"/>
      <c r="BE523" s="3"/>
      <c r="BF523" s="3"/>
      <c r="BG523" s="3"/>
      <c r="BH523" s="3"/>
      <c r="BI523" s="3"/>
      <c r="BJ523" s="3"/>
      <c r="BK523" s="3"/>
      <c r="BL523" s="3"/>
      <c r="BM523" s="3"/>
      <c r="BN523" s="3" t="s">
        <v>2062</v>
      </c>
    </row>
    <row r="524" spans="2:66" ht="12.9" customHeight="1">
      <c r="B524" s="1414"/>
      <c r="C524" s="1415"/>
      <c r="D524" s="1415"/>
      <c r="E524" s="1415"/>
      <c r="F524" s="1415"/>
      <c r="G524" s="1415"/>
      <c r="H524" s="1416"/>
      <c r="I524" s="48" t="s">
        <v>416</v>
      </c>
      <c r="J524" s="48"/>
      <c r="K524" s="48"/>
      <c r="L524" s="48"/>
      <c r="M524" s="48"/>
      <c r="N524" s="48"/>
      <c r="O524" s="48"/>
      <c r="P524" s="48"/>
      <c r="Q524" s="48"/>
      <c r="R524" s="48"/>
      <c r="S524" s="48"/>
      <c r="T524" s="48"/>
      <c r="U524" s="48"/>
      <c r="V524" s="48"/>
      <c r="W524" s="48"/>
      <c r="X524" s="48"/>
      <c r="Y524" s="48"/>
      <c r="Z524" s="48"/>
      <c r="AA524" s="48"/>
      <c r="AB524" s="48"/>
      <c r="AC524" s="1404">
        <v>11</v>
      </c>
      <c r="AD524" s="1405"/>
      <c r="AE524" s="1405"/>
      <c r="AF524" s="1405"/>
      <c r="AG524" s="38" t="s">
        <v>402</v>
      </c>
      <c r="AH524" s="1445">
        <v>2026</v>
      </c>
      <c r="AI524" s="1445"/>
      <c r="AJ524" s="1445"/>
      <c r="AK524" s="1446"/>
      <c r="AZ524" s="3"/>
      <c r="BA524" s="3"/>
      <c r="BB524" s="3"/>
      <c r="BC524" s="3"/>
      <c r="BD524" s="3"/>
      <c r="BE524" s="3"/>
      <c r="BF524" s="3"/>
      <c r="BG524" s="3"/>
      <c r="BH524" s="3"/>
      <c r="BI524" s="3"/>
      <c r="BJ524" s="3"/>
      <c r="BK524" s="3"/>
      <c r="BL524" s="3"/>
      <c r="BM524" s="3"/>
      <c r="BN524" s="3" t="s">
        <v>2063</v>
      </c>
    </row>
    <row r="525" spans="2:66" ht="12.9" customHeight="1">
      <c r="B525" s="1411" t="s">
        <v>417</v>
      </c>
      <c r="C525" s="1412"/>
      <c r="D525" s="1412"/>
      <c r="E525" s="1412"/>
      <c r="F525" s="1412"/>
      <c r="G525" s="1412"/>
      <c r="H525" s="1413"/>
      <c r="I525" s="42" t="s">
        <v>414</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402</v>
      </c>
      <c r="AH525" s="1445"/>
      <c r="AI525" s="1445"/>
      <c r="AJ525" s="1445"/>
      <c r="AK525" s="1446"/>
      <c r="AZ525" s="3"/>
      <c r="BB525" s="3"/>
      <c r="BC525" s="3"/>
      <c r="BD525" s="3"/>
      <c r="BE525" s="3"/>
      <c r="BF525" s="3"/>
      <c r="BG525" s="3"/>
      <c r="BH525" s="3"/>
      <c r="BI525" s="3"/>
      <c r="BJ525" s="3"/>
      <c r="BK525" s="3"/>
      <c r="BL525" s="3"/>
      <c r="BM525" s="3"/>
      <c r="BN525" s="3" t="s">
        <v>2064</v>
      </c>
    </row>
    <row r="526" spans="2:66" ht="12.9" customHeight="1">
      <c r="B526" s="1414"/>
      <c r="C526" s="1415"/>
      <c r="D526" s="1415"/>
      <c r="E526" s="1415"/>
      <c r="F526" s="1415"/>
      <c r="G526" s="1415"/>
      <c r="H526" s="1416"/>
      <c r="I526" t="s">
        <v>415</v>
      </c>
      <c r="AC526" s="1404">
        <v>1</v>
      </c>
      <c r="AD526" s="1405"/>
      <c r="AE526" s="1405"/>
      <c r="AF526" s="1405"/>
      <c r="AG526" s="13" t="s">
        <v>402</v>
      </c>
      <c r="AH526" s="1445"/>
      <c r="AI526" s="1445"/>
      <c r="AJ526" s="1445"/>
      <c r="AK526" s="1446"/>
      <c r="BB526" s="3"/>
      <c r="BC526" s="3"/>
      <c r="BD526" s="3"/>
      <c r="BE526" s="3"/>
      <c r="BF526" s="3"/>
      <c r="BG526" s="3"/>
      <c r="BH526" s="3"/>
      <c r="BI526" s="3"/>
      <c r="BJ526" s="3"/>
      <c r="BK526" s="3"/>
      <c r="BL526" s="3"/>
      <c r="BM526" s="3"/>
      <c r="BN526" s="3" t="s">
        <v>2065</v>
      </c>
    </row>
    <row r="527" spans="2:66" ht="12.9" customHeight="1">
      <c r="B527" s="1417"/>
      <c r="C527" s="1418"/>
      <c r="D527" s="1418"/>
      <c r="E527" s="1418"/>
      <c r="F527" s="1418"/>
      <c r="G527" s="1418"/>
      <c r="H527" s="1419"/>
      <c r="I527" s="48" t="s">
        <v>416</v>
      </c>
      <c r="J527" s="48"/>
      <c r="K527" s="48"/>
      <c r="L527" s="48"/>
      <c r="M527" s="48"/>
      <c r="N527" s="48"/>
      <c r="O527" s="48"/>
      <c r="P527" s="48"/>
      <c r="Q527" s="48"/>
      <c r="R527" s="48"/>
      <c r="S527" s="48"/>
      <c r="T527" s="48"/>
      <c r="U527" s="48"/>
      <c r="V527" s="48"/>
      <c r="W527" s="48"/>
      <c r="X527" s="48"/>
      <c r="Y527" s="48"/>
      <c r="Z527" s="48"/>
      <c r="AA527" s="48"/>
      <c r="AB527" s="48"/>
      <c r="AC527" s="1404">
        <v>2</v>
      </c>
      <c r="AD527" s="1405"/>
      <c r="AE527" s="1405"/>
      <c r="AF527" s="1405"/>
      <c r="AG527" s="38" t="s">
        <v>402</v>
      </c>
      <c r="AH527" s="1445">
        <v>2030</v>
      </c>
      <c r="AI527" s="1445"/>
      <c r="AJ527" s="1445"/>
      <c r="AK527" s="1446"/>
      <c r="BB527" s="3"/>
      <c r="BC527" s="3"/>
      <c r="BD527" s="3"/>
      <c r="BE527" s="3"/>
      <c r="BF527" s="3"/>
      <c r="BG527" s="3"/>
      <c r="BH527" s="3"/>
      <c r="BI527" s="3"/>
      <c r="BJ527" s="3"/>
      <c r="BK527" s="3"/>
      <c r="BL527" s="3"/>
      <c r="BM527" s="3"/>
      <c r="BN527" s="3" t="s">
        <v>2066</v>
      </c>
    </row>
    <row r="528" spans="2:66" ht="12.9" customHeight="1">
      <c r="B528" s="1411" t="s">
        <v>418</v>
      </c>
      <c r="C528" s="1412"/>
      <c r="D528" s="1412"/>
      <c r="E528" s="1412"/>
      <c r="F528" s="1412"/>
      <c r="G528" s="1412"/>
      <c r="H528" s="1413"/>
      <c r="I528" s="41" t="s">
        <v>419</v>
      </c>
      <c r="J528" s="42"/>
      <c r="K528" s="42"/>
      <c r="L528" s="42"/>
      <c r="M528" s="42"/>
      <c r="N528" s="42"/>
      <c r="O528" s="1475" t="s">
        <v>2673</v>
      </c>
      <c r="P528" s="1476"/>
      <c r="Q528" s="1476"/>
      <c r="R528" s="1476"/>
      <c r="S528" s="1476"/>
      <c r="T528" s="1476"/>
      <c r="U528" s="1476"/>
      <c r="V528" s="1476"/>
      <c r="W528" s="1476"/>
      <c r="X528" s="1476"/>
      <c r="Y528" s="1476"/>
      <c r="Z528" s="1476"/>
      <c r="AA528" s="1476"/>
      <c r="AB528" s="58"/>
      <c r="AC528" s="1362" t="s">
        <v>590</v>
      </c>
      <c r="AD528" s="1363"/>
      <c r="AE528" s="1363"/>
      <c r="AF528" s="1363"/>
      <c r="AG528" s="129" t="s">
        <v>402</v>
      </c>
      <c r="AH528" s="1445"/>
      <c r="AI528" s="1445"/>
      <c r="AJ528" s="1445"/>
      <c r="AK528" s="1446"/>
      <c r="AZ528" s="3"/>
      <c r="BB528" s="3"/>
      <c r="BC528" s="3"/>
      <c r="BD528" s="3"/>
      <c r="BE528" s="3"/>
      <c r="BF528" s="3"/>
      <c r="BG528" s="3"/>
      <c r="BH528" s="3"/>
      <c r="BI528" s="3"/>
      <c r="BJ528" s="3"/>
      <c r="BK528" s="3"/>
      <c r="BL528" s="3"/>
      <c r="BM528" s="3"/>
      <c r="BN528" s="3" t="s">
        <v>2067</v>
      </c>
    </row>
    <row r="529" spans="2:66" ht="12.9" customHeight="1">
      <c r="B529" s="1414"/>
      <c r="C529" s="1415"/>
      <c r="D529" s="1415"/>
      <c r="E529" s="1415"/>
      <c r="F529" s="1415"/>
      <c r="G529" s="1415"/>
      <c r="H529" s="1416"/>
      <c r="I529" s="114" t="s">
        <v>420</v>
      </c>
      <c r="AB529" s="65"/>
      <c r="AC529" s="1404">
        <v>1</v>
      </c>
      <c r="AD529" s="1405"/>
      <c r="AE529" s="1405"/>
      <c r="AF529" s="1405"/>
      <c r="AG529" s="13" t="s">
        <v>402</v>
      </c>
      <c r="AH529" s="1445">
        <v>2026</v>
      </c>
      <c r="AI529" s="1445"/>
      <c r="AJ529" s="1445"/>
      <c r="AK529" s="1446"/>
      <c r="AZ529" s="3"/>
      <c r="BB529" s="3"/>
      <c r="BC529" s="3"/>
      <c r="BD529" s="3"/>
      <c r="BE529" s="3"/>
      <c r="BF529" s="3"/>
      <c r="BG529" s="3"/>
      <c r="BH529" s="3"/>
      <c r="BI529" s="3"/>
      <c r="BJ529" s="3"/>
      <c r="BK529" s="3"/>
      <c r="BL529" s="3"/>
      <c r="BM529" s="3"/>
      <c r="BN529" s="3" t="s">
        <v>2068</v>
      </c>
    </row>
    <row r="530" spans="2:66" ht="12.9" customHeight="1">
      <c r="B530" s="1414"/>
      <c r="C530" s="1415"/>
      <c r="D530" s="1415"/>
      <c r="E530" s="1415"/>
      <c r="F530" s="1415"/>
      <c r="G530" s="1415"/>
      <c r="H530" s="1416"/>
      <c r="I530" s="47" t="s">
        <v>421</v>
      </c>
      <c r="J530" s="48"/>
      <c r="K530" s="48"/>
      <c r="L530" s="48"/>
      <c r="M530" s="48"/>
      <c r="N530" s="48"/>
      <c r="O530" s="48"/>
      <c r="P530" s="48"/>
      <c r="Q530" s="48"/>
      <c r="R530" s="48"/>
      <c r="S530" s="48"/>
      <c r="T530" s="48"/>
      <c r="U530" s="48"/>
      <c r="V530" s="48"/>
      <c r="W530" s="48"/>
      <c r="X530" s="48"/>
      <c r="Y530" s="48"/>
      <c r="Z530" s="48"/>
      <c r="AA530" s="48"/>
      <c r="AB530" s="49"/>
      <c r="AC530" s="1404">
        <v>1</v>
      </c>
      <c r="AD530" s="1405"/>
      <c r="AE530" s="1405"/>
      <c r="AF530" s="1405"/>
      <c r="AG530" s="38" t="s">
        <v>402</v>
      </c>
      <c r="AH530" s="1445">
        <v>2026</v>
      </c>
      <c r="AI530" s="1445"/>
      <c r="AJ530" s="1445"/>
      <c r="AK530" s="1446"/>
      <c r="AZ530" s="3"/>
      <c r="BA530" s="3"/>
      <c r="BB530" s="3"/>
      <c r="BC530" s="3"/>
      <c r="BD530" s="3"/>
      <c r="BE530" s="3"/>
      <c r="BF530" s="3"/>
      <c r="BG530" s="3"/>
      <c r="BH530" s="3"/>
      <c r="BI530" s="3"/>
      <c r="BJ530" s="3"/>
      <c r="BK530" s="3"/>
      <c r="BL530" s="3"/>
      <c r="BM530" s="3"/>
      <c r="BN530" s="3" t="s">
        <v>2069</v>
      </c>
    </row>
    <row r="531" spans="2:66" ht="12.9" customHeight="1">
      <c r="B531" s="1414"/>
      <c r="C531" s="1415"/>
      <c r="D531" s="1415"/>
      <c r="E531" s="1415"/>
      <c r="F531" s="1415"/>
      <c r="G531" s="1415"/>
      <c r="H531" s="1416"/>
      <c r="I531" s="42" t="s">
        <v>422</v>
      </c>
      <c r="J531" s="42"/>
      <c r="K531" s="42"/>
      <c r="L531" s="42"/>
      <c r="M531" s="42"/>
      <c r="N531" s="42"/>
      <c r="O531" s="1475" t="s">
        <v>333</v>
      </c>
      <c r="P531" s="1476"/>
      <c r="Q531" s="1476"/>
      <c r="R531" s="1476"/>
      <c r="S531" s="1476"/>
      <c r="T531" s="1476"/>
      <c r="U531" s="1476"/>
      <c r="V531" s="1476"/>
      <c r="W531" s="1476"/>
      <c r="X531" s="1476"/>
      <c r="Y531" s="1476"/>
      <c r="Z531" s="1476"/>
      <c r="AA531" s="1476"/>
      <c r="AC531" s="1404" t="s">
        <v>590</v>
      </c>
      <c r="AD531" s="1405"/>
      <c r="AE531" s="1405"/>
      <c r="AF531" s="1405"/>
      <c r="AG531" s="13" t="s">
        <v>402</v>
      </c>
      <c r="AH531" s="1445"/>
      <c r="AI531" s="1445"/>
      <c r="AJ531" s="1445"/>
      <c r="AK531" s="1446"/>
      <c r="AZ531" s="3"/>
      <c r="BA531" s="3"/>
      <c r="BB531" s="3"/>
      <c r="BC531" s="3"/>
      <c r="BD531" s="3"/>
      <c r="BE531" s="3"/>
      <c r="BF531" s="3"/>
      <c r="BG531" s="3"/>
      <c r="BH531" s="3"/>
      <c r="BI531" s="3"/>
      <c r="BJ531" s="3"/>
      <c r="BK531" s="3"/>
      <c r="BL531" s="3"/>
      <c r="BM531" s="3"/>
      <c r="BN531" s="3" t="s">
        <v>2070</v>
      </c>
    </row>
    <row r="532" spans="2:66" ht="12.9" customHeight="1">
      <c r="B532" s="1414"/>
      <c r="C532" s="1415"/>
      <c r="D532" s="1415"/>
      <c r="E532" s="1415"/>
      <c r="F532" s="1415"/>
      <c r="G532" s="1415"/>
      <c r="H532" s="1416"/>
      <c r="I532" t="s">
        <v>420</v>
      </c>
      <c r="AC532" s="1404" t="s">
        <v>590</v>
      </c>
      <c r="AD532" s="1405"/>
      <c r="AE532" s="1405"/>
      <c r="AF532" s="1405"/>
      <c r="AG532" s="13" t="s">
        <v>402</v>
      </c>
      <c r="AH532" s="1445"/>
      <c r="AI532" s="1445"/>
      <c r="AJ532" s="1445"/>
      <c r="AK532" s="1446"/>
      <c r="AZ532" s="3"/>
      <c r="BA532" s="3"/>
      <c r="BB532" s="3"/>
      <c r="BC532" s="3"/>
      <c r="BD532" s="3"/>
      <c r="BE532" s="3"/>
      <c r="BF532" s="3"/>
      <c r="BG532" s="3"/>
      <c r="BH532" s="3"/>
      <c r="BI532" s="3"/>
      <c r="BJ532" s="3"/>
      <c r="BK532" s="3"/>
      <c r="BL532" s="3"/>
      <c r="BM532" s="3"/>
      <c r="BN532" s="3" t="s">
        <v>2071</v>
      </c>
    </row>
    <row r="533" spans="2:66" ht="12.9" customHeight="1">
      <c r="B533" s="1414"/>
      <c r="C533" s="1415"/>
      <c r="D533" s="1415"/>
      <c r="E533" s="1415"/>
      <c r="F533" s="1415"/>
      <c r="G533" s="1415"/>
      <c r="H533" s="1416"/>
      <c r="I533" s="48" t="s">
        <v>421</v>
      </c>
      <c r="J533" s="48"/>
      <c r="K533" s="48"/>
      <c r="L533" s="48"/>
      <c r="M533" s="48"/>
      <c r="N533" s="48"/>
      <c r="O533" s="48"/>
      <c r="P533" s="48"/>
      <c r="Q533" s="48"/>
      <c r="R533" s="48"/>
      <c r="S533" s="48"/>
      <c r="T533" s="48"/>
      <c r="U533" s="48"/>
      <c r="V533" s="48"/>
      <c r="W533" s="48"/>
      <c r="X533" s="48"/>
      <c r="Y533" s="48"/>
      <c r="Z533" s="48"/>
      <c r="AA533" s="48"/>
      <c r="AB533" s="48"/>
      <c r="AC533" s="1404" t="s">
        <v>590</v>
      </c>
      <c r="AD533" s="1405"/>
      <c r="AE533" s="1405"/>
      <c r="AF533" s="1405"/>
      <c r="AG533" s="38" t="s">
        <v>402</v>
      </c>
      <c r="AH533" s="1445"/>
      <c r="AI533" s="1445"/>
      <c r="AJ533" s="1445"/>
      <c r="AK533" s="1446"/>
      <c r="AZ533" s="3"/>
      <c r="BA533" s="3"/>
      <c r="BB533" s="3"/>
      <c r="BC533" s="3"/>
      <c r="BD533" s="3"/>
      <c r="BE533" s="3"/>
      <c r="BF533" s="3"/>
      <c r="BG533" s="3"/>
      <c r="BH533" s="3"/>
      <c r="BI533" s="3"/>
      <c r="BJ533" s="3"/>
      <c r="BK533" s="3"/>
      <c r="BL533" s="3"/>
      <c r="BM533" s="3"/>
      <c r="BN533" s="3" t="s">
        <v>2072</v>
      </c>
    </row>
    <row r="534" spans="2:66" ht="12.9" customHeight="1">
      <c r="B534" s="1414"/>
      <c r="C534" s="1415"/>
      <c r="D534" s="1415"/>
      <c r="E534" s="1415"/>
      <c r="F534" s="1415"/>
      <c r="G534" s="1415"/>
      <c r="H534" s="1416"/>
      <c r="I534" s="42" t="s">
        <v>422</v>
      </c>
      <c r="J534" s="42"/>
      <c r="K534" s="42"/>
      <c r="L534" s="42"/>
      <c r="M534" s="42"/>
      <c r="N534" s="42"/>
      <c r="O534" s="1475" t="s">
        <v>333</v>
      </c>
      <c r="P534" s="1476"/>
      <c r="Q534" s="1476"/>
      <c r="R534" s="1476"/>
      <c r="S534" s="1476"/>
      <c r="T534" s="1476"/>
      <c r="U534" s="1476"/>
      <c r="V534" s="1476"/>
      <c r="W534" s="1476"/>
      <c r="X534" s="1476"/>
      <c r="Y534" s="1476"/>
      <c r="Z534" s="1476"/>
      <c r="AA534" s="1476"/>
      <c r="AC534" s="1404" t="s">
        <v>590</v>
      </c>
      <c r="AD534" s="1405"/>
      <c r="AE534" s="1405"/>
      <c r="AF534" s="1405"/>
      <c r="AG534" s="13" t="s">
        <v>402</v>
      </c>
      <c r="AH534" s="1445"/>
      <c r="AI534" s="1445"/>
      <c r="AJ534" s="1445"/>
      <c r="AK534" s="1446"/>
      <c r="AZ534" s="3"/>
      <c r="BA534" s="3"/>
      <c r="BB534" s="3"/>
      <c r="BC534" s="3"/>
      <c r="BD534" s="3"/>
      <c r="BE534" s="3"/>
      <c r="BF534" s="3"/>
      <c r="BG534" s="3"/>
      <c r="BH534" s="3"/>
      <c r="BI534" s="3"/>
      <c r="BJ534" s="3"/>
      <c r="BK534" s="3"/>
      <c r="BL534" s="3"/>
      <c r="BM534" s="3"/>
      <c r="BN534" s="3" t="s">
        <v>2073</v>
      </c>
    </row>
    <row r="535" spans="2:66" ht="12.9" customHeight="1">
      <c r="B535" s="1414"/>
      <c r="C535" s="1415"/>
      <c r="D535" s="1415"/>
      <c r="E535" s="1415"/>
      <c r="F535" s="1415"/>
      <c r="G535" s="1415"/>
      <c r="H535" s="1416"/>
      <c r="I535" t="s">
        <v>420</v>
      </c>
      <c r="AC535" s="1404" t="s">
        <v>590</v>
      </c>
      <c r="AD535" s="1405"/>
      <c r="AE535" s="1405"/>
      <c r="AF535" s="1405"/>
      <c r="AG535" s="13" t="s">
        <v>402</v>
      </c>
      <c r="AH535" s="1445"/>
      <c r="AI535" s="1445"/>
      <c r="AJ535" s="1445"/>
      <c r="AK535" s="1446"/>
      <c r="AZ535" s="3"/>
      <c r="BA535" s="3"/>
      <c r="BB535" s="3"/>
      <c r="BC535" s="3"/>
      <c r="BD535" s="3"/>
      <c r="BE535" s="3"/>
      <c r="BF535" s="3"/>
      <c r="BG535" s="3"/>
      <c r="BH535" s="3"/>
      <c r="BI535" s="3"/>
      <c r="BJ535" s="3"/>
      <c r="BK535" s="3"/>
      <c r="BL535" s="3"/>
      <c r="BM535" s="3"/>
      <c r="BN535" s="3" t="s">
        <v>2074</v>
      </c>
    </row>
    <row r="536" spans="2:66" ht="12.9" customHeight="1">
      <c r="B536" s="1414"/>
      <c r="C536" s="1415"/>
      <c r="D536" s="1415"/>
      <c r="E536" s="1415"/>
      <c r="F536" s="1415"/>
      <c r="G536" s="1415"/>
      <c r="H536" s="1416"/>
      <c r="I536" s="48" t="s">
        <v>421</v>
      </c>
      <c r="J536" s="48"/>
      <c r="K536" s="48"/>
      <c r="L536" s="48"/>
      <c r="M536" s="48"/>
      <c r="N536" s="48"/>
      <c r="O536" s="48"/>
      <c r="P536" s="48"/>
      <c r="Q536" s="48"/>
      <c r="R536" s="48"/>
      <c r="S536" s="48"/>
      <c r="T536" s="48"/>
      <c r="U536" s="48"/>
      <c r="V536" s="48"/>
      <c r="W536" s="48"/>
      <c r="X536" s="48"/>
      <c r="Y536" s="48"/>
      <c r="Z536" s="48"/>
      <c r="AA536" s="48"/>
      <c r="AB536" s="48"/>
      <c r="AC536" s="1404" t="s">
        <v>590</v>
      </c>
      <c r="AD536" s="1405"/>
      <c r="AE536" s="1405"/>
      <c r="AF536" s="1405"/>
      <c r="AG536" s="38" t="s">
        <v>402</v>
      </c>
      <c r="AH536" s="1445"/>
      <c r="AI536" s="1445"/>
      <c r="AJ536" s="1445"/>
      <c r="AK536" s="1446"/>
      <c r="AZ536" s="3"/>
      <c r="BA536" s="3"/>
      <c r="BB536" s="3"/>
      <c r="BC536" s="3"/>
      <c r="BD536" s="3"/>
      <c r="BE536" s="3"/>
      <c r="BF536" s="3"/>
      <c r="BG536" s="3"/>
      <c r="BH536" s="3"/>
      <c r="BI536" s="3"/>
      <c r="BJ536" s="3"/>
      <c r="BK536" s="3"/>
      <c r="BL536" s="3"/>
      <c r="BM536" s="3"/>
      <c r="BN536" s="3" t="s">
        <v>2075</v>
      </c>
    </row>
    <row r="537" spans="2:66" ht="12.9" customHeight="1">
      <c r="B537" s="1414"/>
      <c r="C537" s="1415"/>
      <c r="D537" s="1415"/>
      <c r="E537" s="1415"/>
      <c r="F537" s="1415"/>
      <c r="G537" s="1415"/>
      <c r="H537" s="1416"/>
      <c r="I537" s="42" t="s">
        <v>422</v>
      </c>
      <c r="J537" s="42"/>
      <c r="K537" s="42"/>
      <c r="L537" s="42"/>
      <c r="M537" s="42"/>
      <c r="N537" s="42"/>
      <c r="O537" s="1475" t="s">
        <v>333</v>
      </c>
      <c r="P537" s="1476"/>
      <c r="Q537" s="1476"/>
      <c r="R537" s="1476"/>
      <c r="S537" s="1476"/>
      <c r="T537" s="1476"/>
      <c r="U537" s="1476"/>
      <c r="V537" s="1476"/>
      <c r="W537" s="1476"/>
      <c r="X537" s="1476"/>
      <c r="Y537" s="1476"/>
      <c r="Z537" s="1476"/>
      <c r="AA537" s="1476"/>
      <c r="AC537" s="1404" t="s">
        <v>590</v>
      </c>
      <c r="AD537" s="1405"/>
      <c r="AE537" s="1405"/>
      <c r="AF537" s="1405"/>
      <c r="AG537" s="13" t="s">
        <v>402</v>
      </c>
      <c r="AH537" s="1445"/>
      <c r="AI537" s="1445"/>
      <c r="AJ537" s="1445"/>
      <c r="AK537" s="1446"/>
      <c r="AZ537" s="3"/>
      <c r="BA537" s="3"/>
      <c r="BB537" s="3"/>
      <c r="BC537" s="3"/>
      <c r="BD537" s="3"/>
      <c r="BE537" s="3"/>
      <c r="BF537" s="3"/>
      <c r="BG537" s="3"/>
      <c r="BH537" s="3"/>
      <c r="BI537" s="3"/>
      <c r="BJ537" s="3"/>
      <c r="BK537" s="3"/>
      <c r="BL537" s="3"/>
      <c r="BM537" s="3"/>
      <c r="BN537" s="3" t="s">
        <v>2076</v>
      </c>
    </row>
    <row r="538" spans="2:66" ht="12.9" customHeight="1">
      <c r="B538" s="1414"/>
      <c r="C538" s="1415"/>
      <c r="D538" s="1415"/>
      <c r="E538" s="1415"/>
      <c r="F538" s="1415"/>
      <c r="G538" s="1415"/>
      <c r="H538" s="1416"/>
      <c r="I538" t="s">
        <v>420</v>
      </c>
      <c r="AC538" s="1404" t="s">
        <v>590</v>
      </c>
      <c r="AD538" s="1405"/>
      <c r="AE538" s="1405"/>
      <c r="AF538" s="1405"/>
      <c r="AG538" s="13" t="s">
        <v>402</v>
      </c>
      <c r="AH538" s="1445"/>
      <c r="AI538" s="1445"/>
      <c r="AJ538" s="1445"/>
      <c r="AK538" s="1446"/>
      <c r="AZ538" s="3"/>
      <c r="BA538" s="3"/>
      <c r="BB538" s="3"/>
      <c r="BC538" s="3"/>
      <c r="BD538" s="3"/>
      <c r="BE538" s="3"/>
      <c r="BF538" s="3"/>
      <c r="BG538" s="3"/>
      <c r="BH538" s="3"/>
      <c r="BI538" s="3"/>
      <c r="BJ538" s="3"/>
      <c r="BK538" s="3"/>
      <c r="BL538" s="3"/>
      <c r="BM538" s="3"/>
      <c r="BN538" s="3" t="s">
        <v>2077</v>
      </c>
    </row>
    <row r="539" spans="2:66" ht="12.9" customHeight="1">
      <c r="B539" s="1414"/>
      <c r="C539" s="1415"/>
      <c r="D539" s="1415"/>
      <c r="E539" s="1415"/>
      <c r="F539" s="1415"/>
      <c r="G539" s="1415"/>
      <c r="H539" s="1416"/>
      <c r="I539" s="48" t="s">
        <v>421</v>
      </c>
      <c r="J539" s="48"/>
      <c r="K539" s="48"/>
      <c r="L539" s="48"/>
      <c r="M539" s="48"/>
      <c r="N539" s="48"/>
      <c r="O539" s="48"/>
      <c r="P539" s="48"/>
      <c r="Q539" s="48"/>
      <c r="R539" s="48"/>
      <c r="S539" s="48"/>
      <c r="T539" s="48"/>
      <c r="U539" s="48"/>
      <c r="V539" s="48"/>
      <c r="W539" s="48"/>
      <c r="X539" s="48"/>
      <c r="Y539" s="48"/>
      <c r="Z539" s="48"/>
      <c r="AA539" s="48"/>
      <c r="AB539" s="48"/>
      <c r="AC539" s="1404" t="s">
        <v>590</v>
      </c>
      <c r="AD539" s="1405"/>
      <c r="AE539" s="1405"/>
      <c r="AF539" s="1405"/>
      <c r="AG539" s="38" t="s">
        <v>402</v>
      </c>
      <c r="AH539" s="1445"/>
      <c r="AI539" s="1445"/>
      <c r="AJ539" s="1445"/>
      <c r="AK539" s="1446"/>
      <c r="AZ539" s="3"/>
      <c r="BA539" s="3"/>
      <c r="BB539" s="3"/>
      <c r="BC539" s="3"/>
      <c r="BD539" s="3"/>
      <c r="BE539" s="3"/>
      <c r="BF539" s="3"/>
      <c r="BG539" s="3"/>
      <c r="BH539" s="3"/>
      <c r="BI539" s="3"/>
      <c r="BJ539" s="3"/>
      <c r="BK539" s="3"/>
      <c r="BL539" s="3"/>
      <c r="BM539" s="3"/>
      <c r="BN539" s="3" t="s">
        <v>2078</v>
      </c>
    </row>
    <row r="540" spans="2:66" ht="12.9" customHeight="1">
      <c r="B540" s="1414"/>
      <c r="C540" s="1415"/>
      <c r="D540" s="1415"/>
      <c r="E540" s="1415"/>
      <c r="F540" s="1415"/>
      <c r="G540" s="1415"/>
      <c r="H540" s="1416"/>
      <c r="I540" s="42" t="s">
        <v>422</v>
      </c>
      <c r="J540" s="42"/>
      <c r="K540" s="42"/>
      <c r="L540" s="42"/>
      <c r="M540" s="42"/>
      <c r="N540" s="42"/>
      <c r="O540" s="1475" t="s">
        <v>333</v>
      </c>
      <c r="P540" s="1476"/>
      <c r="Q540" s="1476"/>
      <c r="R540" s="1476"/>
      <c r="S540" s="1476"/>
      <c r="T540" s="1476"/>
      <c r="U540" s="1476"/>
      <c r="V540" s="1476"/>
      <c r="W540" s="1476"/>
      <c r="X540" s="1476"/>
      <c r="Y540" s="1476"/>
      <c r="Z540" s="1476"/>
      <c r="AA540" s="1476"/>
      <c r="AC540" s="1404" t="s">
        <v>590</v>
      </c>
      <c r="AD540" s="1405"/>
      <c r="AE540" s="1405"/>
      <c r="AF540" s="1405"/>
      <c r="AG540" s="13" t="s">
        <v>402</v>
      </c>
      <c r="AH540" s="1445"/>
      <c r="AI540" s="1445"/>
      <c r="AJ540" s="1445"/>
      <c r="AK540" s="1446"/>
      <c r="AZ540" s="3"/>
      <c r="BA540" s="3"/>
      <c r="BB540" s="3"/>
      <c r="BC540" s="3"/>
      <c r="BD540" s="3"/>
      <c r="BE540" s="3"/>
      <c r="BF540" s="3"/>
      <c r="BG540" s="3"/>
      <c r="BH540" s="3"/>
      <c r="BI540" s="3"/>
      <c r="BJ540" s="3"/>
      <c r="BK540" s="3"/>
      <c r="BL540" s="3"/>
      <c r="BM540" s="3"/>
      <c r="BN540" s="3" t="s">
        <v>2079</v>
      </c>
    </row>
    <row r="541" spans="2:66" ht="12.9" customHeight="1">
      <c r="B541" s="1414"/>
      <c r="C541" s="1415"/>
      <c r="D541" s="1415"/>
      <c r="E541" s="1415"/>
      <c r="F541" s="1415"/>
      <c r="G541" s="1415"/>
      <c r="H541" s="1416"/>
      <c r="I541" t="s">
        <v>420</v>
      </c>
      <c r="AC541" s="1404" t="s">
        <v>590</v>
      </c>
      <c r="AD541" s="1405"/>
      <c r="AE541" s="1405"/>
      <c r="AF541" s="1405"/>
      <c r="AG541" s="38" t="s">
        <v>402</v>
      </c>
      <c r="AH541" s="1445"/>
      <c r="AI541" s="1445"/>
      <c r="AJ541" s="1445"/>
      <c r="AK541" s="1446"/>
      <c r="AZ541" s="3"/>
      <c r="BA541" s="3"/>
      <c r="BB541" s="3"/>
      <c r="BC541" s="3"/>
      <c r="BD541" s="3"/>
      <c r="BE541" s="3"/>
      <c r="BF541" s="3"/>
      <c r="BG541" s="3"/>
      <c r="BH541" s="3"/>
      <c r="BI541" s="3"/>
      <c r="BJ541" s="3"/>
      <c r="BK541" s="3"/>
      <c r="BL541" s="3"/>
      <c r="BM541" s="3"/>
      <c r="BN541" s="3" t="s">
        <v>2080</v>
      </c>
    </row>
    <row r="542" spans="2:66" ht="12.9" customHeight="1">
      <c r="B542" s="1414"/>
      <c r="C542" s="1415"/>
      <c r="D542" s="1415"/>
      <c r="E542" s="1415"/>
      <c r="F542" s="1415"/>
      <c r="G542" s="1415"/>
      <c r="H542" s="1416"/>
      <c r="I542" s="48" t="s">
        <v>421</v>
      </c>
      <c r="J542" s="48"/>
      <c r="K542" s="48"/>
      <c r="L542" s="48"/>
      <c r="M542" s="48"/>
      <c r="N542" s="48"/>
      <c r="O542" s="48"/>
      <c r="P542" s="48"/>
      <c r="Q542" s="48"/>
      <c r="R542" s="48"/>
      <c r="S542" s="48"/>
      <c r="T542" s="48"/>
      <c r="U542" s="48"/>
      <c r="V542" s="48"/>
      <c r="W542" s="48"/>
      <c r="X542" s="48"/>
      <c r="Y542" s="48"/>
      <c r="Z542" s="48"/>
      <c r="AA542" s="48"/>
      <c r="AB542" s="48"/>
      <c r="AC542" s="1404" t="s">
        <v>590</v>
      </c>
      <c r="AD542" s="1405"/>
      <c r="AE542" s="1405"/>
      <c r="AF542" s="1405"/>
      <c r="AG542" s="13" t="s">
        <v>402</v>
      </c>
      <c r="AH542" s="1445"/>
      <c r="AI542" s="1445"/>
      <c r="AJ542" s="1445"/>
      <c r="AK542" s="1446"/>
      <c r="AZ542" s="3"/>
      <c r="BA542" s="3"/>
      <c r="BB542" s="3"/>
      <c r="BC542" s="3"/>
      <c r="BD542" s="3"/>
      <c r="BE542" s="3"/>
      <c r="BF542" s="3"/>
      <c r="BG542" s="3"/>
      <c r="BH542" s="3"/>
      <c r="BI542" s="3"/>
      <c r="BJ542" s="3"/>
      <c r="BK542" s="3"/>
      <c r="BL542" s="3"/>
      <c r="BM542" s="3"/>
      <c r="BN542" s="3" t="s">
        <v>2081</v>
      </c>
    </row>
    <row r="543" spans="2:66" ht="12.9" customHeight="1">
      <c r="B543" s="1414"/>
      <c r="C543" s="1415"/>
      <c r="D543" s="1415"/>
      <c r="E543" s="1415"/>
      <c r="F543" s="1415"/>
      <c r="G543" s="1415"/>
      <c r="H543" s="1416"/>
      <c r="I543" s="42" t="s">
        <v>422</v>
      </c>
      <c r="J543" s="42"/>
      <c r="K543" s="42"/>
      <c r="L543" s="42"/>
      <c r="M543" s="42"/>
      <c r="N543" s="42"/>
      <c r="O543" s="1475" t="s">
        <v>333</v>
      </c>
      <c r="P543" s="1476"/>
      <c r="Q543" s="1476"/>
      <c r="R543" s="1476"/>
      <c r="S543" s="1476"/>
      <c r="T543" s="1476"/>
      <c r="U543" s="1476"/>
      <c r="V543" s="1476"/>
      <c r="W543" s="1476"/>
      <c r="X543" s="1476"/>
      <c r="Y543" s="1476"/>
      <c r="Z543" s="1476"/>
      <c r="AA543" s="1476"/>
      <c r="AC543" s="1404" t="s">
        <v>590</v>
      </c>
      <c r="AD543" s="1405"/>
      <c r="AE543" s="1405"/>
      <c r="AF543" s="1405"/>
      <c r="AG543" s="38" t="s">
        <v>402</v>
      </c>
      <c r="AH543" s="1445"/>
      <c r="AI543" s="1445"/>
      <c r="AJ543" s="1445"/>
      <c r="AK543" s="1446"/>
      <c r="AZ543" s="3"/>
      <c r="BA543" s="3"/>
      <c r="BB543" s="3"/>
      <c r="BC543" s="3"/>
      <c r="BD543" s="3"/>
      <c r="BE543" s="3"/>
      <c r="BF543" s="3"/>
      <c r="BG543" s="3"/>
      <c r="BH543" s="3"/>
      <c r="BI543" s="3"/>
      <c r="BJ543" s="3"/>
      <c r="BK543" s="3"/>
      <c r="BL543" s="3"/>
      <c r="BM543" s="3"/>
      <c r="BN543" s="3" t="s">
        <v>2082</v>
      </c>
    </row>
    <row r="544" spans="2:66" ht="12.9" customHeight="1">
      <c r="B544" s="1414"/>
      <c r="C544" s="1415"/>
      <c r="D544" s="1415"/>
      <c r="E544" s="1415"/>
      <c r="F544" s="1415"/>
      <c r="G544" s="1415"/>
      <c r="H544" s="1416"/>
      <c r="I544" t="s">
        <v>420</v>
      </c>
      <c r="AC544" s="1404" t="s">
        <v>590</v>
      </c>
      <c r="AD544" s="1405"/>
      <c r="AE544" s="1405"/>
      <c r="AF544" s="1405"/>
      <c r="AG544" s="13" t="s">
        <v>402</v>
      </c>
      <c r="AH544" s="1445"/>
      <c r="AI544" s="1445"/>
      <c r="AJ544" s="1445"/>
      <c r="AK544" s="1446"/>
      <c r="AZ544" s="3"/>
      <c r="BA544" s="3"/>
      <c r="BB544" s="3"/>
      <c r="BC544" s="3"/>
      <c r="BD544" s="3"/>
      <c r="BE544" s="3"/>
      <c r="BF544" s="3"/>
      <c r="BG544" s="3"/>
      <c r="BH544" s="3"/>
      <c r="BI544" s="3"/>
      <c r="BJ544" s="3"/>
      <c r="BK544" s="3"/>
      <c r="BL544" s="3"/>
      <c r="BM544" s="3"/>
      <c r="BN544" s="3" t="s">
        <v>2083</v>
      </c>
    </row>
    <row r="545" spans="1:66" ht="12.9" customHeight="1">
      <c r="B545" s="1414"/>
      <c r="C545" s="1415"/>
      <c r="D545" s="1415"/>
      <c r="E545" s="1415"/>
      <c r="F545" s="1415"/>
      <c r="G545" s="1415"/>
      <c r="H545" s="1416"/>
      <c r="I545" s="48" t="s">
        <v>421</v>
      </c>
      <c r="J545" s="48"/>
      <c r="K545" s="48"/>
      <c r="L545" s="48"/>
      <c r="M545" s="48"/>
      <c r="N545" s="48"/>
      <c r="O545" s="48"/>
      <c r="P545" s="48"/>
      <c r="Q545" s="48"/>
      <c r="R545" s="48"/>
      <c r="S545" s="48"/>
      <c r="T545" s="48"/>
      <c r="U545" s="48"/>
      <c r="V545" s="48"/>
      <c r="W545" s="48"/>
      <c r="X545" s="48"/>
      <c r="Y545" s="48"/>
      <c r="Z545" s="48"/>
      <c r="AA545" s="48"/>
      <c r="AB545" s="48"/>
      <c r="AC545" s="1404" t="s">
        <v>590</v>
      </c>
      <c r="AD545" s="1405"/>
      <c r="AE545" s="1405"/>
      <c r="AF545" s="1405"/>
      <c r="AG545" s="38" t="s">
        <v>402</v>
      </c>
      <c r="AH545" s="1445"/>
      <c r="AI545" s="1445"/>
      <c r="AJ545" s="1445"/>
      <c r="AK545" s="1446"/>
      <c r="AZ545" s="3"/>
      <c r="BA545" s="3"/>
      <c r="BB545" s="3"/>
      <c r="BC545" s="3"/>
      <c r="BD545" s="3"/>
      <c r="BE545" s="3"/>
      <c r="BF545" s="3"/>
      <c r="BG545" s="3"/>
      <c r="BH545" s="3"/>
      <c r="BI545" s="3"/>
      <c r="BJ545" s="3"/>
      <c r="BK545" s="3"/>
      <c r="BL545" s="3"/>
      <c r="BM545" s="3"/>
      <c r="BN545" s="3" t="s">
        <v>2084</v>
      </c>
    </row>
    <row r="546" spans="1:66" ht="12.9" customHeight="1">
      <c r="B546" s="1414"/>
      <c r="C546" s="1415"/>
      <c r="D546" s="1415"/>
      <c r="E546" s="1415"/>
      <c r="F546" s="1415"/>
      <c r="G546" s="1415"/>
      <c r="H546" s="1416"/>
      <c r="I546" s="42" t="s">
        <v>561</v>
      </c>
      <c r="J546" s="42"/>
      <c r="K546" s="42"/>
      <c r="L546" s="42"/>
      <c r="M546" s="42"/>
      <c r="N546" s="42"/>
      <c r="O546" s="42"/>
      <c r="P546" s="42"/>
      <c r="Q546" s="42"/>
      <c r="R546" s="42"/>
      <c r="S546" s="42"/>
      <c r="T546" s="42"/>
      <c r="U546" s="42"/>
      <c r="V546" s="42"/>
      <c r="W546" s="42"/>
      <c r="AC546" s="1404">
        <v>11</v>
      </c>
      <c r="AD546" s="1405"/>
      <c r="AE546" s="1405"/>
      <c r="AF546" s="1405"/>
      <c r="AG546" s="38" t="s">
        <v>402</v>
      </c>
      <c r="AH546" s="1445">
        <v>2026</v>
      </c>
      <c r="AI546" s="1445"/>
      <c r="AJ546" s="1445"/>
      <c r="AK546" s="1446"/>
      <c r="AZ546" s="3"/>
      <c r="BA546" s="3"/>
      <c r="BB546" s="3"/>
      <c r="BC546" s="3"/>
      <c r="BD546" s="3"/>
      <c r="BE546" s="3"/>
      <c r="BF546" s="3"/>
      <c r="BG546" s="3"/>
      <c r="BH546" s="3"/>
      <c r="BI546" s="3"/>
      <c r="BJ546" s="3"/>
      <c r="BK546" s="3"/>
      <c r="BL546" s="3"/>
      <c r="BM546" s="3"/>
      <c r="BN546" s="3"/>
    </row>
    <row r="547" spans="1:66" ht="12.9" customHeight="1">
      <c r="B547" s="1414"/>
      <c r="C547" s="1415"/>
      <c r="D547" s="1415"/>
      <c r="E547" s="1415"/>
      <c r="F547" s="1415"/>
      <c r="G547" s="1415"/>
      <c r="H547" s="1416"/>
      <c r="I547" t="s">
        <v>562</v>
      </c>
      <c r="AC547" s="1404">
        <v>11</v>
      </c>
      <c r="AD547" s="1405"/>
      <c r="AE547" s="1405"/>
      <c r="AF547" s="1405"/>
      <c r="AG547" s="13" t="s">
        <v>402</v>
      </c>
      <c r="AH547" s="1445">
        <v>2026</v>
      </c>
      <c r="AI547" s="1445"/>
      <c r="AJ547" s="1445"/>
      <c r="AK547" s="1446"/>
      <c r="AZ547" s="3"/>
      <c r="BA547" s="3"/>
      <c r="BB547" s="3"/>
      <c r="BC547" s="3"/>
      <c r="BD547" s="3"/>
      <c r="BE547" s="3"/>
      <c r="BF547" s="3"/>
      <c r="BG547" s="3"/>
      <c r="BH547" s="3"/>
      <c r="BI547" s="3"/>
      <c r="BJ547" s="3"/>
      <c r="BK547" s="3"/>
      <c r="BL547" s="3"/>
      <c r="BM547" s="3"/>
      <c r="BN547" s="3"/>
    </row>
    <row r="548" spans="1:66" ht="12.9" customHeight="1">
      <c r="B548" s="1414"/>
      <c r="C548" s="1415"/>
      <c r="D548" s="1415"/>
      <c r="E548" s="1415"/>
      <c r="F548" s="1415"/>
      <c r="G548" s="1415"/>
      <c r="H548" s="1416"/>
      <c r="I548" t="s">
        <v>563</v>
      </c>
      <c r="AC548" s="1404">
        <v>3</v>
      </c>
      <c r="AD548" s="1405"/>
      <c r="AE548" s="1405"/>
      <c r="AF548" s="1405"/>
      <c r="AG548" s="38" t="s">
        <v>402</v>
      </c>
      <c r="AH548" s="1445">
        <v>2029</v>
      </c>
      <c r="AI548" s="1445"/>
      <c r="AJ548" s="1445"/>
      <c r="AK548" s="1446"/>
      <c r="AZ548" s="3"/>
      <c r="BA548" s="3"/>
      <c r="BB548" s="3"/>
      <c r="BC548" s="3"/>
      <c r="BD548" s="3"/>
      <c r="BE548" s="3"/>
      <c r="BF548" s="3"/>
      <c r="BG548" s="3"/>
      <c r="BH548" s="3"/>
      <c r="BI548" s="3"/>
      <c r="BJ548" s="3"/>
      <c r="BK548" s="3"/>
      <c r="BL548" s="3"/>
      <c r="BM548" s="3"/>
      <c r="BN548" s="3"/>
    </row>
    <row r="549" spans="1:66" ht="12.9" customHeight="1">
      <c r="B549" s="1414"/>
      <c r="C549" s="1415"/>
      <c r="D549" s="1415"/>
      <c r="E549" s="1415"/>
      <c r="F549" s="1415"/>
      <c r="G549" s="1415"/>
      <c r="H549" s="1416"/>
      <c r="I549" t="s">
        <v>564</v>
      </c>
      <c r="AC549" s="1404">
        <v>3</v>
      </c>
      <c r="AD549" s="1405"/>
      <c r="AE549" s="1405"/>
      <c r="AF549" s="1405"/>
      <c r="AG549" s="38" t="s">
        <v>402</v>
      </c>
      <c r="AH549" s="1445">
        <v>2029</v>
      </c>
      <c r="AI549" s="1445"/>
      <c r="AJ549" s="1445"/>
      <c r="AK549" s="1446"/>
      <c r="AZ549" s="3"/>
      <c r="BA549" s="3"/>
      <c r="BB549" s="3"/>
      <c r="BC549" s="3"/>
      <c r="BD549" s="3"/>
      <c r="BE549" s="3"/>
      <c r="BF549" s="3"/>
      <c r="BG549" s="3"/>
      <c r="BH549" s="3"/>
      <c r="BI549" s="3"/>
      <c r="BJ549" s="3"/>
      <c r="BK549" s="3"/>
      <c r="BL549" s="3"/>
      <c r="BM549" s="3"/>
      <c r="BN549" s="3"/>
    </row>
    <row r="550" spans="1:66" ht="12.9" customHeight="1">
      <c r="B550" s="1417"/>
      <c r="C550" s="1418"/>
      <c r="D550" s="1418"/>
      <c r="E550" s="1418"/>
      <c r="F550" s="1418"/>
      <c r="G550" s="1418"/>
      <c r="H550" s="1419"/>
      <c r="I550" s="48" t="s">
        <v>450</v>
      </c>
      <c r="J550" s="48"/>
      <c r="K550" s="48"/>
      <c r="L550" s="48"/>
      <c r="M550" s="48"/>
      <c r="N550" s="48"/>
      <c r="O550" s="48"/>
      <c r="P550" s="48"/>
      <c r="Q550" s="48"/>
      <c r="R550" s="48"/>
      <c r="S550" s="48"/>
      <c r="T550" s="48"/>
      <c r="U550" s="48"/>
      <c r="V550" s="48"/>
      <c r="W550" s="48"/>
      <c r="X550" s="48"/>
      <c r="Y550" s="48"/>
      <c r="Z550" s="48"/>
      <c r="AA550" s="48"/>
      <c r="AB550" s="48"/>
      <c r="AC550" s="1404">
        <v>2</v>
      </c>
      <c r="AD550" s="1405"/>
      <c r="AE550" s="1405"/>
      <c r="AF550" s="1405"/>
      <c r="AG550" s="38" t="s">
        <v>402</v>
      </c>
      <c r="AH550" s="1445">
        <v>2030</v>
      </c>
      <c r="AI550" s="1445"/>
      <c r="AJ550" s="1445"/>
      <c r="AK550" s="1446"/>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2056</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411" t="s">
        <v>2058</v>
      </c>
      <c r="C559" s="1412"/>
      <c r="D559" s="1412"/>
      <c r="E559" s="1412"/>
      <c r="F559" s="1412"/>
      <c r="G559" s="1412"/>
      <c r="H559" s="1412"/>
      <c r="I559" s="1412"/>
      <c r="J559" s="1412"/>
      <c r="K559" s="1412"/>
      <c r="L559" s="1413"/>
      <c r="M559" s="1411" t="s">
        <v>2059</v>
      </c>
      <c r="N559" s="1412"/>
      <c r="O559" s="1412"/>
      <c r="P559" s="1413"/>
      <c r="Q559" s="1411" t="s">
        <v>2085</v>
      </c>
      <c r="R559" s="1412"/>
      <c r="S559" s="1413"/>
      <c r="T559" s="1411" t="s">
        <v>2086</v>
      </c>
      <c r="U559" s="1412"/>
      <c r="V559" s="1413"/>
      <c r="W559" s="1411" t="s">
        <v>452</v>
      </c>
      <c r="X559" s="1412"/>
      <c r="Y559" s="1413"/>
      <c r="Z559" s="1411" t="s">
        <v>1827</v>
      </c>
      <c r="AA559" s="1412"/>
      <c r="AB559" s="1412"/>
      <c r="AC559" s="1412"/>
      <c r="AD559" s="1413"/>
      <c r="AE559" s="1411" t="s">
        <v>1664</v>
      </c>
      <c r="AF559" s="1412"/>
      <c r="AG559" s="1412"/>
      <c r="AH559" s="1413"/>
      <c r="AI559" s="1411" t="s">
        <v>1665</v>
      </c>
      <c r="AJ559" s="1412"/>
      <c r="AK559" s="1412"/>
      <c r="AL559" s="1413"/>
      <c r="AM559" s="1411" t="s">
        <v>453</v>
      </c>
      <c r="AN559" s="1412"/>
      <c r="AO559" s="1412"/>
      <c r="AP559" s="1412"/>
      <c r="AQ559" s="1412"/>
      <c r="AR559" s="1412"/>
      <c r="AS559" s="1413"/>
      <c r="BB559" s="3"/>
      <c r="BC559" s="3"/>
      <c r="BD559" s="3"/>
      <c r="BE559" s="3"/>
      <c r="BF559" s="3"/>
      <c r="BG559" s="3"/>
      <c r="BH559" s="3" t="s">
        <v>580</v>
      </c>
      <c r="BI559" s="3" t="str">
        <f>AG665</f>
        <v>Yes</v>
      </c>
    </row>
    <row r="560" spans="1:66" ht="12.9" customHeight="1">
      <c r="B560" s="1414"/>
      <c r="C560" s="1415"/>
      <c r="D560" s="1415"/>
      <c r="E560" s="1415"/>
      <c r="F560" s="1415"/>
      <c r="G560" s="1415"/>
      <c r="H560" s="1415"/>
      <c r="I560" s="1415"/>
      <c r="J560" s="1415"/>
      <c r="K560" s="1415"/>
      <c r="L560" s="1416"/>
      <c r="M560" s="1414"/>
      <c r="N560" s="1415"/>
      <c r="O560" s="1415"/>
      <c r="P560" s="1416"/>
      <c r="Q560" s="1414"/>
      <c r="R560" s="1415"/>
      <c r="S560" s="1416"/>
      <c r="T560" s="1414"/>
      <c r="U560" s="1415"/>
      <c r="V560" s="1416"/>
      <c r="W560" s="1414"/>
      <c r="X560" s="1415"/>
      <c r="Y560" s="1416"/>
      <c r="Z560" s="1414"/>
      <c r="AA560" s="1415"/>
      <c r="AB560" s="1415"/>
      <c r="AC560" s="1415"/>
      <c r="AD560" s="1416"/>
      <c r="AE560" s="1414"/>
      <c r="AF560" s="1415"/>
      <c r="AG560" s="1415"/>
      <c r="AH560" s="1416"/>
      <c r="AI560" s="1414"/>
      <c r="AJ560" s="1415"/>
      <c r="AK560" s="1415"/>
      <c r="AL560" s="1416"/>
      <c r="AM560" s="1414"/>
      <c r="AN560" s="1415"/>
      <c r="AO560" s="1415"/>
      <c r="AP560" s="1415"/>
      <c r="AQ560" s="1415"/>
      <c r="AR560" s="1415"/>
      <c r="AS560" s="1416"/>
      <c r="AU560" s="1141"/>
      <c r="BB560" s="3"/>
      <c r="BC560" s="3"/>
      <c r="BD560" s="3"/>
      <c r="BE560" s="3"/>
      <c r="BF560" s="3"/>
      <c r="BG560" s="3"/>
      <c r="BH560" s="3"/>
      <c r="BI560" s="3"/>
    </row>
    <row r="561" spans="1:61" ht="12.9" customHeight="1">
      <c r="B561" s="1417"/>
      <c r="C561" s="1418"/>
      <c r="D561" s="1418"/>
      <c r="E561" s="1418"/>
      <c r="F561" s="1418"/>
      <c r="G561" s="1418"/>
      <c r="H561" s="1418"/>
      <c r="I561" s="1418"/>
      <c r="J561" s="1418"/>
      <c r="K561" s="1418"/>
      <c r="L561" s="1419"/>
      <c r="M561" s="1417"/>
      <c r="N561" s="1418"/>
      <c r="O561" s="1418"/>
      <c r="P561" s="1419"/>
      <c r="Q561" s="1417"/>
      <c r="R561" s="1418"/>
      <c r="S561" s="1419"/>
      <c r="T561" s="1417"/>
      <c r="U561" s="1418"/>
      <c r="V561" s="1419"/>
      <c r="W561" s="1417"/>
      <c r="X561" s="1418"/>
      <c r="Y561" s="1419"/>
      <c r="Z561" s="1417"/>
      <c r="AA561" s="1418"/>
      <c r="AB561" s="1418"/>
      <c r="AC561" s="1418"/>
      <c r="AD561" s="1419"/>
      <c r="AE561" s="1417"/>
      <c r="AF561" s="1418"/>
      <c r="AG561" s="1418"/>
      <c r="AH561" s="1419"/>
      <c r="AI561" s="1417"/>
      <c r="AJ561" s="1418"/>
      <c r="AK561" s="1418"/>
      <c r="AL561" s="1419"/>
      <c r="AM561" s="1417"/>
      <c r="AN561" s="1418"/>
      <c r="AO561" s="1418"/>
      <c r="AP561" s="1418"/>
      <c r="AQ561" s="1418"/>
      <c r="AR561" s="1418"/>
      <c r="AS561" s="1419"/>
      <c r="AU561" s="1141"/>
      <c r="BB561" s="3"/>
      <c r="BC561" s="3"/>
      <c r="BD561" s="3"/>
      <c r="BE561" s="3"/>
      <c r="BF561" s="3"/>
      <c r="BG561" s="3"/>
      <c r="BH561" s="3"/>
      <c r="BI561" s="3"/>
    </row>
    <row r="562" spans="1:61" ht="12.9" customHeight="1">
      <c r="B562" s="51" t="s">
        <v>112</v>
      </c>
      <c r="C562" s="1449" t="s">
        <v>2745</v>
      </c>
      <c r="D562" s="1449"/>
      <c r="E562" s="1449"/>
      <c r="F562" s="1449"/>
      <c r="G562" s="1449"/>
      <c r="H562" s="1449"/>
      <c r="I562" s="1449"/>
      <c r="J562" s="1449"/>
      <c r="K562" s="1449"/>
      <c r="L562" s="1449"/>
      <c r="M562" s="1449" t="s">
        <v>2075</v>
      </c>
      <c r="N562" s="1449"/>
      <c r="O562" s="1449"/>
      <c r="P562" s="1449"/>
      <c r="Q562" s="1443">
        <f>28+12</f>
        <v>40</v>
      </c>
      <c r="R562" s="1443"/>
      <c r="S562" s="1444"/>
      <c r="T562" s="1442"/>
      <c r="U562" s="1443"/>
      <c r="V562" s="1444"/>
      <c r="W562" s="1439">
        <f>'[1]4%'!$G$27</f>
        <v>5.4500000000000007E-2</v>
      </c>
      <c r="X562" s="1440"/>
      <c r="Y562" s="1441"/>
      <c r="Z562" s="1448" t="s">
        <v>2659</v>
      </c>
      <c r="AA562" s="1448"/>
      <c r="AB562" s="1448"/>
      <c r="AC562" s="1448"/>
      <c r="AD562" s="1448"/>
      <c r="AE562" s="1428">
        <v>1</v>
      </c>
      <c r="AF562" s="1429"/>
      <c r="AG562" s="1429"/>
      <c r="AH562" s="1430"/>
      <c r="AI562" s="1480"/>
      <c r="AJ562" s="1481"/>
      <c r="AK562" s="1481"/>
      <c r="AL562" s="1482"/>
      <c r="AM562" s="1477">
        <f>'[1]4%'!$F$27</f>
        <v>53597685.266545199</v>
      </c>
      <c r="AN562" s="1478"/>
      <c r="AO562" s="1478"/>
      <c r="AP562" s="1478"/>
      <c r="AQ562" s="1478"/>
      <c r="AR562" s="1478"/>
      <c r="AS562" s="1479"/>
      <c r="AT562" s="1142"/>
      <c r="AU562" s="1141"/>
      <c r="BB562" s="3"/>
      <c r="BC562" s="3"/>
      <c r="BD562" s="3"/>
      <c r="BE562" s="3"/>
      <c r="BF562" s="3"/>
      <c r="BG562" s="3"/>
      <c r="BH562" s="3"/>
      <c r="BI562" s="3"/>
    </row>
    <row r="563" spans="1:61" ht="12.9" customHeight="1">
      <c r="B563" s="52" t="s">
        <v>113</v>
      </c>
      <c r="C563" s="1450" t="s">
        <v>2745</v>
      </c>
      <c r="D563" s="1450"/>
      <c r="E563" s="1450"/>
      <c r="F563" s="1450"/>
      <c r="G563" s="1450"/>
      <c r="H563" s="1450"/>
      <c r="I563" s="1450"/>
      <c r="J563" s="1450"/>
      <c r="K563" s="1450"/>
      <c r="L563" s="1450"/>
      <c r="M563" s="1449" t="s">
        <v>2074</v>
      </c>
      <c r="N563" s="1449"/>
      <c r="O563" s="1449"/>
      <c r="P563" s="1449"/>
      <c r="Q563" s="1442">
        <f>Q562</f>
        <v>40</v>
      </c>
      <c r="R563" s="1443"/>
      <c r="S563" s="1444"/>
      <c r="T563" s="1442"/>
      <c r="U563" s="1443"/>
      <c r="V563" s="1444"/>
      <c r="W563" s="1439">
        <f>'[1]4%'!$G$28</f>
        <v>5.7000000000000009E-2</v>
      </c>
      <c r="X563" s="1440"/>
      <c r="Y563" s="1441"/>
      <c r="Z563" s="1448" t="s">
        <v>2659</v>
      </c>
      <c r="AA563" s="1448"/>
      <c r="AB563" s="1448"/>
      <c r="AC563" s="1448"/>
      <c r="AD563" s="1448"/>
      <c r="AE563" s="1428">
        <v>1</v>
      </c>
      <c r="AF563" s="1429"/>
      <c r="AG563" s="1429"/>
      <c r="AH563" s="1430"/>
      <c r="AI563" s="1480"/>
      <c r="AJ563" s="1481"/>
      <c r="AK563" s="1481"/>
      <c r="AL563" s="1482"/>
      <c r="AM563" s="1477">
        <f>'[1]4%'!$F$28</f>
        <v>57423034.353167988</v>
      </c>
      <c r="AN563" s="1478"/>
      <c r="AO563" s="1478"/>
      <c r="AP563" s="1478"/>
      <c r="AQ563" s="1478"/>
      <c r="AR563" s="1478"/>
      <c r="AS563" s="1479"/>
      <c r="AT563" s="1142" t="str">
        <f>IF(AND(NOT(C562=""),C563="",NOT(C564="")),"!","")</f>
        <v/>
      </c>
      <c r="AU563" s="1141"/>
      <c r="BB563" s="3"/>
      <c r="BC563" s="3"/>
      <c r="BD563" s="3"/>
      <c r="BE563" s="3"/>
      <c r="BF563" s="3"/>
      <c r="BG563" s="3"/>
      <c r="BH563" s="3"/>
      <c r="BI563" s="3"/>
    </row>
    <row r="564" spans="1:61" ht="12.9" customHeight="1">
      <c r="B564" s="52" t="s">
        <v>119</v>
      </c>
      <c r="C564" s="1450" t="s">
        <v>2674</v>
      </c>
      <c r="D564" s="1450"/>
      <c r="E564" s="1450"/>
      <c r="F564" s="1450"/>
      <c r="G564" s="1450"/>
      <c r="H564" s="1450"/>
      <c r="I564" s="1450"/>
      <c r="J564" s="1450"/>
      <c r="K564" s="1450"/>
      <c r="L564" s="1450"/>
      <c r="M564" s="1449" t="s">
        <v>2078</v>
      </c>
      <c r="N564" s="1449"/>
      <c r="O564" s="1449"/>
      <c r="P564" s="1449"/>
      <c r="Q564" s="1442"/>
      <c r="R564" s="1443"/>
      <c r="S564" s="1444"/>
      <c r="T564" s="1442"/>
      <c r="U564" s="1443"/>
      <c r="V564" s="1444"/>
      <c r="W564" s="1439"/>
      <c r="X564" s="1440"/>
      <c r="Y564" s="1441"/>
      <c r="Z564" s="1448" t="s">
        <v>590</v>
      </c>
      <c r="AA564" s="1448"/>
      <c r="AB564" s="1448"/>
      <c r="AC564" s="1448"/>
      <c r="AD564" s="1448"/>
      <c r="AE564" s="1428"/>
      <c r="AF564" s="1429"/>
      <c r="AG564" s="1429"/>
      <c r="AH564" s="1430"/>
      <c r="AI564" s="1480"/>
      <c r="AJ564" s="1481"/>
      <c r="AK564" s="1481"/>
      <c r="AL564" s="1482"/>
      <c r="AM564" s="1477">
        <f>'[1]4%'!$F$15</f>
        <v>48249555.518663198</v>
      </c>
      <c r="AN564" s="1478"/>
      <c r="AO564" s="1478"/>
      <c r="AP564" s="1478"/>
      <c r="AQ564" s="1478"/>
      <c r="AR564" s="1478"/>
      <c r="AS564" s="1479"/>
      <c r="AT564" s="1142" t="str">
        <f>IF(AND(NOT(C563=""),C564="",NOT(C565="")),"!","")</f>
        <v/>
      </c>
      <c r="AU564" s="1141"/>
      <c r="BB564" s="3"/>
      <c r="BC564" s="3"/>
      <c r="BD564" s="3"/>
      <c r="BE564" s="3"/>
      <c r="BF564" s="3"/>
      <c r="BG564" s="3"/>
      <c r="BH564" s="3"/>
      <c r="BI564" s="3"/>
    </row>
    <row r="565" spans="1:61" ht="12.9" customHeight="1">
      <c r="B565" s="52" t="s">
        <v>580</v>
      </c>
      <c r="C565" s="1450" t="s">
        <v>2744</v>
      </c>
      <c r="D565" s="1450"/>
      <c r="E565" s="1450"/>
      <c r="F565" s="1450"/>
      <c r="G565" s="1450"/>
      <c r="H565" s="1450"/>
      <c r="I565" s="1450"/>
      <c r="J565" s="1450"/>
      <c r="K565" s="1450"/>
      <c r="L565" s="1450"/>
      <c r="M565" s="1449" t="s">
        <v>2078</v>
      </c>
      <c r="N565" s="1449"/>
      <c r="O565" s="1449"/>
      <c r="P565" s="1449"/>
      <c r="Q565" s="1442"/>
      <c r="R565" s="1443"/>
      <c r="S565" s="1444"/>
      <c r="T565" s="1442"/>
      <c r="U565" s="1443"/>
      <c r="V565" s="1444"/>
      <c r="W565" s="1439"/>
      <c r="X565" s="1440"/>
      <c r="Y565" s="1441"/>
      <c r="Z565" s="1448" t="s">
        <v>590</v>
      </c>
      <c r="AA565" s="1448"/>
      <c r="AB565" s="1448"/>
      <c r="AC565" s="1448"/>
      <c r="AD565" s="1448"/>
      <c r="AE565" s="1428"/>
      <c r="AF565" s="1429"/>
      <c r="AG565" s="1429"/>
      <c r="AH565" s="1430"/>
      <c r="AI565" s="1480"/>
      <c r="AJ565" s="1481"/>
      <c r="AK565" s="1481"/>
      <c r="AL565" s="1482"/>
      <c r="AM565" s="1477">
        <f>'[1]4%'!$F$17</f>
        <v>9639666.7712485287</v>
      </c>
      <c r="AN565" s="1478"/>
      <c r="AO565" s="1478"/>
      <c r="AP565" s="1478"/>
      <c r="AQ565" s="1478"/>
      <c r="AR565" s="1478"/>
      <c r="AS565" s="1479"/>
      <c r="AT565" s="1142" t="str">
        <f>IF(AND(NOT(C564=""),C565="",NOT(C566="")),"!","")</f>
        <v/>
      </c>
      <c r="AU565" s="1141"/>
      <c r="BB565" s="3"/>
      <c r="BC565" s="3"/>
      <c r="BD565" s="3"/>
      <c r="BE565" s="3"/>
      <c r="BF565" s="3"/>
      <c r="BG565" s="3"/>
      <c r="BH565" s="3"/>
      <c r="BI565" s="3"/>
    </row>
    <row r="566" spans="1:61" ht="12.9" customHeight="1">
      <c r="B566" s="52" t="s">
        <v>762</v>
      </c>
      <c r="C566" s="1530" t="s">
        <v>2757</v>
      </c>
      <c r="D566" s="1450"/>
      <c r="E566" s="1450"/>
      <c r="F566" s="1450"/>
      <c r="G566" s="1450"/>
      <c r="H566" s="1450"/>
      <c r="I566" s="1450"/>
      <c r="J566" s="1450"/>
      <c r="K566" s="1450"/>
      <c r="L566" s="1450"/>
      <c r="M566" s="1449" t="s">
        <v>2065</v>
      </c>
      <c r="N566" s="1449"/>
      <c r="O566" s="1449"/>
      <c r="P566" s="1449"/>
      <c r="Q566" s="1442"/>
      <c r="R566" s="1443"/>
      <c r="S566" s="1444"/>
      <c r="T566" s="1442"/>
      <c r="U566" s="1443"/>
      <c r="V566" s="1444"/>
      <c r="W566" s="1439"/>
      <c r="X566" s="1440"/>
      <c r="Y566" s="1441"/>
      <c r="Z566" s="1448" t="s">
        <v>590</v>
      </c>
      <c r="AA566" s="1448"/>
      <c r="AB566" s="1448"/>
      <c r="AC566" s="1448"/>
      <c r="AD566" s="1448"/>
      <c r="AE566" s="1428"/>
      <c r="AF566" s="1429"/>
      <c r="AG566" s="1429"/>
      <c r="AH566" s="1430"/>
      <c r="AI566" s="1480"/>
      <c r="AJ566" s="1481"/>
      <c r="AK566" s="1481"/>
      <c r="AL566" s="1482"/>
      <c r="AM566" s="1477">
        <f>'[1]4%'!$J$21</f>
        <v>100</v>
      </c>
      <c r="AN566" s="1478"/>
      <c r="AO566" s="1478"/>
      <c r="AP566" s="1478"/>
      <c r="AQ566" s="1478"/>
      <c r="AR566" s="1478"/>
      <c r="AS566" s="1479"/>
      <c r="AT566" s="1142" t="str">
        <f t="shared" ref="AT566:AT573" si="2">IF(AND(NOT(C565=""),C566="",NOT(C567="")),"!","")</f>
        <v/>
      </c>
      <c r="AU566" s="1141"/>
      <c r="BB566" s="3"/>
      <c r="BC566" s="3"/>
      <c r="BD566" s="3"/>
      <c r="BE566" s="3"/>
      <c r="BF566" s="3"/>
      <c r="BG566" s="3"/>
      <c r="BH566" s="3" t="s">
        <v>762</v>
      </c>
      <c r="BI566" s="3" t="str">
        <f>N673</f>
        <v>No</v>
      </c>
    </row>
    <row r="567" spans="1:61" ht="12.9" customHeight="1">
      <c r="B567" s="52" t="s">
        <v>583</v>
      </c>
      <c r="C567" s="1450" t="s">
        <v>2661</v>
      </c>
      <c r="D567" s="1450"/>
      <c r="E567" s="1450"/>
      <c r="F567" s="1450"/>
      <c r="G567" s="1450"/>
      <c r="H567" s="1450"/>
      <c r="I567" s="1450"/>
      <c r="J567" s="1450"/>
      <c r="K567" s="1450"/>
      <c r="L567" s="1450"/>
      <c r="M567" s="1449" t="s">
        <v>2066</v>
      </c>
      <c r="N567" s="1449"/>
      <c r="O567" s="1449"/>
      <c r="P567" s="1449"/>
      <c r="Q567" s="1442"/>
      <c r="R567" s="1443"/>
      <c r="S567" s="1444"/>
      <c r="T567" s="1442"/>
      <c r="U567" s="1443"/>
      <c r="V567" s="1444"/>
      <c r="W567" s="1439"/>
      <c r="X567" s="1440"/>
      <c r="Y567" s="1441"/>
      <c r="Z567" s="1448" t="s">
        <v>590</v>
      </c>
      <c r="AA567" s="1448"/>
      <c r="AB567" s="1448"/>
      <c r="AC567" s="1448"/>
      <c r="AD567" s="1448"/>
      <c r="AE567" s="1428"/>
      <c r="AF567" s="1429"/>
      <c r="AG567" s="1429"/>
      <c r="AH567" s="1430"/>
      <c r="AI567" s="1480"/>
      <c r="AJ567" s="1481"/>
      <c r="AK567" s="1481"/>
      <c r="AL567" s="1482"/>
      <c r="AM567" s="1477">
        <f>'[1]4%'!$J$22-'[1]4%'!$F$120</f>
        <v>7355885.5806049593</v>
      </c>
      <c r="AN567" s="1478"/>
      <c r="AO567" s="1478"/>
      <c r="AP567" s="1478"/>
      <c r="AQ567" s="1478"/>
      <c r="AR567" s="1478"/>
      <c r="AS567" s="1479"/>
      <c r="AT567" s="1142" t="str">
        <f t="shared" si="2"/>
        <v/>
      </c>
      <c r="AU567" s="1141"/>
      <c r="BB567" s="3"/>
      <c r="BC567" s="3"/>
      <c r="BD567" s="3"/>
      <c r="BE567" s="3"/>
      <c r="BF567" s="3"/>
      <c r="BG567" s="3"/>
      <c r="BH567" s="3" t="s">
        <v>583</v>
      </c>
      <c r="BI567" s="3" t="str">
        <f>AG673</f>
        <v>No</v>
      </c>
    </row>
    <row r="568" spans="1:61" ht="12.9" customHeight="1">
      <c r="B568" s="52" t="s">
        <v>454</v>
      </c>
      <c r="C568" s="1450"/>
      <c r="D568" s="1450"/>
      <c r="E568" s="1450"/>
      <c r="F568" s="1450"/>
      <c r="G568" s="1450"/>
      <c r="H568" s="1450"/>
      <c r="I568" s="1450"/>
      <c r="J568" s="1450"/>
      <c r="K568" s="1450"/>
      <c r="L568" s="1450"/>
      <c r="M568" s="1449" t="s">
        <v>1183</v>
      </c>
      <c r="N568" s="1449"/>
      <c r="O568" s="1449"/>
      <c r="P568" s="1449"/>
      <c r="Q568" s="1442"/>
      <c r="R568" s="1443"/>
      <c r="S568" s="1444"/>
      <c r="T568" s="1442"/>
      <c r="U568" s="1443"/>
      <c r="V568" s="1444"/>
      <c r="W568" s="1439"/>
      <c r="X568" s="1440"/>
      <c r="Y568" s="1441"/>
      <c r="Z568" s="1448" t="s">
        <v>1183</v>
      </c>
      <c r="AA568" s="1448"/>
      <c r="AB568" s="1448"/>
      <c r="AC568" s="1448"/>
      <c r="AD568" s="1448"/>
      <c r="AE568" s="1428"/>
      <c r="AF568" s="1429"/>
      <c r="AG568" s="1429"/>
      <c r="AH568" s="1430"/>
      <c r="AI568" s="1480"/>
      <c r="AJ568" s="1481"/>
      <c r="AK568" s="1481"/>
      <c r="AL568" s="1482"/>
      <c r="AM568" s="1477"/>
      <c r="AN568" s="1478"/>
      <c r="AO568" s="1478"/>
      <c r="AP568" s="1478"/>
      <c r="AQ568" s="1478"/>
      <c r="AR568" s="1478"/>
      <c r="AS568" s="1479"/>
      <c r="AT568" s="1142" t="str">
        <f t="shared" si="2"/>
        <v/>
      </c>
      <c r="AU568" s="1141"/>
      <c r="BB568" s="3"/>
      <c r="BC568" s="3"/>
      <c r="BD568" s="3"/>
      <c r="BE568" s="3"/>
      <c r="BF568" s="3"/>
      <c r="BG568" s="3"/>
      <c r="BH568" s="3"/>
      <c r="BI568" s="3"/>
    </row>
    <row r="569" spans="1:61" ht="12.9" customHeight="1">
      <c r="B569" s="52" t="s">
        <v>455</v>
      </c>
      <c r="C569" s="1450"/>
      <c r="D569" s="1450"/>
      <c r="E569" s="1450"/>
      <c r="F569" s="1450"/>
      <c r="G569" s="1450"/>
      <c r="H569" s="1450"/>
      <c r="I569" s="1450"/>
      <c r="J569" s="1450"/>
      <c r="K569" s="1450"/>
      <c r="L569" s="1450"/>
      <c r="M569" s="1449" t="s">
        <v>1183</v>
      </c>
      <c r="N569" s="1449"/>
      <c r="O569" s="1449"/>
      <c r="P569" s="1449"/>
      <c r="Q569" s="1442"/>
      <c r="R569" s="1443"/>
      <c r="S569" s="1444"/>
      <c r="T569" s="1442"/>
      <c r="U569" s="1443"/>
      <c r="V569" s="1444"/>
      <c r="W569" s="1439"/>
      <c r="X569" s="1440"/>
      <c r="Y569" s="1441"/>
      <c r="Z569" s="1448" t="s">
        <v>1183</v>
      </c>
      <c r="AA569" s="1448"/>
      <c r="AB569" s="1448"/>
      <c r="AC569" s="1448"/>
      <c r="AD569" s="1448"/>
      <c r="AE569" s="1428"/>
      <c r="AF569" s="1429"/>
      <c r="AG569" s="1429"/>
      <c r="AH569" s="1430"/>
      <c r="AI569" s="1480"/>
      <c r="AJ569" s="1481"/>
      <c r="AK569" s="1481"/>
      <c r="AL569" s="1482"/>
      <c r="AM569" s="1477"/>
      <c r="AN569" s="1478"/>
      <c r="AO569" s="1478"/>
      <c r="AP569" s="1478"/>
      <c r="AQ569" s="1478"/>
      <c r="AR569" s="1478"/>
      <c r="AS569" s="1479"/>
      <c r="AT569" s="1142" t="str">
        <f t="shared" si="2"/>
        <v/>
      </c>
      <c r="AU569" s="1141"/>
      <c r="BB569" s="3"/>
      <c r="BC569" s="3"/>
      <c r="BD569" s="3"/>
      <c r="BE569" s="3"/>
      <c r="BF569" s="3"/>
      <c r="BG569" s="3"/>
      <c r="BH569" s="3"/>
      <c r="BI569" s="3"/>
    </row>
    <row r="570" spans="1:61" ht="12.9" customHeight="1">
      <c r="B570" s="52" t="s">
        <v>460</v>
      </c>
      <c r="C570" s="1450"/>
      <c r="D570" s="1450"/>
      <c r="E570" s="1450"/>
      <c r="F570" s="1450"/>
      <c r="G570" s="1450"/>
      <c r="H570" s="1450"/>
      <c r="I570" s="1450"/>
      <c r="J570" s="1450"/>
      <c r="K570" s="1450"/>
      <c r="L570" s="1450"/>
      <c r="M570" s="1449" t="s">
        <v>1183</v>
      </c>
      <c r="N570" s="1449"/>
      <c r="O570" s="1449"/>
      <c r="P570" s="1449"/>
      <c r="Q570" s="1442"/>
      <c r="R570" s="1443"/>
      <c r="S570" s="1444"/>
      <c r="T570" s="1442"/>
      <c r="U570" s="1443"/>
      <c r="V570" s="1444"/>
      <c r="W570" s="1439"/>
      <c r="X570" s="1440"/>
      <c r="Y570" s="1441"/>
      <c r="Z570" s="1448" t="s">
        <v>1183</v>
      </c>
      <c r="AA570" s="1448"/>
      <c r="AB570" s="1448"/>
      <c r="AC570" s="1448"/>
      <c r="AD570" s="1448"/>
      <c r="AE570" s="1428"/>
      <c r="AF570" s="1429"/>
      <c r="AG570" s="1429"/>
      <c r="AH570" s="1430"/>
      <c r="AI570" s="1480"/>
      <c r="AJ570" s="1481"/>
      <c r="AK570" s="1481"/>
      <c r="AL570" s="1482"/>
      <c r="AM570" s="1477"/>
      <c r="AN570" s="1478"/>
      <c r="AO570" s="1478"/>
      <c r="AP570" s="1478"/>
      <c r="AQ570" s="1478"/>
      <c r="AR570" s="1478"/>
      <c r="AS570" s="1479"/>
      <c r="AT570" s="1142" t="str">
        <f t="shared" si="2"/>
        <v/>
      </c>
      <c r="AU570" s="1141"/>
      <c r="BB570" s="3"/>
      <c r="BC570" s="3"/>
      <c r="BD570" s="3"/>
      <c r="BE570" s="3"/>
      <c r="BF570" s="3"/>
      <c r="BG570" s="3"/>
      <c r="BH570" s="3"/>
      <c r="BI570" s="3"/>
    </row>
    <row r="571" spans="1:61" ht="12.9" customHeight="1">
      <c r="B571" s="52" t="s">
        <v>645</v>
      </c>
      <c r="C571" s="1450"/>
      <c r="D571" s="1450"/>
      <c r="E571" s="1450"/>
      <c r="F571" s="1450"/>
      <c r="G571" s="1450"/>
      <c r="H571" s="1450"/>
      <c r="I571" s="1450"/>
      <c r="J571" s="1450"/>
      <c r="K571" s="1450"/>
      <c r="L571" s="1450"/>
      <c r="M571" s="1449" t="s">
        <v>1183</v>
      </c>
      <c r="N571" s="1449"/>
      <c r="O571" s="1449"/>
      <c r="P571" s="1449"/>
      <c r="Q571" s="1442"/>
      <c r="R571" s="1443"/>
      <c r="S571" s="1444"/>
      <c r="T571" s="1442"/>
      <c r="U571" s="1443"/>
      <c r="V571" s="1444"/>
      <c r="W571" s="1439"/>
      <c r="X571" s="1440"/>
      <c r="Y571" s="1441"/>
      <c r="Z571" s="1448" t="s">
        <v>1183</v>
      </c>
      <c r="AA571" s="1448"/>
      <c r="AB571" s="1448"/>
      <c r="AC571" s="1448"/>
      <c r="AD571" s="1448"/>
      <c r="AE571" s="1428"/>
      <c r="AF571" s="1429"/>
      <c r="AG571" s="1429"/>
      <c r="AH571" s="1430"/>
      <c r="AI571" s="1480"/>
      <c r="AJ571" s="1481"/>
      <c r="AK571" s="1481"/>
      <c r="AL571" s="1482"/>
      <c r="AM571" s="1477"/>
      <c r="AN571" s="1478"/>
      <c r="AO571" s="1478"/>
      <c r="AP571" s="1478"/>
      <c r="AQ571" s="1478"/>
      <c r="AR571" s="1478"/>
      <c r="AS571" s="1479"/>
      <c r="AT571" s="1142" t="str">
        <f t="shared" si="2"/>
        <v/>
      </c>
      <c r="BB571" s="3"/>
      <c r="BC571" s="3"/>
      <c r="BD571" s="3"/>
      <c r="BE571" s="3"/>
      <c r="BF571" s="3"/>
      <c r="BG571" s="3"/>
      <c r="BH571" s="3"/>
      <c r="BI571" s="3"/>
    </row>
    <row r="572" spans="1:61" ht="12.9" customHeight="1">
      <c r="B572" s="52" t="s">
        <v>361</v>
      </c>
      <c r="C572" s="1450"/>
      <c r="D572" s="1450"/>
      <c r="E572" s="1450"/>
      <c r="F572" s="1450"/>
      <c r="G572" s="1450"/>
      <c r="H572" s="1450"/>
      <c r="I572" s="1450"/>
      <c r="J572" s="1450"/>
      <c r="K572" s="1450"/>
      <c r="L572" s="1450"/>
      <c r="M572" s="1449" t="s">
        <v>1183</v>
      </c>
      <c r="N572" s="1449"/>
      <c r="O572" s="1449"/>
      <c r="P572" s="1449"/>
      <c r="Q572" s="1442"/>
      <c r="R572" s="1443"/>
      <c r="S572" s="1444"/>
      <c r="T572" s="1442"/>
      <c r="U572" s="1443"/>
      <c r="V572" s="1444"/>
      <c r="W572" s="1439"/>
      <c r="X572" s="1440"/>
      <c r="Y572" s="1441"/>
      <c r="Z572" s="1448" t="s">
        <v>1183</v>
      </c>
      <c r="AA572" s="1448"/>
      <c r="AB572" s="1448"/>
      <c r="AC572" s="1448"/>
      <c r="AD572" s="1448"/>
      <c r="AE572" s="1428"/>
      <c r="AF572" s="1429"/>
      <c r="AG572" s="1429"/>
      <c r="AH572" s="1430"/>
      <c r="AI572" s="1480"/>
      <c r="AJ572" s="1481"/>
      <c r="AK572" s="1481"/>
      <c r="AL572" s="1482"/>
      <c r="AM572" s="1477"/>
      <c r="AN572" s="1478"/>
      <c r="AO572" s="1478"/>
      <c r="AP572" s="1478"/>
      <c r="AQ572" s="1478"/>
      <c r="AR572" s="1478"/>
      <c r="AS572" s="1479"/>
      <c r="AT572" s="1142" t="str">
        <f t="shared" si="2"/>
        <v/>
      </c>
      <c r="BB572" s="3"/>
      <c r="BC572" s="3"/>
      <c r="BD572" s="3"/>
      <c r="BE572" s="3"/>
      <c r="BF572" s="3"/>
      <c r="BG572" s="3"/>
      <c r="BH572" s="3"/>
      <c r="BI572" s="3"/>
    </row>
    <row r="573" spans="1:61" ht="12.9" customHeight="1">
      <c r="B573" s="52" t="s">
        <v>362</v>
      </c>
      <c r="C573" s="1450"/>
      <c r="D573" s="1450"/>
      <c r="E573" s="1450"/>
      <c r="F573" s="1450"/>
      <c r="G573" s="1450"/>
      <c r="H573" s="1450"/>
      <c r="I573" s="1450"/>
      <c r="J573" s="1450"/>
      <c r="K573" s="1450"/>
      <c r="L573" s="1450"/>
      <c r="M573" s="1449" t="s">
        <v>1183</v>
      </c>
      <c r="N573" s="1449"/>
      <c r="O573" s="1449"/>
      <c r="P573" s="1449"/>
      <c r="Q573" s="1442"/>
      <c r="R573" s="1443"/>
      <c r="S573" s="1444"/>
      <c r="T573" s="1442"/>
      <c r="U573" s="1443"/>
      <c r="V573" s="1444"/>
      <c r="W573" s="1439"/>
      <c r="X573" s="1440"/>
      <c r="Y573" s="1441"/>
      <c r="Z573" s="1448" t="s">
        <v>1183</v>
      </c>
      <c r="AA573" s="1448"/>
      <c r="AB573" s="1448"/>
      <c r="AC573" s="1448"/>
      <c r="AD573" s="1448"/>
      <c r="AE573" s="1428"/>
      <c r="AF573" s="1429"/>
      <c r="AG573" s="1429"/>
      <c r="AH573" s="1430"/>
      <c r="AI573" s="1480"/>
      <c r="AJ573" s="1481"/>
      <c r="AK573" s="1481"/>
      <c r="AL573" s="1482"/>
      <c r="AM573" s="1477"/>
      <c r="AN573" s="1478"/>
      <c r="AO573" s="1478"/>
      <c r="AP573" s="1478"/>
      <c r="AQ573" s="1478"/>
      <c r="AR573" s="1478"/>
      <c r="AS573" s="1479"/>
      <c r="AT573" s="1142" t="str">
        <f t="shared" si="2"/>
        <v/>
      </c>
      <c r="BB573" s="3"/>
      <c r="BC573" s="3"/>
      <c r="BD573" s="3"/>
      <c r="BE573" s="3"/>
      <c r="BF573" s="3"/>
      <c r="BG573" s="3"/>
      <c r="BH573" s="3"/>
      <c r="BI573" s="3"/>
    </row>
    <row r="574" spans="1:61" ht="12.9" customHeight="1">
      <c r="B574" s="1424" t="s">
        <v>127</v>
      </c>
      <c r="C574" s="1425"/>
      <c r="D574" s="1425"/>
      <c r="E574" s="1425"/>
      <c r="F574" s="1425"/>
      <c r="G574" s="1425"/>
      <c r="H574" s="1425"/>
      <c r="I574" s="1425"/>
      <c r="J574" s="1425"/>
      <c r="K574" s="1425"/>
      <c r="L574" s="1425"/>
      <c r="M574" s="1425"/>
      <c r="N574" s="1425"/>
      <c r="O574" s="1425"/>
      <c r="P574" s="1425"/>
      <c r="Q574" s="1425"/>
      <c r="R574" s="1425"/>
      <c r="S574" s="1425"/>
      <c r="T574" s="1425"/>
      <c r="U574" s="1426"/>
      <c r="V574" s="1425"/>
      <c r="W574" s="1425"/>
      <c r="X574" s="1425"/>
      <c r="Y574" s="1425"/>
      <c r="Z574" s="1425"/>
      <c r="AA574" s="1425"/>
      <c r="AB574" s="1425"/>
      <c r="AC574" s="1425"/>
      <c r="AD574" s="1425"/>
      <c r="AE574" s="1425"/>
      <c r="AF574" s="1425"/>
      <c r="AG574" s="1425"/>
      <c r="AH574" s="1425"/>
      <c r="AI574" s="1425"/>
      <c r="AJ574" s="1425"/>
      <c r="AK574" s="1425"/>
      <c r="AL574" s="1427"/>
      <c r="AM574" s="1485">
        <f>SUM(AM562:AS573)</f>
        <v>176265927.49022987</v>
      </c>
      <c r="AN574" s="1486"/>
      <c r="AO574" s="1486"/>
      <c r="AP574" s="1486"/>
      <c r="AQ574" s="1486"/>
      <c r="AR574" s="1486"/>
      <c r="AS574" s="1487"/>
      <c r="BB574" s="3"/>
      <c r="BC574" s="3"/>
      <c r="BD574" s="3"/>
      <c r="BE574" s="3"/>
      <c r="BF574" s="3"/>
      <c r="BG574" s="3"/>
      <c r="BH574" s="3" t="s">
        <v>454</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 customHeight="1">
      <c r="A576" s="55" t="s">
        <v>112</v>
      </c>
      <c r="B576" t="s">
        <v>462</v>
      </c>
      <c r="G576" s="1496" t="str">
        <f>C562</f>
        <v>JPMorgan Chase Bank</v>
      </c>
      <c r="H576" s="1496"/>
      <c r="I576" s="1496"/>
      <c r="J576" s="1496"/>
      <c r="K576" s="1496"/>
      <c r="L576" s="1496"/>
      <c r="M576" s="1496"/>
      <c r="N576" s="1496"/>
      <c r="O576" s="1496"/>
      <c r="P576" s="1496"/>
      <c r="Q576" s="1496"/>
      <c r="R576" s="1496"/>
      <c r="S576" s="8"/>
      <c r="T576" s="55" t="s">
        <v>113</v>
      </c>
      <c r="U576" t="s">
        <v>462</v>
      </c>
      <c r="Z576" s="1496" t="str">
        <f>C563</f>
        <v>JPMorgan Chase Bank</v>
      </c>
      <c r="AA576" s="1496"/>
      <c r="AB576" s="1496"/>
      <c r="AC576" s="1496"/>
      <c r="AD576" s="1496"/>
      <c r="AE576" s="1496"/>
      <c r="AF576" s="1496"/>
      <c r="AG576" s="1496"/>
      <c r="AH576" s="1496"/>
      <c r="AI576" s="1496"/>
      <c r="AJ576" s="1496"/>
      <c r="AK576" s="1496"/>
      <c r="BB576" s="3"/>
      <c r="BC576" s="3"/>
      <c r="BD576" s="3"/>
      <c r="BE576" s="3"/>
      <c r="BF576" s="3"/>
      <c r="BG576" s="3"/>
      <c r="BH576" s="3"/>
      <c r="BI576" s="3"/>
    </row>
    <row r="577" spans="1:61" ht="12.9" customHeight="1">
      <c r="A577" s="22"/>
      <c r="B577" t="s">
        <v>85</v>
      </c>
      <c r="G577" s="1422" t="s">
        <v>2746</v>
      </c>
      <c r="H577" s="1423"/>
      <c r="I577" s="1423"/>
      <c r="J577" s="1423"/>
      <c r="K577" s="1423"/>
      <c r="L577" s="1423"/>
      <c r="M577" s="1423"/>
      <c r="N577" s="1423"/>
      <c r="O577" s="1423"/>
      <c r="P577" s="1423"/>
      <c r="Q577" s="1423"/>
      <c r="R577" s="1423"/>
      <c r="S577" s="8"/>
      <c r="T577" s="22"/>
      <c r="U577" t="s">
        <v>85</v>
      </c>
      <c r="Z577" s="1423" t="s">
        <v>2746</v>
      </c>
      <c r="AA577" s="1423"/>
      <c r="AB577" s="1423"/>
      <c r="AC577" s="1423"/>
      <c r="AD577" s="1423"/>
      <c r="AE577" s="1423"/>
      <c r="AF577" s="1423"/>
      <c r="AG577" s="1423"/>
      <c r="AH577" s="1423"/>
      <c r="AI577" s="1423"/>
      <c r="AJ577" s="1423"/>
      <c r="AK577" s="1423"/>
      <c r="BB577" s="3"/>
      <c r="BC577" s="3"/>
      <c r="BD577" s="3"/>
      <c r="BE577" s="3"/>
      <c r="BF577" s="3"/>
      <c r="BG577" s="3"/>
      <c r="BH577" s="3"/>
      <c r="BI577" s="3"/>
    </row>
    <row r="578" spans="1:61" ht="12.9" customHeight="1">
      <c r="A578" s="22"/>
      <c r="B578" t="s">
        <v>579</v>
      </c>
      <c r="G578" s="1422" t="s">
        <v>2747</v>
      </c>
      <c r="H578" s="1423"/>
      <c r="I578" s="1423"/>
      <c r="J578" s="1423"/>
      <c r="K578" s="1423"/>
      <c r="L578" s="1423"/>
      <c r="M578" s="1423"/>
      <c r="N578" s="1423"/>
      <c r="O578" s="1423"/>
      <c r="P578" s="1423"/>
      <c r="Q578" s="1423"/>
      <c r="R578" s="1423"/>
      <c r="T578" s="22"/>
      <c r="U578" t="s">
        <v>579</v>
      </c>
      <c r="Z578" s="1388" t="s">
        <v>2747</v>
      </c>
      <c r="AA578" s="1388"/>
      <c r="AB578" s="1388"/>
      <c r="AC578" s="1388"/>
      <c r="AD578" s="1388"/>
      <c r="AE578" s="1388"/>
      <c r="AF578" s="1388"/>
      <c r="AG578" s="1388"/>
      <c r="AH578" s="1388"/>
      <c r="AI578" s="1388"/>
      <c r="AJ578" s="1388"/>
      <c r="AK578" s="1388"/>
      <c r="BB578" s="3"/>
      <c r="BC578" s="3"/>
      <c r="BD578" s="3"/>
      <c r="BE578" s="3"/>
      <c r="BF578" s="3"/>
      <c r="BG578" s="3"/>
      <c r="BH578" s="3"/>
      <c r="BI578" s="3"/>
    </row>
    <row r="579" spans="1:61" ht="12.9" customHeight="1">
      <c r="A579" s="22"/>
      <c r="B579" t="s">
        <v>17</v>
      </c>
      <c r="G579" s="1422" t="s">
        <v>2748</v>
      </c>
      <c r="H579" s="1423"/>
      <c r="I579" s="1423"/>
      <c r="J579" s="1423"/>
      <c r="K579" s="1423"/>
      <c r="L579" s="1423"/>
      <c r="M579" s="1423"/>
      <c r="N579" s="1423"/>
      <c r="O579" s="1423"/>
      <c r="P579" s="1423"/>
      <c r="Q579" s="1423"/>
      <c r="R579" s="1423"/>
      <c r="S579" s="8"/>
      <c r="T579" s="22"/>
      <c r="U579" t="s">
        <v>17</v>
      </c>
      <c r="Z579" s="1388" t="s">
        <v>2748</v>
      </c>
      <c r="AA579" s="1388"/>
      <c r="AB579" s="1388"/>
      <c r="AC579" s="1388"/>
      <c r="AD579" s="1388"/>
      <c r="AE579" s="1388"/>
      <c r="AF579" s="1388"/>
      <c r="AG579" s="1388"/>
      <c r="AH579" s="1388"/>
      <c r="AI579" s="1388"/>
      <c r="AJ579" s="1388"/>
      <c r="AK579" s="1388"/>
      <c r="BB579" s="3"/>
      <c r="BC579" s="3"/>
      <c r="BD579" s="3"/>
      <c r="BE579" s="3"/>
      <c r="BF579" s="3"/>
      <c r="BG579" s="3"/>
      <c r="BH579" s="3"/>
      <c r="BI579" s="3"/>
    </row>
    <row r="580" spans="1:61" ht="12.9" customHeight="1">
      <c r="A580" s="22"/>
      <c r="B580" t="s">
        <v>315</v>
      </c>
      <c r="G580" s="1559" t="s">
        <v>2749</v>
      </c>
      <c r="H580" s="1495"/>
      <c r="I580" s="1495"/>
      <c r="J580" s="1495"/>
      <c r="K580" s="1495"/>
      <c r="L580" s="1495"/>
      <c r="O580" s="33" t="s">
        <v>205</v>
      </c>
      <c r="P580" s="1484"/>
      <c r="Q580" s="1484"/>
      <c r="R580" s="1484"/>
      <c r="S580" s="10"/>
      <c r="T580" s="22"/>
      <c r="U580" t="s">
        <v>315</v>
      </c>
      <c r="Z580" s="1495" t="s">
        <v>2749</v>
      </c>
      <c r="AA580" s="1495"/>
      <c r="AB580" s="1495"/>
      <c r="AC580" s="1495"/>
      <c r="AD580" s="1495"/>
      <c r="AE580" s="1495"/>
      <c r="AH580" s="33" t="s">
        <v>205</v>
      </c>
      <c r="AI580" s="1484"/>
      <c r="AJ580" s="1484"/>
      <c r="AK580" s="1484"/>
      <c r="BB580" s="3"/>
      <c r="BC580" s="3"/>
      <c r="BD580" s="3"/>
      <c r="BE580" s="3"/>
      <c r="BF580" s="3"/>
      <c r="BG580" s="3"/>
      <c r="BH580" s="3"/>
      <c r="BI580" s="3"/>
    </row>
    <row r="581" spans="1:61" ht="12.9" customHeight="1">
      <c r="A581" s="22"/>
      <c r="B581" t="s">
        <v>18</v>
      </c>
      <c r="H581" s="1422" t="s">
        <v>2657</v>
      </c>
      <c r="I581" s="1423"/>
      <c r="J581" s="1423"/>
      <c r="K581" s="1423"/>
      <c r="L581" s="1423"/>
      <c r="M581" s="1423"/>
      <c r="N581" s="1423"/>
      <c r="O581" s="1423"/>
      <c r="P581" s="1423"/>
      <c r="Q581" s="1423"/>
      <c r="R581" s="1423"/>
      <c r="S581" s="8"/>
      <c r="T581" s="22"/>
      <c r="U581" t="s">
        <v>18</v>
      </c>
      <c r="AA581" s="1422" t="s">
        <v>2658</v>
      </c>
      <c r="AB581" s="1423"/>
      <c r="AC581" s="1423"/>
      <c r="AD581" s="1423"/>
      <c r="AE581" s="1423"/>
      <c r="AF581" s="1423"/>
      <c r="AG581" s="1423"/>
      <c r="AH581" s="1423"/>
      <c r="AI581" s="1423"/>
      <c r="AJ581" s="1423"/>
      <c r="AK581" s="1423"/>
      <c r="BB581" s="3"/>
      <c r="BC581" s="3"/>
      <c r="BD581" s="3"/>
      <c r="BE581" s="3"/>
      <c r="BF581" s="3"/>
      <c r="BG581" s="3"/>
      <c r="BH581" s="3"/>
      <c r="BI581" s="3"/>
    </row>
    <row r="582" spans="1:61" ht="12.9" customHeight="1">
      <c r="A582" s="22"/>
      <c r="B582" s="320" t="s">
        <v>1184</v>
      </c>
      <c r="H582" s="8"/>
      <c r="I582" s="8"/>
      <c r="J582" s="8"/>
      <c r="K582" s="8"/>
      <c r="L582" s="8"/>
      <c r="M582" s="1606" t="s">
        <v>2750</v>
      </c>
      <c r="N582" s="1607"/>
      <c r="O582" s="1607"/>
      <c r="P582" s="1607"/>
      <c r="Q582" s="1607"/>
      <c r="R582" s="1607"/>
      <c r="S582" s="8"/>
      <c r="T582" s="22"/>
      <c r="U582" s="320" t="s">
        <v>1184</v>
      </c>
      <c r="AA582" s="8"/>
      <c r="AB582" s="8"/>
      <c r="AC582" s="8"/>
      <c r="AD582" s="8"/>
      <c r="AE582" s="8"/>
      <c r="AF582" s="1606" t="s">
        <v>2750</v>
      </c>
      <c r="AG582" s="1607"/>
      <c r="AH582" s="1607"/>
      <c r="AI582" s="1607"/>
      <c r="AJ582" s="1607"/>
      <c r="AK582" s="1607"/>
      <c r="BB582" s="3"/>
      <c r="BC582" s="3"/>
      <c r="BD582" s="3"/>
      <c r="BE582" s="3"/>
      <c r="BF582" s="3"/>
      <c r="BG582" s="3"/>
      <c r="BH582" s="3"/>
      <c r="BI582" s="3"/>
    </row>
    <row r="583" spans="1:61" ht="12.9" customHeight="1">
      <c r="A583" s="22"/>
      <c r="B583" t="s">
        <v>20</v>
      </c>
      <c r="N583" s="1431" t="s">
        <v>544</v>
      </c>
      <c r="O583" s="1431"/>
      <c r="T583" s="22"/>
      <c r="U583" t="s">
        <v>20</v>
      </c>
      <c r="AG583" s="1431" t="s">
        <v>544</v>
      </c>
      <c r="AH583" s="1431"/>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496" t="str">
        <f>C564</f>
        <v>Platinum Valley B 2013 RSC Limited</v>
      </c>
      <c r="H585" s="1496"/>
      <c r="I585" s="1496"/>
      <c r="J585" s="1496"/>
      <c r="K585" s="1496"/>
      <c r="L585" s="1496"/>
      <c r="M585" s="1496"/>
      <c r="N585" s="1496"/>
      <c r="O585" s="1496"/>
      <c r="P585" s="1496"/>
      <c r="Q585" s="1496"/>
      <c r="R585" s="1496"/>
      <c r="T585" s="55" t="s">
        <v>580</v>
      </c>
      <c r="U585" t="s">
        <v>462</v>
      </c>
      <c r="Z585" s="1496" t="str">
        <f>C565</f>
        <v>Cmrcl Purchase - Platinum Valley B 2013 RSC Limited</v>
      </c>
      <c r="AA585" s="1496"/>
      <c r="AB585" s="1496"/>
      <c r="AC585" s="1496"/>
      <c r="AD585" s="1496"/>
      <c r="AE585" s="1496"/>
      <c r="AF585" s="1496"/>
      <c r="AG585" s="1496"/>
      <c r="AH585" s="1496"/>
      <c r="AI585" s="1496"/>
      <c r="AJ585" s="1496"/>
      <c r="AK585" s="1496"/>
      <c r="BB585" s="3"/>
      <c r="BC585" s="3"/>
    </row>
    <row r="586" spans="1:61" ht="12.9" customHeight="1">
      <c r="A586" s="22"/>
      <c r="B586" t="s">
        <v>85</v>
      </c>
      <c r="G586" s="1422" t="s">
        <v>2751</v>
      </c>
      <c r="H586" s="1423"/>
      <c r="I586" s="1423"/>
      <c r="J586" s="1423"/>
      <c r="K586" s="1423"/>
      <c r="L586" s="1423"/>
      <c r="M586" s="1423"/>
      <c r="N586" s="1423"/>
      <c r="O586" s="1423"/>
      <c r="P586" s="1423"/>
      <c r="Q586" s="1423"/>
      <c r="R586" s="1423"/>
      <c r="T586" s="22"/>
      <c r="U586" t="s">
        <v>85</v>
      </c>
      <c r="Z586" s="1423" t="s">
        <v>2751</v>
      </c>
      <c r="AA586" s="1423"/>
      <c r="AB586" s="1423"/>
      <c r="AC586" s="1423"/>
      <c r="AD586" s="1423"/>
      <c r="AE586" s="1423"/>
      <c r="AF586" s="1423"/>
      <c r="AG586" s="1423"/>
      <c r="AH586" s="1423"/>
      <c r="AI586" s="1423"/>
      <c r="AJ586" s="1423"/>
      <c r="AK586" s="1423"/>
      <c r="BB586" s="3"/>
      <c r="BC586" s="3"/>
    </row>
    <row r="587" spans="1:61" ht="12.9" customHeight="1">
      <c r="A587" s="22"/>
      <c r="B587" t="s">
        <v>579</v>
      </c>
      <c r="G587" s="1483" t="s">
        <v>2752</v>
      </c>
      <c r="H587" s="1388"/>
      <c r="I587" s="1388"/>
      <c r="J587" s="1388"/>
      <c r="K587" s="1388"/>
      <c r="L587" s="1388"/>
      <c r="M587" s="1388"/>
      <c r="N587" s="1388"/>
      <c r="O587" s="1388"/>
      <c r="P587" s="1388"/>
      <c r="Q587" s="1388"/>
      <c r="R587" s="1388"/>
      <c r="T587" s="22"/>
      <c r="U587" t="s">
        <v>579</v>
      </c>
      <c r="Z587" s="1388" t="s">
        <v>2752</v>
      </c>
      <c r="AA587" s="1388"/>
      <c r="AB587" s="1388"/>
      <c r="AC587" s="1388"/>
      <c r="AD587" s="1388"/>
      <c r="AE587" s="1388"/>
      <c r="AF587" s="1388"/>
      <c r="AG587" s="1388"/>
      <c r="AH587" s="1388"/>
      <c r="AI587" s="1388"/>
      <c r="AJ587" s="1388"/>
      <c r="AK587" s="1388"/>
      <c r="BB587" s="3"/>
      <c r="BC587" s="3"/>
    </row>
    <row r="588" spans="1:61" ht="12.9" customHeight="1">
      <c r="A588" s="22"/>
      <c r="B588" t="s">
        <v>17</v>
      </c>
      <c r="G588" s="1483" t="s">
        <v>2753</v>
      </c>
      <c r="H588" s="1388"/>
      <c r="I588" s="1388"/>
      <c r="J588" s="1388"/>
      <c r="K588" s="1388"/>
      <c r="L588" s="1388"/>
      <c r="M588" s="1388"/>
      <c r="N588" s="1388"/>
      <c r="O588" s="1388"/>
      <c r="P588" s="1388"/>
      <c r="Q588" s="1388"/>
      <c r="R588" s="1388"/>
      <c r="T588" s="22"/>
      <c r="U588" t="s">
        <v>17</v>
      </c>
      <c r="Z588" s="1388" t="s">
        <v>2753</v>
      </c>
      <c r="AA588" s="1388"/>
      <c r="AB588" s="1388"/>
      <c r="AC588" s="1388"/>
      <c r="AD588" s="1388"/>
      <c r="AE588" s="1388"/>
      <c r="AF588" s="1388"/>
      <c r="AG588" s="1388"/>
      <c r="AH588" s="1388"/>
      <c r="AI588" s="1388"/>
      <c r="AJ588" s="1388"/>
      <c r="AK588" s="1388"/>
      <c r="BB588" s="3"/>
      <c r="BC588" s="3"/>
    </row>
    <row r="589" spans="1:61" ht="12.9" customHeight="1">
      <c r="A589" s="22"/>
      <c r="B589" t="s">
        <v>315</v>
      </c>
      <c r="G589" s="1559" t="s">
        <v>2754</v>
      </c>
      <c r="H589" s="1495"/>
      <c r="I589" s="1495"/>
      <c r="J589" s="1495"/>
      <c r="K589" s="1495"/>
      <c r="L589" s="1495"/>
      <c r="O589" s="33" t="s">
        <v>205</v>
      </c>
      <c r="P589" s="1484"/>
      <c r="Q589" s="1484"/>
      <c r="R589" s="1484"/>
      <c r="T589" s="22"/>
      <c r="U589" t="s">
        <v>315</v>
      </c>
      <c r="Z589" s="1495" t="s">
        <v>2754</v>
      </c>
      <c r="AA589" s="1495"/>
      <c r="AB589" s="1495"/>
      <c r="AC589" s="1495"/>
      <c r="AD589" s="1495"/>
      <c r="AE589" s="1495"/>
      <c r="AH589" s="33" t="s">
        <v>205</v>
      </c>
      <c r="AI589" s="1484"/>
      <c r="AJ589" s="1484"/>
      <c r="AK589" s="1484"/>
      <c r="BB589" s="3"/>
      <c r="BC589" s="3"/>
    </row>
    <row r="590" spans="1:61" ht="12.9" customHeight="1">
      <c r="A590" s="22"/>
      <c r="B590" t="s">
        <v>18</v>
      </c>
      <c r="H590" s="1422" t="s">
        <v>2673</v>
      </c>
      <c r="I590" s="1423"/>
      <c r="J590" s="1423"/>
      <c r="K590" s="1423"/>
      <c r="L590" s="1423"/>
      <c r="M590" s="1423"/>
      <c r="N590" s="1423"/>
      <c r="O590" s="1423"/>
      <c r="P590" s="1423"/>
      <c r="Q590" s="1423"/>
      <c r="R590" s="1423"/>
      <c r="T590" s="22"/>
      <c r="U590" t="s">
        <v>18</v>
      </c>
      <c r="AA590" s="1422" t="s">
        <v>2755</v>
      </c>
      <c r="AB590" s="1423"/>
      <c r="AC590" s="1423"/>
      <c r="AD590" s="1423"/>
      <c r="AE590" s="1423"/>
      <c r="AF590" s="1423"/>
      <c r="AG590" s="1423"/>
      <c r="AH590" s="1423"/>
      <c r="AI590" s="1423"/>
      <c r="AJ590" s="1423"/>
      <c r="AK590" s="1423"/>
      <c r="BB590" s="3"/>
      <c r="BC590" s="3"/>
    </row>
    <row r="591" spans="1:61" ht="12.9" customHeight="1">
      <c r="A591" s="22"/>
      <c r="B591" t="s">
        <v>20</v>
      </c>
      <c r="N591" s="1431" t="s">
        <v>544</v>
      </c>
      <c r="O591" s="1431"/>
      <c r="T591" s="22"/>
      <c r="U591" t="s">
        <v>20</v>
      </c>
      <c r="AG591" s="1431" t="s">
        <v>544</v>
      </c>
      <c r="AH591" s="1431"/>
      <c r="BB591" s="3"/>
      <c r="BC591" s="3"/>
    </row>
    <row r="592" spans="1:61" ht="12.9" customHeight="1">
      <c r="A592" s="22"/>
      <c r="T592" s="22"/>
      <c r="BB592" s="3"/>
      <c r="BC592" s="3"/>
    </row>
    <row r="593" spans="1:55" ht="12.9" customHeight="1">
      <c r="A593" s="55" t="s">
        <v>762</v>
      </c>
      <c r="B593" t="s">
        <v>462</v>
      </c>
      <c r="G593" s="1496" t="str">
        <f>C566</f>
        <v>GP Equity (Eden Housing)</v>
      </c>
      <c r="H593" s="1496"/>
      <c r="I593" s="1496"/>
      <c r="J593" s="1496"/>
      <c r="K593" s="1496"/>
      <c r="L593" s="1496"/>
      <c r="M593" s="1496"/>
      <c r="N593" s="1496"/>
      <c r="O593" s="1496"/>
      <c r="P593" s="1496"/>
      <c r="Q593" s="1496"/>
      <c r="R593" s="1496"/>
      <c r="T593" s="55" t="s">
        <v>583</v>
      </c>
      <c r="U593" t="s">
        <v>462</v>
      </c>
      <c r="Z593" s="1496" t="str">
        <f>C567</f>
        <v>LIHTC Equity</v>
      </c>
      <c r="AA593" s="1496"/>
      <c r="AB593" s="1496"/>
      <c r="AC593" s="1496"/>
      <c r="AD593" s="1496"/>
      <c r="AE593" s="1496"/>
      <c r="AF593" s="1496"/>
      <c r="AG593" s="1496"/>
      <c r="AH593" s="1496"/>
      <c r="AI593" s="1496"/>
      <c r="AJ593" s="1496"/>
      <c r="AK593" s="1496"/>
      <c r="BB593" s="3"/>
      <c r="BC593" s="3"/>
    </row>
    <row r="594" spans="1:55" ht="12.9" customHeight="1">
      <c r="A594" s="22"/>
      <c r="B594" t="s">
        <v>85</v>
      </c>
      <c r="G594" s="1422" t="s">
        <v>2679</v>
      </c>
      <c r="H594" s="1423"/>
      <c r="I594" s="1423"/>
      <c r="J594" s="1423"/>
      <c r="K594" s="1423"/>
      <c r="L594" s="1423"/>
      <c r="M594" s="1423"/>
      <c r="N594" s="1423"/>
      <c r="O594" s="1423"/>
      <c r="P594" s="1423"/>
      <c r="Q594" s="1423"/>
      <c r="R594" s="1423"/>
      <c r="T594" s="22"/>
      <c r="U594" t="s">
        <v>85</v>
      </c>
      <c r="Z594" s="1422" t="s">
        <v>2721</v>
      </c>
      <c r="AA594" s="1423"/>
      <c r="AB594" s="1423"/>
      <c r="AC594" s="1423"/>
      <c r="AD594" s="1423"/>
      <c r="AE594" s="1423"/>
      <c r="AF594" s="1423"/>
      <c r="AG594" s="1423"/>
      <c r="AH594" s="1423"/>
      <c r="AI594" s="1423"/>
      <c r="AJ594" s="1423"/>
      <c r="AK594" s="1423"/>
      <c r="BB594" s="3"/>
      <c r="BC594" s="3"/>
    </row>
    <row r="595" spans="1:55" ht="12.9" customHeight="1">
      <c r="A595" s="22"/>
      <c r="B595" t="s">
        <v>579</v>
      </c>
      <c r="G595" s="1422" t="s">
        <v>2687</v>
      </c>
      <c r="H595" s="1423"/>
      <c r="I595" s="1423"/>
      <c r="J595" s="1423"/>
      <c r="K595" s="1423"/>
      <c r="L595" s="1423"/>
      <c r="M595" s="1423"/>
      <c r="N595" s="1423"/>
      <c r="O595" s="1423"/>
      <c r="P595" s="1423"/>
      <c r="Q595" s="1423"/>
      <c r="R595" s="1423"/>
      <c r="T595" s="22"/>
      <c r="U595" t="s">
        <v>579</v>
      </c>
      <c r="Z595" s="1483" t="s">
        <v>2721</v>
      </c>
      <c r="AA595" s="1388"/>
      <c r="AB595" s="1388"/>
      <c r="AC595" s="1388"/>
      <c r="AD595" s="1388"/>
      <c r="AE595" s="1388"/>
      <c r="AF595" s="1388"/>
      <c r="AG595" s="1388"/>
      <c r="AH595" s="1388"/>
      <c r="AI595" s="1388"/>
      <c r="AJ595" s="1388"/>
      <c r="AK595" s="1388"/>
      <c r="BB595" s="3"/>
      <c r="BC595" s="3"/>
    </row>
    <row r="596" spans="1:55" ht="12.9" customHeight="1">
      <c r="A596" s="22"/>
      <c r="B596" t="s">
        <v>17</v>
      </c>
      <c r="G596" s="1422" t="s">
        <v>2682</v>
      </c>
      <c r="H596" s="1423"/>
      <c r="I596" s="1423"/>
      <c r="J596" s="1423"/>
      <c r="K596" s="1423"/>
      <c r="L596" s="1423"/>
      <c r="M596" s="1423"/>
      <c r="N596" s="1423"/>
      <c r="O596" s="1423"/>
      <c r="P596" s="1423"/>
      <c r="Q596" s="1423"/>
      <c r="R596" s="1423"/>
      <c r="T596" s="22"/>
      <c r="U596" t="s">
        <v>17</v>
      </c>
      <c r="Z596" s="1483" t="s">
        <v>2721</v>
      </c>
      <c r="AA596" s="1388"/>
      <c r="AB596" s="1388"/>
      <c r="AC596" s="1388"/>
      <c r="AD596" s="1388"/>
      <c r="AE596" s="1388"/>
      <c r="AF596" s="1388"/>
      <c r="AG596" s="1388"/>
      <c r="AH596" s="1388"/>
      <c r="AI596" s="1388"/>
      <c r="AJ596" s="1388"/>
      <c r="AK596" s="1388"/>
    </row>
    <row r="597" spans="1:55" ht="12.9" customHeight="1">
      <c r="A597" s="22"/>
      <c r="B597" t="s">
        <v>315</v>
      </c>
      <c r="G597" s="1495" t="s">
        <v>2683</v>
      </c>
      <c r="H597" s="1495"/>
      <c r="I597" s="1495"/>
      <c r="J597" s="1495"/>
      <c r="K597" s="1495"/>
      <c r="L597" s="1495"/>
      <c r="O597" s="33" t="s">
        <v>205</v>
      </c>
      <c r="P597" s="1484"/>
      <c r="Q597" s="1484"/>
      <c r="R597" s="1484"/>
      <c r="T597" s="22"/>
      <c r="U597" t="s">
        <v>315</v>
      </c>
      <c r="Z597" s="1559" t="s">
        <v>2721</v>
      </c>
      <c r="AA597" s="1495"/>
      <c r="AB597" s="1495"/>
      <c r="AC597" s="1495"/>
      <c r="AD597" s="1495"/>
      <c r="AE597" s="1495"/>
      <c r="AH597" s="33" t="s">
        <v>205</v>
      </c>
      <c r="AI597" s="1484"/>
      <c r="AJ597" s="1484"/>
      <c r="AK597" s="1484"/>
      <c r="AZ597" s="3"/>
      <c r="BA597" s="3"/>
      <c r="BB597" s="3"/>
      <c r="BC597" s="3"/>
    </row>
    <row r="598" spans="1:55" ht="12.9" customHeight="1">
      <c r="A598" s="22"/>
      <c r="B598" t="s">
        <v>18</v>
      </c>
      <c r="H598" s="1422" t="s">
        <v>2660</v>
      </c>
      <c r="I598" s="1423"/>
      <c r="J598" s="1423"/>
      <c r="K598" s="1423"/>
      <c r="L598" s="1423"/>
      <c r="M598" s="1423"/>
      <c r="N598" s="1423"/>
      <c r="O598" s="1423"/>
      <c r="P598" s="1423"/>
      <c r="Q598" s="1423"/>
      <c r="R598" s="1423"/>
      <c r="T598" s="22"/>
      <c r="U598" t="s">
        <v>18</v>
      </c>
      <c r="AA598" s="1422" t="s">
        <v>2756</v>
      </c>
      <c r="AB598" s="1423"/>
      <c r="AC598" s="1423"/>
      <c r="AD598" s="1423"/>
      <c r="AE598" s="1423"/>
      <c r="AF598" s="1423"/>
      <c r="AG598" s="1423"/>
      <c r="AH598" s="1423"/>
      <c r="AI598" s="1423"/>
      <c r="AJ598" s="1423"/>
      <c r="AK598" s="1423"/>
      <c r="AZ598" s="3"/>
      <c r="BA598" s="3"/>
      <c r="BB598" s="3"/>
      <c r="BC598" s="3"/>
    </row>
    <row r="599" spans="1:55" ht="12.9" customHeight="1">
      <c r="A599" s="22"/>
      <c r="B599" t="s">
        <v>20</v>
      </c>
      <c r="N599" s="1431" t="s">
        <v>544</v>
      </c>
      <c r="O599" s="1431"/>
      <c r="T599" s="22"/>
      <c r="U599" t="s">
        <v>20</v>
      </c>
      <c r="AG599" s="1431" t="s">
        <v>544</v>
      </c>
      <c r="AH599" s="1431"/>
      <c r="AZ599" s="3"/>
      <c r="BA599" s="3"/>
      <c r="BB599" s="3"/>
      <c r="BC599" s="3"/>
    </row>
    <row r="600" spans="1:55" ht="12.9" customHeight="1">
      <c r="A600" s="22"/>
      <c r="T600" s="22"/>
      <c r="AZ600" s="3"/>
      <c r="BA600" s="3"/>
      <c r="BB600" s="3"/>
      <c r="BC600" s="3"/>
    </row>
    <row r="601" spans="1:55" ht="12.9" customHeight="1">
      <c r="A601" s="55" t="s">
        <v>454</v>
      </c>
      <c r="B601" t="s">
        <v>462</v>
      </c>
      <c r="G601" s="1496">
        <f>C568</f>
        <v>0</v>
      </c>
      <c r="H601" s="1496"/>
      <c r="I601" s="1496"/>
      <c r="J601" s="1496"/>
      <c r="K601" s="1496"/>
      <c r="L601" s="1496"/>
      <c r="M601" s="1496"/>
      <c r="N601" s="1496"/>
      <c r="O601" s="1496"/>
      <c r="P601" s="1496"/>
      <c r="Q601" s="1496"/>
      <c r="R601" s="1496"/>
      <c r="T601" s="55" t="s">
        <v>455</v>
      </c>
      <c r="U601" t="s">
        <v>462</v>
      </c>
      <c r="Z601" s="1496">
        <f>C569</f>
        <v>0</v>
      </c>
      <c r="AA601" s="1496"/>
      <c r="AB601" s="1496"/>
      <c r="AC601" s="1496"/>
      <c r="AD601" s="1496"/>
      <c r="AE601" s="1496"/>
      <c r="AF601" s="1496"/>
      <c r="AG601" s="1496"/>
      <c r="AH601" s="1496"/>
      <c r="AI601" s="1496"/>
      <c r="AJ601" s="1496"/>
      <c r="AK601" s="1496"/>
      <c r="AZ601" s="3"/>
      <c r="BA601" s="3"/>
      <c r="BB601" s="3"/>
      <c r="BC601" s="3"/>
    </row>
    <row r="602" spans="1:55" s="4" customFormat="1" ht="12.9" customHeight="1">
      <c r="A602" s="22"/>
      <c r="B602" t="s">
        <v>85</v>
      </c>
      <c r="C602"/>
      <c r="D602"/>
      <c r="E602"/>
      <c r="F602"/>
      <c r="G602" s="1423"/>
      <c r="H602" s="1423"/>
      <c r="I602" s="1423"/>
      <c r="J602" s="1423"/>
      <c r="K602" s="1423"/>
      <c r="L602" s="1423"/>
      <c r="M602" s="1423"/>
      <c r="N602" s="1423"/>
      <c r="O602" s="1423"/>
      <c r="P602" s="1423"/>
      <c r="Q602" s="1423"/>
      <c r="R602" s="1423"/>
      <c r="S602"/>
      <c r="T602" s="22"/>
      <c r="U602" t="s">
        <v>85</v>
      </c>
      <c r="V602"/>
      <c r="W602"/>
      <c r="X602"/>
      <c r="Y602"/>
      <c r="Z602" s="1423"/>
      <c r="AA602" s="1423"/>
      <c r="AB602" s="1423"/>
      <c r="AC602" s="1423"/>
      <c r="AD602" s="1423"/>
      <c r="AE602" s="1423"/>
      <c r="AF602" s="1423"/>
      <c r="AG602" s="1423"/>
      <c r="AH602" s="1423"/>
      <c r="AI602" s="1423"/>
      <c r="AJ602" s="1423"/>
      <c r="AK602" s="1423"/>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423"/>
      <c r="H603" s="1423"/>
      <c r="I603" s="1423"/>
      <c r="J603" s="1423"/>
      <c r="K603" s="1423"/>
      <c r="L603" s="1423"/>
      <c r="M603" s="1423"/>
      <c r="N603" s="1423"/>
      <c r="O603" s="1423"/>
      <c r="P603" s="1423"/>
      <c r="Q603" s="1423"/>
      <c r="R603" s="1423"/>
      <c r="S603"/>
      <c r="T603" s="22"/>
      <c r="U603" t="s">
        <v>579</v>
      </c>
      <c r="V603"/>
      <c r="W603"/>
      <c r="X603"/>
      <c r="Y603"/>
      <c r="Z603" s="1388"/>
      <c r="AA603" s="1388"/>
      <c r="AB603" s="1388"/>
      <c r="AC603" s="1388"/>
      <c r="AD603" s="1388"/>
      <c r="AE603" s="1388"/>
      <c r="AF603" s="1388"/>
      <c r="AG603" s="1388"/>
      <c r="AH603" s="1388"/>
      <c r="AI603" s="1388"/>
      <c r="AJ603" s="1388"/>
      <c r="AK603" s="1388"/>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23"/>
      <c r="H604" s="1423"/>
      <c r="I604" s="1423"/>
      <c r="J604" s="1423"/>
      <c r="K604" s="1423"/>
      <c r="L604" s="1423"/>
      <c r="M604" s="1423"/>
      <c r="N604" s="1423"/>
      <c r="O604" s="1423"/>
      <c r="P604" s="1423"/>
      <c r="Q604" s="1423"/>
      <c r="R604" s="1423"/>
      <c r="S604"/>
      <c r="T604" s="22"/>
      <c r="U604" t="s">
        <v>17</v>
      </c>
      <c r="V604"/>
      <c r="W604"/>
      <c r="X604"/>
      <c r="Y604"/>
      <c r="Z604" s="1388"/>
      <c r="AA604" s="1388"/>
      <c r="AB604" s="1388"/>
      <c r="AC604" s="1388"/>
      <c r="AD604" s="1388"/>
      <c r="AE604" s="1388"/>
      <c r="AF604" s="1388"/>
      <c r="AG604" s="1388"/>
      <c r="AH604" s="1388"/>
      <c r="AI604" s="1388"/>
      <c r="AJ604" s="1388"/>
      <c r="AK604" s="1388"/>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495"/>
      <c r="H605" s="1495"/>
      <c r="I605" s="1495"/>
      <c r="J605" s="1495"/>
      <c r="K605" s="1495"/>
      <c r="L605" s="1495"/>
      <c r="M605"/>
      <c r="N605"/>
      <c r="O605" s="33" t="s">
        <v>205</v>
      </c>
      <c r="P605" s="1484"/>
      <c r="Q605" s="1484"/>
      <c r="R605" s="1484"/>
      <c r="S605"/>
      <c r="T605" s="22"/>
      <c r="U605" t="s">
        <v>315</v>
      </c>
      <c r="V605"/>
      <c r="W605"/>
      <c r="X605"/>
      <c r="Y605"/>
      <c r="Z605" s="1495"/>
      <c r="AA605" s="1495"/>
      <c r="AB605" s="1495"/>
      <c r="AC605" s="1495"/>
      <c r="AD605" s="1495"/>
      <c r="AE605" s="1495"/>
      <c r="AF605"/>
      <c r="AG605"/>
      <c r="AH605" s="33" t="s">
        <v>205</v>
      </c>
      <c r="AI605" s="1484"/>
      <c r="AJ605" s="1484"/>
      <c r="AK605" s="1484"/>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23"/>
      <c r="I606" s="1423"/>
      <c r="J606" s="1423"/>
      <c r="K606" s="1423"/>
      <c r="L606" s="1423"/>
      <c r="M606" s="1423"/>
      <c r="N606" s="1423"/>
      <c r="O606" s="1423"/>
      <c r="P606" s="1423"/>
      <c r="Q606" s="1423"/>
      <c r="R606" s="1423"/>
      <c r="S606"/>
      <c r="T606" s="22"/>
      <c r="U606" t="s">
        <v>18</v>
      </c>
      <c r="V606"/>
      <c r="W606"/>
      <c r="X606"/>
      <c r="Y606"/>
      <c r="Z606"/>
      <c r="AA606" s="1423"/>
      <c r="AB606" s="1423"/>
      <c r="AC606" s="1423"/>
      <c r="AD606" s="1423"/>
      <c r="AE606" s="1423"/>
      <c r="AF606" s="1423"/>
      <c r="AG606" s="1423"/>
      <c r="AH606" s="1423"/>
      <c r="AI606" s="1423"/>
      <c r="AJ606" s="1423"/>
      <c r="AK606" s="1423"/>
      <c r="AL606"/>
      <c r="AM606"/>
      <c r="AN606"/>
      <c r="AO606"/>
      <c r="AP606"/>
      <c r="AQ606"/>
      <c r="AR606"/>
      <c r="AS606"/>
      <c r="AT606"/>
      <c r="AU606"/>
      <c r="AV606"/>
      <c r="AW606"/>
      <c r="AX606"/>
      <c r="AY606"/>
      <c r="BB606" s="3"/>
      <c r="BC606" s="3"/>
    </row>
    <row r="607" spans="1:55" ht="12.9" customHeight="1">
      <c r="A607" s="22"/>
      <c r="B607" t="s">
        <v>20</v>
      </c>
      <c r="N607" s="1431" t="s">
        <v>668</v>
      </c>
      <c r="O607" s="1431"/>
      <c r="T607" s="22"/>
      <c r="U607" t="s">
        <v>20</v>
      </c>
      <c r="AG607" s="1431" t="s">
        <v>668</v>
      </c>
      <c r="AH607" s="1431"/>
      <c r="BB607" s="3"/>
      <c r="BC607" s="3"/>
    </row>
    <row r="608" spans="1:55" ht="12.9" customHeight="1">
      <c r="A608" s="22"/>
      <c r="T608" s="22"/>
      <c r="BB608" s="3"/>
      <c r="BC608" s="3"/>
    </row>
    <row r="609" spans="1:55" ht="12.9" customHeight="1">
      <c r="A609" s="55" t="s">
        <v>460</v>
      </c>
      <c r="B609" t="s">
        <v>462</v>
      </c>
      <c r="G609" s="1496">
        <f>C570</f>
        <v>0</v>
      </c>
      <c r="H609" s="1496"/>
      <c r="I609" s="1496"/>
      <c r="J609" s="1496"/>
      <c r="K609" s="1496"/>
      <c r="L609" s="1496"/>
      <c r="M609" s="1496"/>
      <c r="N609" s="1496"/>
      <c r="O609" s="1496"/>
      <c r="P609" s="1496"/>
      <c r="Q609" s="1496"/>
      <c r="R609" s="1496"/>
      <c r="T609" s="55" t="s">
        <v>645</v>
      </c>
      <c r="U609" t="s">
        <v>462</v>
      </c>
      <c r="Z609" s="1496">
        <f>C571</f>
        <v>0</v>
      </c>
      <c r="AA609" s="1496"/>
      <c r="AB609" s="1496"/>
      <c r="AC609" s="1496"/>
      <c r="AD609" s="1496"/>
      <c r="AE609" s="1496"/>
      <c r="AF609" s="1496"/>
      <c r="AG609" s="1496"/>
      <c r="AH609" s="1496"/>
      <c r="AI609" s="1496"/>
      <c r="AJ609" s="1496"/>
      <c r="AK609" s="1496"/>
      <c r="BB609" s="3"/>
      <c r="BC609" s="3"/>
    </row>
    <row r="610" spans="1:55" ht="12.9" customHeight="1">
      <c r="A610" s="22"/>
      <c r="B610" t="s">
        <v>85</v>
      </c>
      <c r="G610" s="1423"/>
      <c r="H610" s="1423"/>
      <c r="I610" s="1423"/>
      <c r="J610" s="1423"/>
      <c r="K610" s="1423"/>
      <c r="L610" s="1423"/>
      <c r="M610" s="1423"/>
      <c r="N610" s="1423"/>
      <c r="O610" s="1423"/>
      <c r="P610" s="1423"/>
      <c r="Q610" s="1423"/>
      <c r="R610" s="1423"/>
      <c r="T610" s="22"/>
      <c r="U610" t="s">
        <v>85</v>
      </c>
      <c r="Z610" s="1423"/>
      <c r="AA610" s="1423"/>
      <c r="AB610" s="1423"/>
      <c r="AC610" s="1423"/>
      <c r="AD610" s="1423"/>
      <c r="AE610" s="1423"/>
      <c r="AF610" s="1423"/>
      <c r="AG610" s="1423"/>
      <c r="AH610" s="1423"/>
      <c r="AI610" s="1423"/>
      <c r="AJ610" s="1423"/>
      <c r="AK610" s="1423"/>
      <c r="AZ610" s="3"/>
      <c r="BA610" s="3"/>
      <c r="BB610" s="3"/>
      <c r="BC610" s="3"/>
    </row>
    <row r="611" spans="1:55" ht="12.9" customHeight="1">
      <c r="A611" s="22"/>
      <c r="B611" t="s">
        <v>579</v>
      </c>
      <c r="G611" s="1423"/>
      <c r="H611" s="1423"/>
      <c r="I611" s="1423"/>
      <c r="J611" s="1423"/>
      <c r="K611" s="1423"/>
      <c r="L611" s="1423"/>
      <c r="M611" s="1423"/>
      <c r="N611" s="1423"/>
      <c r="O611" s="1423"/>
      <c r="P611" s="1423"/>
      <c r="Q611" s="1423"/>
      <c r="R611" s="1423"/>
      <c r="T611" s="22"/>
      <c r="U611" t="s">
        <v>579</v>
      </c>
      <c r="Z611" s="1388"/>
      <c r="AA611" s="1388"/>
      <c r="AB611" s="1388"/>
      <c r="AC611" s="1388"/>
      <c r="AD611" s="1388"/>
      <c r="AE611" s="1388"/>
      <c r="AF611" s="1388"/>
      <c r="AG611" s="1388"/>
      <c r="AH611" s="1388"/>
      <c r="AI611" s="1388"/>
      <c r="AJ611" s="1388"/>
      <c r="AK611" s="1388"/>
      <c r="AZ611" s="3"/>
      <c r="BA611" s="3"/>
      <c r="BB611" s="3"/>
      <c r="BC611" s="3"/>
    </row>
    <row r="612" spans="1:55" ht="12.9" customHeight="1">
      <c r="A612" s="22"/>
      <c r="B612" t="s">
        <v>17</v>
      </c>
      <c r="G612" s="1423"/>
      <c r="H612" s="1423"/>
      <c r="I612" s="1423"/>
      <c r="J612" s="1423"/>
      <c r="K612" s="1423"/>
      <c r="L612" s="1423"/>
      <c r="M612" s="1423"/>
      <c r="N612" s="1423"/>
      <c r="O612" s="1423"/>
      <c r="P612" s="1423"/>
      <c r="Q612" s="1423"/>
      <c r="R612" s="1423"/>
      <c r="T612" s="22"/>
      <c r="U612" t="s">
        <v>17</v>
      </c>
      <c r="Z612" s="1388"/>
      <c r="AA612" s="1388"/>
      <c r="AB612" s="1388"/>
      <c r="AC612" s="1388"/>
      <c r="AD612" s="1388"/>
      <c r="AE612" s="1388"/>
      <c r="AF612" s="1388"/>
      <c r="AG612" s="1388"/>
      <c r="AH612" s="1388"/>
      <c r="AI612" s="1388"/>
      <c r="AJ612" s="1388"/>
      <c r="AK612" s="1388"/>
      <c r="AZ612" s="3"/>
      <c r="BA612" s="3"/>
      <c r="BB612" s="3"/>
      <c r="BC612" s="3"/>
    </row>
    <row r="613" spans="1:55" s="4" customFormat="1" ht="12.9" customHeight="1">
      <c r="A613" s="22"/>
      <c r="B613" t="s">
        <v>315</v>
      </c>
      <c r="C613"/>
      <c r="D613"/>
      <c r="E613"/>
      <c r="F613"/>
      <c r="G613" s="1495"/>
      <c r="H613" s="1495"/>
      <c r="I613" s="1495"/>
      <c r="J613" s="1495"/>
      <c r="K613" s="1495"/>
      <c r="L613" s="1495"/>
      <c r="M613"/>
      <c r="N613"/>
      <c r="O613" s="33" t="s">
        <v>205</v>
      </c>
      <c r="P613" s="1484"/>
      <c r="Q613" s="1484"/>
      <c r="R613" s="1484"/>
      <c r="S613"/>
      <c r="T613" s="22"/>
      <c r="U613" t="s">
        <v>315</v>
      </c>
      <c r="V613"/>
      <c r="W613"/>
      <c r="X613"/>
      <c r="Y613"/>
      <c r="Z613" s="1495"/>
      <c r="AA613" s="1495"/>
      <c r="AB613" s="1495"/>
      <c r="AC613" s="1495"/>
      <c r="AD613" s="1495"/>
      <c r="AE613" s="1495"/>
      <c r="AF613"/>
      <c r="AG613"/>
      <c r="AH613" s="33" t="s">
        <v>205</v>
      </c>
      <c r="AI613" s="1484"/>
      <c r="AJ613" s="1484"/>
      <c r="AK613" s="1484"/>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23"/>
      <c r="I614" s="1423"/>
      <c r="J614" s="1423"/>
      <c r="K614" s="1423"/>
      <c r="L614" s="1423"/>
      <c r="M614" s="1423"/>
      <c r="N614" s="1423"/>
      <c r="O614" s="1423"/>
      <c r="P614" s="1423"/>
      <c r="Q614" s="1423"/>
      <c r="R614" s="1423"/>
      <c r="S614"/>
      <c r="T614" s="22"/>
      <c r="U614" t="s">
        <v>18</v>
      </c>
      <c r="V614"/>
      <c r="W614"/>
      <c r="X614"/>
      <c r="Y614"/>
      <c r="Z614"/>
      <c r="AA614" s="1423"/>
      <c r="AB614" s="1423"/>
      <c r="AC614" s="1423"/>
      <c r="AD614" s="1423"/>
      <c r="AE614" s="1423"/>
      <c r="AF614" s="1423"/>
      <c r="AG614" s="1423"/>
      <c r="AH614" s="1423"/>
      <c r="AI614" s="1423"/>
      <c r="AJ614" s="1423"/>
      <c r="AK614" s="1423"/>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431" t="s">
        <v>668</v>
      </c>
      <c r="O615" s="1431"/>
      <c r="P615"/>
      <c r="Q615"/>
      <c r="R615"/>
      <c r="S615"/>
      <c r="T615" s="22"/>
      <c r="U615" t="s">
        <v>20</v>
      </c>
      <c r="V615"/>
      <c r="W615"/>
      <c r="X615"/>
      <c r="Y615"/>
      <c r="Z615"/>
      <c r="AA615"/>
      <c r="AB615"/>
      <c r="AC615"/>
      <c r="AD615"/>
      <c r="AE615"/>
      <c r="AF615"/>
      <c r="AG615" s="1431" t="s">
        <v>668</v>
      </c>
      <c r="AH615" s="1431"/>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462</v>
      </c>
      <c r="G617" s="1496">
        <f>C572</f>
        <v>0</v>
      </c>
      <c r="H617" s="1496"/>
      <c r="I617" s="1496"/>
      <c r="J617" s="1496"/>
      <c r="K617" s="1496"/>
      <c r="L617" s="1496"/>
      <c r="M617" s="1496"/>
      <c r="N617" s="1496"/>
      <c r="O617" s="1496"/>
      <c r="P617" s="1496"/>
      <c r="Q617" s="1496"/>
      <c r="R617" s="1496"/>
      <c r="T617" s="55" t="s">
        <v>362</v>
      </c>
      <c r="U617" t="s">
        <v>462</v>
      </c>
      <c r="Z617" s="1496">
        <f>C573</f>
        <v>0</v>
      </c>
      <c r="AA617" s="1496"/>
      <c r="AB617" s="1496"/>
      <c r="AC617" s="1496"/>
      <c r="AD617" s="1496"/>
      <c r="AE617" s="1496"/>
      <c r="AF617" s="1496"/>
      <c r="AG617" s="1496"/>
      <c r="AH617" s="1496"/>
      <c r="AI617" s="1496"/>
      <c r="AJ617" s="1496"/>
      <c r="AK617" s="1496"/>
      <c r="AZ617" s="3"/>
      <c r="BA617" s="3"/>
      <c r="BB617" s="3"/>
      <c r="BC617" s="3"/>
    </row>
    <row r="618" spans="1:55" ht="12.9" customHeight="1">
      <c r="B618" t="s">
        <v>85</v>
      </c>
      <c r="G618" s="1423"/>
      <c r="H618" s="1423"/>
      <c r="I618" s="1423"/>
      <c r="J618" s="1423"/>
      <c r="K618" s="1423"/>
      <c r="L618" s="1423"/>
      <c r="M618" s="1423"/>
      <c r="N618" s="1423"/>
      <c r="O618" s="1423"/>
      <c r="P618" s="1423"/>
      <c r="Q618" s="1423"/>
      <c r="R618" s="1423"/>
      <c r="U618" t="s">
        <v>85</v>
      </c>
      <c r="Z618" s="1423"/>
      <c r="AA618" s="1423"/>
      <c r="AB618" s="1423"/>
      <c r="AC618" s="1423"/>
      <c r="AD618" s="1423"/>
      <c r="AE618" s="1423"/>
      <c r="AF618" s="1423"/>
      <c r="AG618" s="1423"/>
      <c r="AH618" s="1423"/>
      <c r="AI618" s="1423"/>
      <c r="AJ618" s="1423"/>
      <c r="AK618" s="1423"/>
      <c r="AZ618" s="3"/>
      <c r="BA618" s="3"/>
      <c r="BB618" s="3"/>
      <c r="BC618" s="3"/>
    </row>
    <row r="619" spans="1:55" ht="12.9" customHeight="1">
      <c r="B619" t="s">
        <v>579</v>
      </c>
      <c r="G619" s="1423"/>
      <c r="H619" s="1423"/>
      <c r="I619" s="1423"/>
      <c r="J619" s="1423"/>
      <c r="K619" s="1423"/>
      <c r="L619" s="1423"/>
      <c r="M619" s="1423"/>
      <c r="N619" s="1423"/>
      <c r="O619" s="1423"/>
      <c r="P619" s="1423"/>
      <c r="Q619" s="1423"/>
      <c r="R619" s="1423"/>
      <c r="U619" t="s">
        <v>579</v>
      </c>
      <c r="Z619" s="1388"/>
      <c r="AA619" s="1388"/>
      <c r="AB619" s="1388"/>
      <c r="AC619" s="1388"/>
      <c r="AD619" s="1388"/>
      <c r="AE619" s="1388"/>
      <c r="AF619" s="1388"/>
      <c r="AG619" s="1388"/>
      <c r="AH619" s="1388"/>
      <c r="AI619" s="1388"/>
      <c r="AJ619" s="1388"/>
      <c r="AK619" s="1388"/>
      <c r="AZ619" s="3"/>
      <c r="BA619" s="3"/>
      <c r="BB619" s="3"/>
      <c r="BC619" s="3"/>
    </row>
    <row r="620" spans="1:55" ht="12.9" customHeight="1">
      <c r="B620" t="s">
        <v>17</v>
      </c>
      <c r="G620" s="1423"/>
      <c r="H620" s="1423"/>
      <c r="I620" s="1423"/>
      <c r="J620" s="1423"/>
      <c r="K620" s="1423"/>
      <c r="L620" s="1423"/>
      <c r="M620" s="1423"/>
      <c r="N620" s="1423"/>
      <c r="O620" s="1423"/>
      <c r="P620" s="1423"/>
      <c r="Q620" s="1423"/>
      <c r="R620" s="1423"/>
      <c r="U620" t="s">
        <v>17</v>
      </c>
      <c r="Z620" s="1388"/>
      <c r="AA620" s="1388"/>
      <c r="AB620" s="1388"/>
      <c r="AC620" s="1388"/>
      <c r="AD620" s="1388"/>
      <c r="AE620" s="1388"/>
      <c r="AF620" s="1388"/>
      <c r="AG620" s="1388"/>
      <c r="AH620" s="1388"/>
      <c r="AI620" s="1388"/>
      <c r="AJ620" s="1388"/>
      <c r="AK620" s="1388"/>
      <c r="AZ620" s="3"/>
      <c r="BA620" s="3"/>
      <c r="BB620" s="3"/>
      <c r="BC620" s="3"/>
    </row>
    <row r="621" spans="1:55" ht="12.9" customHeight="1">
      <c r="B621" t="s">
        <v>315</v>
      </c>
      <c r="G621" s="1495"/>
      <c r="H621" s="1495"/>
      <c r="I621" s="1495"/>
      <c r="J621" s="1495"/>
      <c r="K621" s="1495"/>
      <c r="L621" s="1495"/>
      <c r="O621" s="33" t="s">
        <v>205</v>
      </c>
      <c r="P621" s="1484"/>
      <c r="Q621" s="1484"/>
      <c r="R621" s="1484"/>
      <c r="U621" t="s">
        <v>315</v>
      </c>
      <c r="Z621" s="1495"/>
      <c r="AA621" s="1495"/>
      <c r="AB621" s="1495"/>
      <c r="AC621" s="1495"/>
      <c r="AD621" s="1495"/>
      <c r="AE621" s="1495"/>
      <c r="AH621" s="33" t="s">
        <v>205</v>
      </c>
      <c r="AI621" s="1484"/>
      <c r="AJ621" s="1484"/>
      <c r="AK621" s="1484"/>
      <c r="AZ621" s="3"/>
      <c r="BA621" s="3"/>
      <c r="BB621" s="3"/>
      <c r="BC621" s="3"/>
    </row>
    <row r="622" spans="1:55" ht="12.9" customHeight="1">
      <c r="B622" t="s">
        <v>18</v>
      </c>
      <c r="H622" s="1423"/>
      <c r="I622" s="1423"/>
      <c r="J622" s="1423"/>
      <c r="K622" s="1423"/>
      <c r="L622" s="1423"/>
      <c r="M622" s="1423"/>
      <c r="N622" s="1423"/>
      <c r="O622" s="1423"/>
      <c r="P622" s="1423"/>
      <c r="Q622" s="1423"/>
      <c r="R622" s="1423"/>
      <c r="U622" t="s">
        <v>18</v>
      </c>
      <c r="AA622" s="1423"/>
      <c r="AB622" s="1423"/>
      <c r="AC622" s="1423"/>
      <c r="AD622" s="1423"/>
      <c r="AE622" s="1423"/>
      <c r="AF622" s="1423"/>
      <c r="AG622" s="1423"/>
      <c r="AH622" s="1423"/>
      <c r="AI622" s="1423"/>
      <c r="AJ622" s="1423"/>
      <c r="AK622" s="1423"/>
      <c r="AU622" s="895"/>
      <c r="AV622" s="895"/>
      <c r="AW622" s="895"/>
      <c r="AX622" s="895"/>
      <c r="AY622" s="895"/>
      <c r="AZ622" s="3"/>
      <c r="BA622" s="3"/>
      <c r="BB622" s="3"/>
      <c r="BC622" s="3"/>
    </row>
    <row r="623" spans="1:55" ht="12.9" customHeight="1">
      <c r="B623" t="s">
        <v>20</v>
      </c>
      <c r="N623" s="1431" t="s">
        <v>668</v>
      </c>
      <c r="O623" s="1431"/>
      <c r="U623" t="s">
        <v>20</v>
      </c>
      <c r="AG623" s="1431" t="s">
        <v>668</v>
      </c>
      <c r="AH623" s="1431"/>
      <c r="AU623" s="895"/>
      <c r="AV623" s="895"/>
      <c r="AW623" s="895"/>
      <c r="AX623" s="895"/>
      <c r="AY623" s="895"/>
      <c r="AZ623" s="3"/>
      <c r="BA623" s="3"/>
      <c r="BB623" s="3"/>
      <c r="BC623" s="3"/>
    </row>
    <row r="624" spans="1:55" ht="12.9" customHeight="1">
      <c r="AZ624" s="3"/>
      <c r="BA624" s="3"/>
      <c r="BB624" s="3"/>
      <c r="BC624" s="3"/>
    </row>
    <row r="625" spans="1:56" ht="12.9"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2056</v>
      </c>
      <c r="AZ630" s="3"/>
      <c r="BA630" s="3"/>
      <c r="BB630" s="3"/>
      <c r="BC630" s="3"/>
    </row>
    <row r="631" spans="1:56" ht="12.9" customHeight="1">
      <c r="B631" s="512"/>
      <c r="C631" s="2"/>
      <c r="AU631" s="3"/>
      <c r="AZ631" s="3"/>
      <c r="BA631" s="3"/>
      <c r="BB631" s="3"/>
      <c r="BC631" s="3"/>
    </row>
    <row r="632" spans="1:56" ht="12.9" customHeight="1">
      <c r="B632" s="1609" t="s">
        <v>2058</v>
      </c>
      <c r="C632" s="1609"/>
      <c r="D632" s="1609"/>
      <c r="E632" s="1609"/>
      <c r="F632" s="1609"/>
      <c r="G632" s="1609"/>
      <c r="H632" s="1609"/>
      <c r="I632" s="1609"/>
      <c r="J632" s="1609"/>
      <c r="K632" s="1609"/>
      <c r="L632" s="1609"/>
      <c r="M632" s="1834" t="s">
        <v>2059</v>
      </c>
      <c r="N632" s="1834"/>
      <c r="O632" s="1834"/>
      <c r="P632" s="1834"/>
      <c r="Q632" s="1834" t="s">
        <v>1828</v>
      </c>
      <c r="R632" s="1834"/>
      <c r="S632" s="1834"/>
      <c r="T632" s="1834" t="s">
        <v>1826</v>
      </c>
      <c r="U632" s="1834"/>
      <c r="V632" s="1834"/>
      <c r="W632" s="1661" t="s">
        <v>452</v>
      </c>
      <c r="X632" s="1661"/>
      <c r="Y632" s="1661"/>
      <c r="Z632" s="1412" t="s">
        <v>2088</v>
      </c>
      <c r="AA632" s="1412"/>
      <c r="AB632" s="1413"/>
      <c r="AC632" s="1835" t="s">
        <v>1664</v>
      </c>
      <c r="AD632" s="1836"/>
      <c r="AE632" s="1837"/>
      <c r="AF632" s="1411" t="s">
        <v>1903</v>
      </c>
      <c r="AG632" s="1412"/>
      <c r="AH632" s="1412"/>
      <c r="AI632" s="1412"/>
      <c r="AJ632" s="1413"/>
      <c r="AK632" s="1662" t="s">
        <v>1904</v>
      </c>
      <c r="AL632" s="1663"/>
      <c r="AM632" s="1663"/>
      <c r="AN632" s="1664"/>
      <c r="AO632" s="1834" t="s">
        <v>453</v>
      </c>
      <c r="AP632" s="1834"/>
      <c r="AQ632" s="1834"/>
      <c r="AR632" s="1834"/>
      <c r="AS632" s="1834"/>
      <c r="AU632" s="3"/>
      <c r="AZ632" s="3"/>
      <c r="BA632" s="3"/>
      <c r="BB632" s="3"/>
      <c r="BC632" s="3"/>
    </row>
    <row r="633" spans="1:56" ht="12.9" customHeight="1">
      <c r="B633" s="1609"/>
      <c r="C633" s="1609"/>
      <c r="D633" s="1609"/>
      <c r="E633" s="1609"/>
      <c r="F633" s="1609"/>
      <c r="G633" s="1609"/>
      <c r="H633" s="1609"/>
      <c r="I633" s="1609"/>
      <c r="J633" s="1609"/>
      <c r="K633" s="1609"/>
      <c r="L633" s="1609"/>
      <c r="M633" s="1834"/>
      <c r="N633" s="1834"/>
      <c r="O633" s="1834"/>
      <c r="P633" s="1834"/>
      <c r="Q633" s="1834"/>
      <c r="R633" s="1834"/>
      <c r="S633" s="1834"/>
      <c r="T633" s="1834"/>
      <c r="U633" s="1834"/>
      <c r="V633" s="1834"/>
      <c r="W633" s="1661"/>
      <c r="X633" s="1661"/>
      <c r="Y633" s="1661"/>
      <c r="Z633" s="1415"/>
      <c r="AA633" s="1415"/>
      <c r="AB633" s="1416"/>
      <c r="AC633" s="1838"/>
      <c r="AD633" s="1839"/>
      <c r="AE633" s="1840"/>
      <c r="AF633" s="1414"/>
      <c r="AG633" s="1415"/>
      <c r="AH633" s="1415"/>
      <c r="AI633" s="1415"/>
      <c r="AJ633" s="1416"/>
      <c r="AK633" s="1665"/>
      <c r="AL633" s="1666"/>
      <c r="AM633" s="1666"/>
      <c r="AN633" s="1667"/>
      <c r="AO633" s="1834"/>
      <c r="AP633" s="1834"/>
      <c r="AQ633" s="1834"/>
      <c r="AR633" s="1834"/>
      <c r="AS633" s="1834"/>
      <c r="AU633" s="3"/>
      <c r="AZ633" s="3"/>
      <c r="BA633" s="3"/>
      <c r="BB633" s="3"/>
      <c r="BC633" s="3"/>
      <c r="BD633" s="3"/>
    </row>
    <row r="634" spans="1:56" ht="12.9" customHeight="1">
      <c r="B634" s="1609"/>
      <c r="C634" s="1609"/>
      <c r="D634" s="1609"/>
      <c r="E634" s="1609"/>
      <c r="F634" s="1609"/>
      <c r="G634" s="1609"/>
      <c r="H634" s="1609"/>
      <c r="I634" s="1609"/>
      <c r="J634" s="1609"/>
      <c r="K634" s="1609"/>
      <c r="L634" s="1609"/>
      <c r="M634" s="1834"/>
      <c r="N634" s="1834"/>
      <c r="O634" s="1834"/>
      <c r="P634" s="1834"/>
      <c r="Q634" s="1834"/>
      <c r="R634" s="1834"/>
      <c r="S634" s="1834"/>
      <c r="T634" s="1834"/>
      <c r="U634" s="1834"/>
      <c r="V634" s="1834"/>
      <c r="W634" s="1661"/>
      <c r="X634" s="1661"/>
      <c r="Y634" s="1661"/>
      <c r="Z634" s="1418"/>
      <c r="AA634" s="1418"/>
      <c r="AB634" s="1419"/>
      <c r="AC634" s="1841"/>
      <c r="AD634" s="1842"/>
      <c r="AE634" s="1843"/>
      <c r="AF634" s="1417"/>
      <c r="AG634" s="1418"/>
      <c r="AH634" s="1418"/>
      <c r="AI634" s="1418"/>
      <c r="AJ634" s="1419"/>
      <c r="AK634" s="1668"/>
      <c r="AL634" s="1669"/>
      <c r="AM634" s="1669"/>
      <c r="AN634" s="1670"/>
      <c r="AO634" s="1834"/>
      <c r="AP634" s="1834"/>
      <c r="AQ634" s="1834"/>
      <c r="AR634" s="1834"/>
      <c r="AS634" s="1834"/>
      <c r="AT634" s="3"/>
      <c r="AU634" s="3"/>
      <c r="AZ634" s="3"/>
      <c r="BA634" s="3"/>
      <c r="BB634" s="3"/>
      <c r="BC634" s="3"/>
      <c r="BD634" s="3"/>
    </row>
    <row r="635" spans="1:56" ht="12.9" customHeight="1">
      <c r="B635" s="51" t="s">
        <v>112</v>
      </c>
      <c r="C635" s="1494" t="s">
        <v>2745</v>
      </c>
      <c r="D635" s="1494"/>
      <c r="E635" s="1494"/>
      <c r="F635" s="1494"/>
      <c r="G635" s="1494"/>
      <c r="H635" s="1494"/>
      <c r="I635" s="1494"/>
      <c r="J635" s="1494"/>
      <c r="K635" s="1494"/>
      <c r="L635" s="1494"/>
      <c r="M635" s="1612" t="s">
        <v>2075</v>
      </c>
      <c r="N635" s="1612"/>
      <c r="O635" s="1612"/>
      <c r="P635" s="1612"/>
      <c r="Q635" s="1518">
        <f>17*12</f>
        <v>204</v>
      </c>
      <c r="R635" s="1518"/>
      <c r="S635" s="1519"/>
      <c r="T635" s="1517">
        <f>35*12</f>
        <v>420</v>
      </c>
      <c r="U635" s="1518"/>
      <c r="V635" s="1519"/>
      <c r="W635" s="1498">
        <f>'[1]4%'!$E$11</f>
        <v>5.9000000000000004E-2</v>
      </c>
      <c r="X635" s="1499"/>
      <c r="Y635" s="1500"/>
      <c r="Z635" s="1491" t="s">
        <v>2087</v>
      </c>
      <c r="AA635" s="1492"/>
      <c r="AB635" s="1493"/>
      <c r="AC635" s="1397">
        <v>1</v>
      </c>
      <c r="AD635" s="1349"/>
      <c r="AE635" s="1398"/>
      <c r="AF635" s="1520">
        <f>'[1]4%'!$X$59</f>
        <v>3298972.5229257531</v>
      </c>
      <c r="AG635" s="1521"/>
      <c r="AH635" s="1521"/>
      <c r="AI635" s="1521"/>
      <c r="AJ635" s="1522"/>
      <c r="AK635" s="1501"/>
      <c r="AL635" s="1502"/>
      <c r="AM635" s="1502"/>
      <c r="AN635" s="1503"/>
      <c r="AO635" s="1640">
        <f>'[1]4%'!$F$11</f>
        <v>48787800</v>
      </c>
      <c r="AP635" s="1640"/>
      <c r="AQ635" s="1640"/>
      <c r="AR635" s="1640"/>
      <c r="AS635" s="1640"/>
      <c r="AT635" s="3"/>
      <c r="AU635" s="3"/>
      <c r="AZ635" s="3"/>
      <c r="BA635" s="3"/>
      <c r="BB635" s="3"/>
      <c r="BC635" s="3"/>
      <c r="BD635" s="3"/>
    </row>
    <row r="636" spans="1:56" ht="12.9" customHeight="1">
      <c r="B636" s="52" t="s">
        <v>113</v>
      </c>
      <c r="C636" s="1494" t="s">
        <v>2674</v>
      </c>
      <c r="D636" s="1494"/>
      <c r="E636" s="1494"/>
      <c r="F636" s="1494"/>
      <c r="G636" s="1494"/>
      <c r="H636" s="1494"/>
      <c r="I636" s="1494"/>
      <c r="J636" s="1494"/>
      <c r="K636" s="1494"/>
      <c r="L636" s="1494"/>
      <c r="M636" s="1612" t="s">
        <v>2078</v>
      </c>
      <c r="N636" s="1612"/>
      <c r="O636" s="1612"/>
      <c r="P636" s="1612"/>
      <c r="Q636" s="1517"/>
      <c r="R636" s="1518"/>
      <c r="S636" s="1519"/>
      <c r="T636" s="1517"/>
      <c r="U636" s="1518"/>
      <c r="V636" s="1519"/>
      <c r="W636" s="1498"/>
      <c r="X636" s="1499"/>
      <c r="Y636" s="1500"/>
      <c r="Z636" s="1491" t="s">
        <v>1183</v>
      </c>
      <c r="AA636" s="1492"/>
      <c r="AB636" s="1493"/>
      <c r="AC636" s="1397"/>
      <c r="AD636" s="1349"/>
      <c r="AE636" s="1398"/>
      <c r="AF636" s="1520"/>
      <c r="AG636" s="1521"/>
      <c r="AH636" s="1521"/>
      <c r="AI636" s="1521"/>
      <c r="AJ636" s="1522"/>
      <c r="AK636" s="1501"/>
      <c r="AL636" s="1502"/>
      <c r="AM636" s="1502"/>
      <c r="AN636" s="1503"/>
      <c r="AO636" s="1488">
        <f>ROUND('[1]4%'!$F$15,0)</f>
        <v>48249556</v>
      </c>
      <c r="AP636" s="1489"/>
      <c r="AQ636" s="1489"/>
      <c r="AR636" s="1489"/>
      <c r="AS636" s="1490"/>
      <c r="AT636" s="1142" t="str">
        <f>IF(AND(NOT(C635=""),C636="",NOT(C637="")),"!","")</f>
        <v/>
      </c>
      <c r="AU636" s="3"/>
      <c r="AZ636" s="3"/>
      <c r="BA636" s="3"/>
      <c r="BB636" s="3"/>
      <c r="BC636" s="3"/>
      <c r="BD636" s="3"/>
    </row>
    <row r="637" spans="1:56" ht="12.9" customHeight="1">
      <c r="B637" s="52" t="s">
        <v>119</v>
      </c>
      <c r="C637" s="1494" t="s">
        <v>2744</v>
      </c>
      <c r="D637" s="1494"/>
      <c r="E637" s="1494"/>
      <c r="F637" s="1494"/>
      <c r="G637" s="1494"/>
      <c r="H637" s="1494"/>
      <c r="I637" s="1494"/>
      <c r="J637" s="1494"/>
      <c r="K637" s="1494"/>
      <c r="L637" s="1494"/>
      <c r="M637" s="1612" t="s">
        <v>2078</v>
      </c>
      <c r="N637" s="1612"/>
      <c r="O637" s="1612"/>
      <c r="P637" s="1612"/>
      <c r="Q637" s="1517"/>
      <c r="R637" s="1518"/>
      <c r="S637" s="1519"/>
      <c r="T637" s="1517"/>
      <c r="U637" s="1518"/>
      <c r="V637" s="1519"/>
      <c r="W637" s="1498"/>
      <c r="X637" s="1499"/>
      <c r="Y637" s="1500"/>
      <c r="Z637" s="1491" t="s">
        <v>1183</v>
      </c>
      <c r="AA637" s="1492"/>
      <c r="AB637" s="1493"/>
      <c r="AC637" s="1397"/>
      <c r="AD637" s="1349"/>
      <c r="AE637" s="1398"/>
      <c r="AF637" s="1520"/>
      <c r="AG637" s="1521"/>
      <c r="AH637" s="1521"/>
      <c r="AI637" s="1521"/>
      <c r="AJ637" s="1522"/>
      <c r="AK637" s="1501"/>
      <c r="AL637" s="1502"/>
      <c r="AM637" s="1502"/>
      <c r="AN637" s="1503"/>
      <c r="AO637" s="1488">
        <f>ROUND('[1]4%'!$F$17,0)</f>
        <v>9639667</v>
      </c>
      <c r="AP637" s="1489"/>
      <c r="AQ637" s="1489"/>
      <c r="AR637" s="1489"/>
      <c r="AS637" s="1490"/>
      <c r="AT637" s="1142" t="str">
        <f t="shared" ref="AT637:AT646" si="3">IF(AND(NOT(C636=""),C637="",NOT(C638="")),"!","")</f>
        <v/>
      </c>
      <c r="AU637" s="3"/>
      <c r="AZ637" s="3"/>
      <c r="BA637" s="3"/>
      <c r="BB637" s="3"/>
      <c r="BC637" s="3"/>
      <c r="BD637" s="3"/>
    </row>
    <row r="638" spans="1:56" ht="12.9" customHeight="1">
      <c r="B638" s="52" t="s">
        <v>580</v>
      </c>
      <c r="C638" s="1529" t="s">
        <v>2757</v>
      </c>
      <c r="D638" s="1529"/>
      <c r="E638" s="1529"/>
      <c r="F638" s="1529"/>
      <c r="G638" s="1529"/>
      <c r="H638" s="1529"/>
      <c r="I638" s="1529"/>
      <c r="J638" s="1529"/>
      <c r="K638" s="1529"/>
      <c r="L638" s="1529"/>
      <c r="M638" s="1612" t="s">
        <v>2065</v>
      </c>
      <c r="N638" s="1612"/>
      <c r="O638" s="1612"/>
      <c r="P638" s="1612"/>
      <c r="Q638" s="1517"/>
      <c r="R638" s="1518"/>
      <c r="S638" s="1519"/>
      <c r="T638" s="1517"/>
      <c r="U638" s="1518"/>
      <c r="V638" s="1519"/>
      <c r="W638" s="1498"/>
      <c r="X638" s="1499"/>
      <c r="Y638" s="1500"/>
      <c r="Z638" s="1491" t="s">
        <v>1183</v>
      </c>
      <c r="AA638" s="1492"/>
      <c r="AB638" s="1493"/>
      <c r="AC638" s="1397"/>
      <c r="AD638" s="1349"/>
      <c r="AE638" s="1398"/>
      <c r="AF638" s="1520"/>
      <c r="AG638" s="1521"/>
      <c r="AH638" s="1521"/>
      <c r="AI638" s="1521"/>
      <c r="AJ638" s="1522"/>
      <c r="AK638" s="1501"/>
      <c r="AL638" s="1502"/>
      <c r="AM638" s="1502"/>
      <c r="AN638" s="1503"/>
      <c r="AO638" s="1488">
        <f>ROUND('[1]4%'!$F$21,0)</f>
        <v>2705446</v>
      </c>
      <c r="AP638" s="1489"/>
      <c r="AQ638" s="1489"/>
      <c r="AR638" s="1489"/>
      <c r="AS638" s="1490"/>
      <c r="AT638" s="1142" t="str">
        <f t="shared" si="3"/>
        <v/>
      </c>
      <c r="AU638" s="3"/>
      <c r="AZ638" s="3"/>
      <c r="BA638" s="3"/>
      <c r="BB638" s="3"/>
      <c r="BC638" s="3"/>
      <c r="BD638" s="3"/>
    </row>
    <row r="639" spans="1:56" ht="12.9" customHeight="1">
      <c r="B639" s="52" t="s">
        <v>762</v>
      </c>
      <c r="C639" s="1529" t="s">
        <v>2263</v>
      </c>
      <c r="D639" s="1529"/>
      <c r="E639" s="1529"/>
      <c r="F639" s="1529"/>
      <c r="G639" s="1529"/>
      <c r="H639" s="1529"/>
      <c r="I639" s="1529"/>
      <c r="J639" s="1529"/>
      <c r="K639" s="1529"/>
      <c r="L639" s="1529"/>
      <c r="M639" s="1612" t="s">
        <v>2062</v>
      </c>
      <c r="N639" s="1612"/>
      <c r="O639" s="1612"/>
      <c r="P639" s="1612"/>
      <c r="Q639" s="1517"/>
      <c r="R639" s="1518"/>
      <c r="S639" s="1519"/>
      <c r="T639" s="1517"/>
      <c r="U639" s="1518"/>
      <c r="V639" s="1519"/>
      <c r="W639" s="1498"/>
      <c r="X639" s="1499"/>
      <c r="Y639" s="1500"/>
      <c r="Z639" s="1491" t="s">
        <v>1183</v>
      </c>
      <c r="AA639" s="1492"/>
      <c r="AB639" s="1493"/>
      <c r="AC639" s="1397"/>
      <c r="AD639" s="1349"/>
      <c r="AE639" s="1398"/>
      <c r="AF639" s="1520"/>
      <c r="AG639" s="1521"/>
      <c r="AH639" s="1521"/>
      <c r="AI639" s="1521"/>
      <c r="AJ639" s="1522"/>
      <c r="AK639" s="1501"/>
      <c r="AL639" s="1502"/>
      <c r="AM639" s="1502"/>
      <c r="AN639" s="1503"/>
      <c r="AO639" s="1488">
        <f>ROUND('[1]4%'!$F$20,0)</f>
        <v>14754227</v>
      </c>
      <c r="AP639" s="1489"/>
      <c r="AQ639" s="1489"/>
      <c r="AR639" s="1489"/>
      <c r="AS639" s="1490"/>
      <c r="AT639" s="1142" t="str">
        <f t="shared" si="3"/>
        <v/>
      </c>
      <c r="AU639" s="3"/>
      <c r="AZ639" s="3"/>
      <c r="BA639" s="3"/>
      <c r="BB639" s="3"/>
      <c r="BC639" s="3"/>
      <c r="BD639" s="3"/>
    </row>
    <row r="640" spans="1:56" ht="12.9" customHeight="1">
      <c r="B640" s="52" t="s">
        <v>583</v>
      </c>
      <c r="C640" s="1529"/>
      <c r="D640" s="1529"/>
      <c r="E640" s="1529"/>
      <c r="F640" s="1529"/>
      <c r="G640" s="1529"/>
      <c r="H640" s="1529"/>
      <c r="I640" s="1529"/>
      <c r="J640" s="1529"/>
      <c r="K640" s="1529"/>
      <c r="L640" s="1529"/>
      <c r="M640" s="1612" t="s">
        <v>1183</v>
      </c>
      <c r="N640" s="1612"/>
      <c r="O640" s="1612"/>
      <c r="P640" s="1612"/>
      <c r="Q640" s="1517"/>
      <c r="R640" s="1518"/>
      <c r="S640" s="1519"/>
      <c r="T640" s="1517"/>
      <c r="U640" s="1518"/>
      <c r="V640" s="1519"/>
      <c r="W640" s="1498"/>
      <c r="X640" s="1499"/>
      <c r="Y640" s="1500"/>
      <c r="Z640" s="1491" t="s">
        <v>1183</v>
      </c>
      <c r="AA640" s="1492"/>
      <c r="AB640" s="1493"/>
      <c r="AC640" s="1397"/>
      <c r="AD640" s="1349"/>
      <c r="AE640" s="1398"/>
      <c r="AF640" s="1520"/>
      <c r="AG640" s="1521"/>
      <c r="AH640" s="1521"/>
      <c r="AI640" s="1521"/>
      <c r="AJ640" s="1522"/>
      <c r="AK640" s="1501"/>
      <c r="AL640" s="1502"/>
      <c r="AM640" s="1502"/>
      <c r="AN640" s="1503"/>
      <c r="AO640" s="1488"/>
      <c r="AP640" s="1489"/>
      <c r="AQ640" s="1489"/>
      <c r="AR640" s="1489"/>
      <c r="AS640" s="1490"/>
      <c r="AT640" s="1142" t="str">
        <f t="shared" si="3"/>
        <v/>
      </c>
      <c r="AU640" s="3"/>
      <c r="AZ640" s="3"/>
      <c r="BA640" s="3"/>
      <c r="BB640" s="3"/>
      <c r="BC640" s="3"/>
      <c r="BD640" s="3"/>
    </row>
    <row r="641" spans="1:157" ht="12.9" customHeight="1">
      <c r="B641" s="52" t="s">
        <v>454</v>
      </c>
      <c r="C641" s="1529"/>
      <c r="D641" s="1529"/>
      <c r="E641" s="1529"/>
      <c r="F641" s="1529"/>
      <c r="G641" s="1529"/>
      <c r="H641" s="1529"/>
      <c r="I641" s="1529"/>
      <c r="J641" s="1529"/>
      <c r="K641" s="1529"/>
      <c r="L641" s="1529"/>
      <c r="M641" s="1612" t="s">
        <v>1183</v>
      </c>
      <c r="N641" s="1612"/>
      <c r="O641" s="1612"/>
      <c r="P641" s="1612"/>
      <c r="Q641" s="1517"/>
      <c r="R641" s="1518"/>
      <c r="S641" s="1519"/>
      <c r="T641" s="1517"/>
      <c r="U641" s="1518"/>
      <c r="V641" s="1519"/>
      <c r="W641" s="1498"/>
      <c r="X641" s="1499"/>
      <c r="Y641" s="1500"/>
      <c r="Z641" s="1491" t="s">
        <v>1183</v>
      </c>
      <c r="AA641" s="1492"/>
      <c r="AB641" s="1493"/>
      <c r="AC641" s="1397"/>
      <c r="AD641" s="1349"/>
      <c r="AE641" s="1398"/>
      <c r="AF641" s="1520"/>
      <c r="AG641" s="1521"/>
      <c r="AH641" s="1521"/>
      <c r="AI641" s="1521"/>
      <c r="AJ641" s="1522"/>
      <c r="AK641" s="1501"/>
      <c r="AL641" s="1502"/>
      <c r="AM641" s="1502"/>
      <c r="AN641" s="1503"/>
      <c r="AO641" s="1488"/>
      <c r="AP641" s="1489"/>
      <c r="AQ641" s="1489"/>
      <c r="AR641" s="1489"/>
      <c r="AS641" s="1490"/>
      <c r="AT641" s="1142" t="str">
        <f t="shared" si="3"/>
        <v/>
      </c>
      <c r="AU641" s="3"/>
      <c r="AV641" s="3"/>
      <c r="AW641" s="3"/>
      <c r="AX641" s="3"/>
      <c r="AY641" s="3"/>
      <c r="AZ641" s="3"/>
      <c r="BA641" s="3"/>
      <c r="BB641" s="3"/>
      <c r="BC641" s="3"/>
      <c r="BD641" s="3"/>
    </row>
    <row r="642" spans="1:157" ht="12.9" customHeight="1">
      <c r="B642" s="52" t="s">
        <v>455</v>
      </c>
      <c r="C642" s="1529"/>
      <c r="D642" s="1529"/>
      <c r="E642" s="1529"/>
      <c r="F642" s="1529"/>
      <c r="G642" s="1529"/>
      <c r="H642" s="1529"/>
      <c r="I642" s="1529"/>
      <c r="J642" s="1529"/>
      <c r="K642" s="1529"/>
      <c r="L642" s="1529"/>
      <c r="M642" s="1612" t="s">
        <v>1183</v>
      </c>
      <c r="N642" s="1612"/>
      <c r="O642" s="1612"/>
      <c r="P642" s="1612"/>
      <c r="Q642" s="1517"/>
      <c r="R642" s="1518"/>
      <c r="S642" s="1519"/>
      <c r="T642" s="1517"/>
      <c r="U642" s="1518"/>
      <c r="V642" s="1519"/>
      <c r="W642" s="1498"/>
      <c r="X642" s="1499"/>
      <c r="Y642" s="1500"/>
      <c r="Z642" s="1491" t="s">
        <v>1183</v>
      </c>
      <c r="AA642" s="1492"/>
      <c r="AB642" s="1493"/>
      <c r="AC642" s="1397"/>
      <c r="AD642" s="1349"/>
      <c r="AE642" s="1398"/>
      <c r="AF642" s="1520"/>
      <c r="AG642" s="1521"/>
      <c r="AH642" s="1521"/>
      <c r="AI642" s="1521"/>
      <c r="AJ642" s="1522"/>
      <c r="AK642" s="1501"/>
      <c r="AL642" s="1502"/>
      <c r="AM642" s="1502"/>
      <c r="AN642" s="1503"/>
      <c r="AO642" s="1488"/>
      <c r="AP642" s="1489"/>
      <c r="AQ642" s="1489"/>
      <c r="AR642" s="1489"/>
      <c r="AS642" s="1490"/>
      <c r="AT642" s="1142" t="str">
        <f t="shared" si="3"/>
        <v/>
      </c>
      <c r="AU642" s="3"/>
      <c r="AV642" s="3"/>
      <c r="AW642" s="3"/>
      <c r="AX642" s="3"/>
      <c r="AY642" s="3"/>
      <c r="AZ642" s="3"/>
      <c r="BA642" s="3" t="s">
        <v>1183</v>
      </c>
      <c r="BB642" s="3"/>
      <c r="BC642" s="3"/>
      <c r="BD642" s="3"/>
    </row>
    <row r="643" spans="1:157" ht="12.9" customHeight="1">
      <c r="B643" s="52" t="s">
        <v>460</v>
      </c>
      <c r="C643" s="1529"/>
      <c r="D643" s="1529"/>
      <c r="E643" s="1529"/>
      <c r="F643" s="1529"/>
      <c r="G643" s="1529"/>
      <c r="H643" s="1529"/>
      <c r="I643" s="1529"/>
      <c r="J643" s="1529"/>
      <c r="K643" s="1529"/>
      <c r="L643" s="1529"/>
      <c r="M643" s="1612" t="s">
        <v>1183</v>
      </c>
      <c r="N643" s="1612"/>
      <c r="O643" s="1612"/>
      <c r="P643" s="1612"/>
      <c r="Q643" s="1517"/>
      <c r="R643" s="1518"/>
      <c r="S643" s="1519"/>
      <c r="T643" s="1517"/>
      <c r="U643" s="1518"/>
      <c r="V643" s="1519"/>
      <c r="W643" s="1498"/>
      <c r="X643" s="1499"/>
      <c r="Y643" s="1500"/>
      <c r="Z643" s="1491" t="s">
        <v>1183</v>
      </c>
      <c r="AA643" s="1492"/>
      <c r="AB643" s="1493"/>
      <c r="AC643" s="1397"/>
      <c r="AD643" s="1349"/>
      <c r="AE643" s="1398"/>
      <c r="AF643" s="1520"/>
      <c r="AG643" s="1521"/>
      <c r="AH643" s="1521"/>
      <c r="AI643" s="1521"/>
      <c r="AJ643" s="1522"/>
      <c r="AK643" s="1501"/>
      <c r="AL643" s="1502"/>
      <c r="AM643" s="1502"/>
      <c r="AN643" s="1503"/>
      <c r="AO643" s="1488"/>
      <c r="AP643" s="1489"/>
      <c r="AQ643" s="1489"/>
      <c r="AR643" s="1489"/>
      <c r="AS643" s="1490"/>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6">
        <f t="shared" ref="DX643:DX677" si="4">EZ726*(CP726/$CP$761)</f>
        <v>349.24615384615385</v>
      </c>
      <c r="DY643" s="1386"/>
      <c r="DZ643" s="1386"/>
      <c r="EA643" s="1386"/>
      <c r="EB643" s="1386"/>
      <c r="EC643" s="1386" t="e">
        <f t="shared" ref="EC643:EC677" si="5">FE726*(CU726/$CU$761)</f>
        <v>#VALUE!</v>
      </c>
      <c r="ED643" s="1386"/>
      <c r="EE643" s="1386"/>
      <c r="EF643" s="1386"/>
      <c r="EG643" s="1386"/>
      <c r="EH643" s="1386" t="e">
        <f t="shared" ref="EH643:EH677" si="6">FJ726*(CZ726/$CZ$761)</f>
        <v>#VALUE!</v>
      </c>
      <c r="EI643" s="1386"/>
      <c r="EJ643" s="1386"/>
      <c r="EK643" s="1386"/>
      <c r="EL643" s="1386"/>
      <c r="EM643" s="1386" t="e">
        <f t="shared" ref="EM643:EM677" si="7">FO726*(DE726/$DE$761)</f>
        <v>#VALUE!</v>
      </c>
      <c r="EN643" s="1386"/>
      <c r="EO643" s="1386"/>
      <c r="EP643" s="1386"/>
      <c r="EQ643" s="1386"/>
      <c r="ER643" s="1386" t="e">
        <f t="shared" ref="ER643:ER677" si="8">FT726*(DJ726/$DJ$761)</f>
        <v>#VALUE!</v>
      </c>
      <c r="ES643" s="1386"/>
      <c r="ET643" s="1386"/>
      <c r="EU643" s="1386"/>
      <c r="EV643" s="1386"/>
      <c r="EW643" s="1386" t="e">
        <f t="shared" ref="EW643:EW677" si="9">FY726*(DO726/$DO$761)</f>
        <v>#VALUE!</v>
      </c>
      <c r="EX643" s="1386"/>
      <c r="EY643" s="1386"/>
      <c r="EZ643" s="1386"/>
      <c r="FA643" s="1386"/>
    </row>
    <row r="644" spans="1:157" ht="12.9" customHeight="1">
      <c r="B644" s="52" t="s">
        <v>645</v>
      </c>
      <c r="C644" s="1529"/>
      <c r="D644" s="1529"/>
      <c r="E644" s="1529"/>
      <c r="F644" s="1529"/>
      <c r="G644" s="1529"/>
      <c r="H644" s="1529"/>
      <c r="I644" s="1529"/>
      <c r="J644" s="1529"/>
      <c r="K644" s="1529"/>
      <c r="L644" s="1529"/>
      <c r="M644" s="1612" t="s">
        <v>1183</v>
      </c>
      <c r="N644" s="1612"/>
      <c r="O644" s="1612"/>
      <c r="P644" s="1612"/>
      <c r="Q644" s="1517"/>
      <c r="R644" s="1518"/>
      <c r="S644" s="1519"/>
      <c r="T644" s="1517"/>
      <c r="U644" s="1518"/>
      <c r="V644" s="1519"/>
      <c r="W644" s="1498"/>
      <c r="X644" s="1499"/>
      <c r="Y644" s="1500"/>
      <c r="Z644" s="1491" t="s">
        <v>1183</v>
      </c>
      <c r="AA644" s="1492"/>
      <c r="AB644" s="1493"/>
      <c r="AC644" s="1397"/>
      <c r="AD644" s="1349"/>
      <c r="AE644" s="1398"/>
      <c r="AF644" s="1520"/>
      <c r="AG644" s="1521"/>
      <c r="AH644" s="1521"/>
      <c r="AI644" s="1521"/>
      <c r="AJ644" s="1522"/>
      <c r="AK644" s="1501"/>
      <c r="AL644" s="1502"/>
      <c r="AM644" s="1502"/>
      <c r="AN644" s="1503"/>
      <c r="AO644" s="1488"/>
      <c r="AP644" s="1489"/>
      <c r="AQ644" s="1489"/>
      <c r="AR644" s="1489"/>
      <c r="AS644" s="1490"/>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6">
        <f t="shared" si="4"/>
        <v>1066</v>
      </c>
      <c r="DY644" s="1386"/>
      <c r="DZ644" s="1386"/>
      <c r="EA644" s="1386"/>
      <c r="EB644" s="1386"/>
      <c r="EC644" s="1386" t="e">
        <f t="shared" si="5"/>
        <v>#VALUE!</v>
      </c>
      <c r="ED644" s="1386"/>
      <c r="EE644" s="1386"/>
      <c r="EF644" s="1386"/>
      <c r="EG644" s="1386"/>
      <c r="EH644" s="1386" t="e">
        <f t="shared" si="6"/>
        <v>#VALUE!</v>
      </c>
      <c r="EI644" s="1386"/>
      <c r="EJ644" s="1386"/>
      <c r="EK644" s="1386"/>
      <c r="EL644" s="1386"/>
      <c r="EM644" s="1386" t="e">
        <f t="shared" si="7"/>
        <v>#VALUE!</v>
      </c>
      <c r="EN644" s="1386"/>
      <c r="EO644" s="1386"/>
      <c r="EP644" s="1386"/>
      <c r="EQ644" s="1386"/>
      <c r="ER644" s="1386" t="e">
        <f t="shared" si="8"/>
        <v>#VALUE!</v>
      </c>
      <c r="ES644" s="1386"/>
      <c r="ET644" s="1386"/>
      <c r="EU644" s="1386"/>
      <c r="EV644" s="1386"/>
      <c r="EW644" s="1386" t="e">
        <f t="shared" si="9"/>
        <v>#VALUE!</v>
      </c>
      <c r="EX644" s="1386"/>
      <c r="EY644" s="1386"/>
      <c r="EZ644" s="1386"/>
      <c r="FA644" s="1386"/>
    </row>
    <row r="645" spans="1:157" ht="12.9" customHeight="1">
      <c r="B645" s="52" t="s">
        <v>361</v>
      </c>
      <c r="C645" s="1529"/>
      <c r="D645" s="1529"/>
      <c r="E645" s="1529"/>
      <c r="F645" s="1529"/>
      <c r="G645" s="1529"/>
      <c r="H645" s="1529"/>
      <c r="I645" s="1529"/>
      <c r="J645" s="1529"/>
      <c r="K645" s="1529"/>
      <c r="L645" s="1529"/>
      <c r="M645" s="1612" t="s">
        <v>1183</v>
      </c>
      <c r="N645" s="1612"/>
      <c r="O645" s="1612"/>
      <c r="P645" s="1612"/>
      <c r="Q645" s="1517"/>
      <c r="R645" s="1518"/>
      <c r="S645" s="1519"/>
      <c r="T645" s="1517"/>
      <c r="U645" s="1518"/>
      <c r="V645" s="1519"/>
      <c r="W645" s="1498"/>
      <c r="X645" s="1499"/>
      <c r="Y645" s="1500"/>
      <c r="Z645" s="1491" t="s">
        <v>1183</v>
      </c>
      <c r="AA645" s="1492"/>
      <c r="AB645" s="1493"/>
      <c r="AC645" s="1397"/>
      <c r="AD645" s="1349"/>
      <c r="AE645" s="1398"/>
      <c r="AF645" s="1520"/>
      <c r="AG645" s="1521"/>
      <c r="AH645" s="1521"/>
      <c r="AI645" s="1521"/>
      <c r="AJ645" s="1522"/>
      <c r="AK645" s="1501"/>
      <c r="AL645" s="1502"/>
      <c r="AM645" s="1502"/>
      <c r="AN645" s="1503"/>
      <c r="AO645" s="1488"/>
      <c r="AP645" s="1489"/>
      <c r="AQ645" s="1489"/>
      <c r="AR645" s="1489"/>
      <c r="AS645" s="1490"/>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6">
        <f t="shared" si="4"/>
        <v>26</v>
      </c>
      <c r="DY645" s="1386"/>
      <c r="DZ645" s="1386"/>
      <c r="EA645" s="1386"/>
      <c r="EB645" s="1386"/>
      <c r="EC645" s="1386" t="e">
        <f t="shared" si="5"/>
        <v>#VALUE!</v>
      </c>
      <c r="ED645" s="1386"/>
      <c r="EE645" s="1386"/>
      <c r="EF645" s="1386"/>
      <c r="EG645" s="1386"/>
      <c r="EH645" s="1386" t="e">
        <f t="shared" si="6"/>
        <v>#VALUE!</v>
      </c>
      <c r="EI645" s="1386"/>
      <c r="EJ645" s="1386"/>
      <c r="EK645" s="1386"/>
      <c r="EL645" s="1386"/>
      <c r="EM645" s="1386" t="e">
        <f t="shared" si="7"/>
        <v>#VALUE!</v>
      </c>
      <c r="EN645" s="1386"/>
      <c r="EO645" s="1386"/>
      <c r="EP645" s="1386"/>
      <c r="EQ645" s="1386"/>
      <c r="ER645" s="1386" t="e">
        <f t="shared" si="8"/>
        <v>#VALUE!</v>
      </c>
      <c r="ES645" s="1386"/>
      <c r="ET645" s="1386"/>
      <c r="EU645" s="1386"/>
      <c r="EV645" s="1386"/>
      <c r="EW645" s="1386" t="e">
        <f t="shared" si="9"/>
        <v>#VALUE!</v>
      </c>
      <c r="EX645" s="1386"/>
      <c r="EY645" s="1386"/>
      <c r="EZ645" s="1386"/>
      <c r="FA645" s="1386"/>
    </row>
    <row r="646" spans="1:157" ht="12.9" customHeight="1">
      <c r="B646" s="52" t="s">
        <v>362</v>
      </c>
      <c r="C646" s="1529"/>
      <c r="D646" s="1529"/>
      <c r="E646" s="1529"/>
      <c r="F646" s="1529"/>
      <c r="G646" s="1529"/>
      <c r="H646" s="1529"/>
      <c r="I646" s="1529"/>
      <c r="J646" s="1529"/>
      <c r="K646" s="1529"/>
      <c r="L646" s="1529"/>
      <c r="M646" s="1612" t="s">
        <v>1183</v>
      </c>
      <c r="N646" s="1612"/>
      <c r="O646" s="1612"/>
      <c r="P646" s="1612"/>
      <c r="Q646" s="1517"/>
      <c r="R646" s="1518"/>
      <c r="S646" s="1519"/>
      <c r="T646" s="1517"/>
      <c r="U646" s="1518"/>
      <c r="V646" s="1519"/>
      <c r="W646" s="1498"/>
      <c r="X646" s="1499"/>
      <c r="Y646" s="1500"/>
      <c r="Z646" s="1491" t="s">
        <v>1183</v>
      </c>
      <c r="AA646" s="1492"/>
      <c r="AB646" s="1493"/>
      <c r="AC646" s="1397"/>
      <c r="AD646" s="1349"/>
      <c r="AE646" s="1398"/>
      <c r="AF646" s="1520"/>
      <c r="AG646" s="1521"/>
      <c r="AH646" s="1521"/>
      <c r="AI646" s="1521"/>
      <c r="AJ646" s="1522"/>
      <c r="AK646" s="1501"/>
      <c r="AL646" s="1502"/>
      <c r="AM646" s="1502"/>
      <c r="AN646" s="1503"/>
      <c r="AO646" s="1488"/>
      <c r="AP646" s="1489"/>
      <c r="AQ646" s="1489"/>
      <c r="AR646" s="1489"/>
      <c r="AS646" s="1490"/>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86" t="e">
        <f t="shared" si="4"/>
        <v>#VALUE!</v>
      </c>
      <c r="DY646" s="1386"/>
      <c r="DZ646" s="1386"/>
      <c r="EA646" s="1386"/>
      <c r="EB646" s="1386"/>
      <c r="EC646" s="1386">
        <f t="shared" si="5"/>
        <v>187.91666666666669</v>
      </c>
      <c r="ED646" s="1386"/>
      <c r="EE646" s="1386"/>
      <c r="EF646" s="1386"/>
      <c r="EG646" s="1386"/>
      <c r="EH646" s="1386" t="e">
        <f t="shared" si="6"/>
        <v>#VALUE!</v>
      </c>
      <c r="EI646" s="1386"/>
      <c r="EJ646" s="1386"/>
      <c r="EK646" s="1386"/>
      <c r="EL646" s="1386"/>
      <c r="EM646" s="1386" t="e">
        <f t="shared" si="7"/>
        <v>#VALUE!</v>
      </c>
      <c r="EN646" s="1386"/>
      <c r="EO646" s="1386"/>
      <c r="EP646" s="1386"/>
      <c r="EQ646" s="1386"/>
      <c r="ER646" s="1386" t="e">
        <f t="shared" si="8"/>
        <v>#VALUE!</v>
      </c>
      <c r="ES646" s="1386"/>
      <c r="ET646" s="1386"/>
      <c r="EU646" s="1386"/>
      <c r="EV646" s="1386"/>
      <c r="EW646" s="1386" t="e">
        <f t="shared" si="9"/>
        <v>#VALUE!</v>
      </c>
      <c r="EX646" s="1386"/>
      <c r="EY646" s="1386"/>
      <c r="EZ646" s="1386"/>
      <c r="FA646" s="1386"/>
    </row>
    <row r="647" spans="1:157" ht="12.9" customHeight="1">
      <c r="B647" s="1424" t="s">
        <v>128</v>
      </c>
      <c r="C647" s="1425"/>
      <c r="D647" s="1425"/>
      <c r="E647" s="1425"/>
      <c r="F647" s="1425"/>
      <c r="G647" s="1425"/>
      <c r="H647" s="1425"/>
      <c r="I647" s="1425"/>
      <c r="J647" s="1425"/>
      <c r="K647" s="1425"/>
      <c r="L647" s="1425"/>
      <c r="M647" s="1425"/>
      <c r="N647" s="1425"/>
      <c r="O647" s="1425"/>
      <c r="P647" s="1425"/>
      <c r="Q647" s="1425"/>
      <c r="R647" s="1425"/>
      <c r="S647" s="1425"/>
      <c r="T647" s="1425"/>
      <c r="U647" s="1425"/>
      <c r="V647" s="1425"/>
      <c r="W647" s="1425"/>
      <c r="X647" s="1425"/>
      <c r="Y647" s="1425"/>
      <c r="Z647" s="1425"/>
      <c r="AA647" s="1425"/>
      <c r="AB647" s="1425"/>
      <c r="AC647" s="1425"/>
      <c r="AD647" s="1425"/>
      <c r="AE647" s="1425"/>
      <c r="AF647" s="1425"/>
      <c r="AG647" s="1425"/>
      <c r="AH647" s="1425"/>
      <c r="AI647" s="1425"/>
      <c r="AJ647" s="1425"/>
      <c r="AK647" s="1425"/>
      <c r="AL647" s="1425"/>
      <c r="AM647" s="1425"/>
      <c r="AN647" s="1427"/>
      <c r="AO647" s="1485">
        <f>SUM(AO635:AR646)</f>
        <v>124136696</v>
      </c>
      <c r="AP647" s="1486"/>
      <c r="AQ647" s="1486"/>
      <c r="AR647" s="1486"/>
      <c r="AS647" s="148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6" t="e">
        <f t="shared" si="4"/>
        <v>#VALUE!</v>
      </c>
      <c r="DY647" s="1386"/>
      <c r="DZ647" s="1386"/>
      <c r="EA647" s="1386"/>
      <c r="EB647" s="1386"/>
      <c r="EC647" s="1386">
        <f t="shared" si="5"/>
        <v>1135.9375</v>
      </c>
      <c r="ED647" s="1386"/>
      <c r="EE647" s="1386"/>
      <c r="EF647" s="1386"/>
      <c r="EG647" s="1386"/>
      <c r="EH647" s="1386" t="e">
        <f t="shared" si="6"/>
        <v>#VALUE!</v>
      </c>
      <c r="EI647" s="1386"/>
      <c r="EJ647" s="1386"/>
      <c r="EK647" s="1386"/>
      <c r="EL647" s="1386"/>
      <c r="EM647" s="1386" t="e">
        <f t="shared" si="7"/>
        <v>#VALUE!</v>
      </c>
      <c r="EN647" s="1386"/>
      <c r="EO647" s="1386"/>
      <c r="EP647" s="1386"/>
      <c r="EQ647" s="1386"/>
      <c r="ER647" s="1386" t="e">
        <f t="shared" si="8"/>
        <v>#VALUE!</v>
      </c>
      <c r="ES647" s="1386"/>
      <c r="ET647" s="1386"/>
      <c r="EU647" s="1386"/>
      <c r="EV647" s="1386"/>
      <c r="EW647" s="1386" t="e">
        <f t="shared" si="9"/>
        <v>#VALUE!</v>
      </c>
      <c r="EX647" s="1386"/>
      <c r="EY647" s="1386"/>
      <c r="EZ647" s="1386"/>
      <c r="FA647" s="1386"/>
    </row>
    <row r="648" spans="1:157" ht="12.9" customHeight="1">
      <c r="B648" s="1424" t="s">
        <v>266</v>
      </c>
      <c r="C648" s="1425"/>
      <c r="D648" s="1425"/>
      <c r="E648" s="1425"/>
      <c r="F648" s="1425"/>
      <c r="G648" s="1425"/>
      <c r="H648" s="1425"/>
      <c r="I648" s="1425"/>
      <c r="J648" s="1425"/>
      <c r="K648" s="1425"/>
      <c r="L648" s="1425"/>
      <c r="M648" s="1425"/>
      <c r="N648" s="1425"/>
      <c r="O648" s="1425"/>
      <c r="P648" s="1425"/>
      <c r="Q648" s="1425"/>
      <c r="R648" s="1425"/>
      <c r="S648" s="1425"/>
      <c r="T648" s="1425"/>
      <c r="U648" s="1425"/>
      <c r="V648" s="1425"/>
      <c r="W648" s="1425"/>
      <c r="X648" s="1425"/>
      <c r="Y648" s="1425"/>
      <c r="Z648" s="1425"/>
      <c r="AA648" s="1425"/>
      <c r="AB648" s="1425"/>
      <c r="AC648" s="1425"/>
      <c r="AD648" s="1425"/>
      <c r="AE648" s="1425"/>
      <c r="AF648" s="1425"/>
      <c r="AG648" s="1425"/>
      <c r="AH648" s="1425"/>
      <c r="AI648" s="1425"/>
      <c r="AJ648" s="1425"/>
      <c r="AK648" s="1425"/>
      <c r="AL648" s="1425"/>
      <c r="AM648" s="1425"/>
      <c r="AN648" s="1427"/>
      <c r="AO648" s="1488">
        <f>ROUND('[1]4%'!$F$22-'[1]4%'!$F$120-1,0)</f>
        <v>75898855</v>
      </c>
      <c r="AP648" s="1489"/>
      <c r="AQ648" s="1489"/>
      <c r="AR648" s="1489"/>
      <c r="AS648" s="149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6" t="e">
        <f t="shared" si="4"/>
        <v>#VALUE!</v>
      </c>
      <c r="DY648" s="1386"/>
      <c r="DZ648" s="1386"/>
      <c r="EA648" s="1386"/>
      <c r="EB648" s="1386"/>
      <c r="EC648" s="1386">
        <f t="shared" si="5"/>
        <v>817.875</v>
      </c>
      <c r="ED648" s="1386"/>
      <c r="EE648" s="1386"/>
      <c r="EF648" s="1386"/>
      <c r="EG648" s="1386"/>
      <c r="EH648" s="1386" t="e">
        <f t="shared" si="6"/>
        <v>#VALUE!</v>
      </c>
      <c r="EI648" s="1386"/>
      <c r="EJ648" s="1386"/>
      <c r="EK648" s="1386"/>
      <c r="EL648" s="1386"/>
      <c r="EM648" s="1386" t="e">
        <f t="shared" si="7"/>
        <v>#VALUE!</v>
      </c>
      <c r="EN648" s="1386"/>
      <c r="EO648" s="1386"/>
      <c r="EP648" s="1386"/>
      <c r="EQ648" s="1386"/>
      <c r="ER648" s="1386" t="e">
        <f t="shared" si="8"/>
        <v>#VALUE!</v>
      </c>
      <c r="ES648" s="1386"/>
      <c r="ET648" s="1386"/>
      <c r="EU648" s="1386"/>
      <c r="EV648" s="1386"/>
      <c r="EW648" s="1386" t="e">
        <f t="shared" si="9"/>
        <v>#VALUE!</v>
      </c>
      <c r="EX648" s="1386"/>
      <c r="EY648" s="1386"/>
      <c r="EZ648" s="1386"/>
      <c r="FA648" s="1386"/>
    </row>
    <row r="649" spans="1:157" ht="12.9" customHeight="1">
      <c r="B649" s="1679" t="s">
        <v>267</v>
      </c>
      <c r="C649" s="1426"/>
      <c r="D649" s="1426"/>
      <c r="E649" s="1426"/>
      <c r="F649" s="1426"/>
      <c r="G649" s="1426"/>
      <c r="H649" s="1426"/>
      <c r="I649" s="1426"/>
      <c r="J649" s="1426"/>
      <c r="K649" s="1426"/>
      <c r="L649" s="1426"/>
      <c r="M649" s="1426"/>
      <c r="N649" s="1426"/>
      <c r="O649" s="1426"/>
      <c r="P649" s="1426"/>
      <c r="Q649" s="1426"/>
      <c r="R649" s="1426"/>
      <c r="S649" s="1426"/>
      <c r="T649" s="1426"/>
      <c r="U649" s="1426"/>
      <c r="V649" s="1426"/>
      <c r="W649" s="1426"/>
      <c r="X649" s="1426"/>
      <c r="Y649" s="1426"/>
      <c r="Z649" s="1426"/>
      <c r="AA649" s="1426"/>
      <c r="AB649" s="1426"/>
      <c r="AC649" s="1426"/>
      <c r="AD649" s="1426"/>
      <c r="AE649" s="1426"/>
      <c r="AF649" s="1426"/>
      <c r="AG649" s="1426"/>
      <c r="AH649" s="1426"/>
      <c r="AI649" s="1426"/>
      <c r="AJ649" s="1426"/>
      <c r="AK649" s="1426"/>
      <c r="AL649" s="1426"/>
      <c r="AM649" s="1426"/>
      <c r="AN649" s="1680"/>
      <c r="AO649" s="1485">
        <f>AO647+AO648</f>
        <v>200035551</v>
      </c>
      <c r="AP649" s="1486"/>
      <c r="AQ649" s="1486"/>
      <c r="AR649" s="1486"/>
      <c r="AS649" s="148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6" t="e">
        <f t="shared" si="4"/>
        <v>#VALUE!</v>
      </c>
      <c r="DY649" s="1386"/>
      <c r="DZ649" s="1386"/>
      <c r="EA649" s="1386"/>
      <c r="EB649" s="1386"/>
      <c r="EC649" s="1386" t="e">
        <f t="shared" si="5"/>
        <v>#VALUE!</v>
      </c>
      <c r="ED649" s="1386"/>
      <c r="EE649" s="1386"/>
      <c r="EF649" s="1386"/>
      <c r="EG649" s="1386"/>
      <c r="EH649" s="1386" t="e">
        <f t="shared" si="6"/>
        <v>#VALUE!</v>
      </c>
      <c r="EI649" s="1386"/>
      <c r="EJ649" s="1386"/>
      <c r="EK649" s="1386"/>
      <c r="EL649" s="1386"/>
      <c r="EM649" s="1386" t="e">
        <f t="shared" si="7"/>
        <v>#VALUE!</v>
      </c>
      <c r="EN649" s="1386"/>
      <c r="EO649" s="1386"/>
      <c r="EP649" s="1386"/>
      <c r="EQ649" s="1386"/>
      <c r="ER649" s="1386" t="e">
        <f t="shared" si="8"/>
        <v>#VALUE!</v>
      </c>
      <c r="ES649" s="1386"/>
      <c r="ET649" s="1386"/>
      <c r="EU649" s="1386"/>
      <c r="EV649" s="1386"/>
      <c r="EW649" s="1386" t="e">
        <f t="shared" si="9"/>
        <v>#VALUE!</v>
      </c>
      <c r="EX649" s="1386"/>
      <c r="EY649" s="1386"/>
      <c r="EZ649" s="1386"/>
      <c r="FA649" s="1386"/>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6" t="e">
        <f t="shared" si="4"/>
        <v>#VALUE!</v>
      </c>
      <c r="DY650" s="1386"/>
      <c r="DZ650" s="1386"/>
      <c r="EA650" s="1386"/>
      <c r="EB650" s="1386"/>
      <c r="EC650" s="1386" t="e">
        <f t="shared" si="5"/>
        <v>#VALUE!</v>
      </c>
      <c r="ED650" s="1386"/>
      <c r="EE650" s="1386"/>
      <c r="EF650" s="1386"/>
      <c r="EG650" s="1386"/>
      <c r="EH650" s="1386">
        <f t="shared" si="6"/>
        <v>883.38983050847457</v>
      </c>
      <c r="EI650" s="1386"/>
      <c r="EJ650" s="1386"/>
      <c r="EK650" s="1386"/>
      <c r="EL650" s="1386"/>
      <c r="EM650" s="1386" t="e">
        <f t="shared" si="7"/>
        <v>#VALUE!</v>
      </c>
      <c r="EN650" s="1386"/>
      <c r="EO650" s="1386"/>
      <c r="EP650" s="1386"/>
      <c r="EQ650" s="1386"/>
      <c r="ER650" s="1386" t="e">
        <f t="shared" si="8"/>
        <v>#VALUE!</v>
      </c>
      <c r="ES650" s="1386"/>
      <c r="ET650" s="1386"/>
      <c r="EU650" s="1386"/>
      <c r="EV650" s="1386"/>
      <c r="EW650" s="1386" t="e">
        <f t="shared" si="9"/>
        <v>#VALUE!</v>
      </c>
      <c r="EX650" s="1386"/>
      <c r="EY650" s="1386"/>
      <c r="EZ650" s="1386"/>
      <c r="FA650" s="1386"/>
    </row>
    <row r="651" spans="1:157" ht="12.9" customHeight="1">
      <c r="A651" s="55" t="s">
        <v>112</v>
      </c>
      <c r="B651" t="s">
        <v>462</v>
      </c>
      <c r="G651" s="1496" t="str">
        <f>C635</f>
        <v>JPMorgan Chase Bank</v>
      </c>
      <c r="H651" s="1496"/>
      <c r="I651" s="1496"/>
      <c r="J651" s="1496"/>
      <c r="K651" s="1496"/>
      <c r="L651" s="1496"/>
      <c r="M651" s="1496"/>
      <c r="N651" s="1496"/>
      <c r="O651" s="1496"/>
      <c r="P651" s="1496"/>
      <c r="Q651" s="1496"/>
      <c r="R651" s="1496"/>
      <c r="S651" s="8"/>
      <c r="T651" s="55" t="s">
        <v>113</v>
      </c>
      <c r="U651" t="s">
        <v>462</v>
      </c>
      <c r="Z651" s="1496" t="str">
        <f>C636</f>
        <v>Platinum Valley B 2013 RSC Limited</v>
      </c>
      <c r="AA651" s="1496"/>
      <c r="AB651" s="1496"/>
      <c r="AC651" s="1496"/>
      <c r="AD651" s="1496"/>
      <c r="AE651" s="1496"/>
      <c r="AF651" s="1496"/>
      <c r="AG651" s="1496"/>
      <c r="AH651" s="1496"/>
      <c r="AI651" s="1496"/>
      <c r="AJ651" s="1496"/>
      <c r="AK651" s="149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6" t="e">
        <f t="shared" si="4"/>
        <v>#VALUE!</v>
      </c>
      <c r="DY651" s="1386"/>
      <c r="DZ651" s="1386"/>
      <c r="EA651" s="1386"/>
      <c r="EB651" s="1386"/>
      <c r="EC651" s="1386" t="e">
        <f t="shared" si="5"/>
        <v>#VALUE!</v>
      </c>
      <c r="ED651" s="1386"/>
      <c r="EE651" s="1386"/>
      <c r="EF651" s="1386"/>
      <c r="EG651" s="1386"/>
      <c r="EH651" s="1386">
        <f t="shared" si="6"/>
        <v>1722.6101694915255</v>
      </c>
      <c r="EI651" s="1386"/>
      <c r="EJ651" s="1386"/>
      <c r="EK651" s="1386"/>
      <c r="EL651" s="1386"/>
      <c r="EM651" s="1386" t="e">
        <f t="shared" si="7"/>
        <v>#VALUE!</v>
      </c>
      <c r="EN651" s="1386"/>
      <c r="EO651" s="1386"/>
      <c r="EP651" s="1386"/>
      <c r="EQ651" s="1386"/>
      <c r="ER651" s="1386" t="e">
        <f t="shared" si="8"/>
        <v>#VALUE!</v>
      </c>
      <c r="ES651" s="1386"/>
      <c r="ET651" s="1386"/>
      <c r="EU651" s="1386"/>
      <c r="EV651" s="1386"/>
      <c r="EW651" s="1386" t="e">
        <f t="shared" si="9"/>
        <v>#VALUE!</v>
      </c>
      <c r="EX651" s="1386"/>
      <c r="EY651" s="1386"/>
      <c r="EZ651" s="1386"/>
      <c r="FA651" s="1386"/>
    </row>
    <row r="652" spans="1:157" ht="12.9" customHeight="1">
      <c r="A652" s="22"/>
      <c r="B652" t="s">
        <v>85</v>
      </c>
      <c r="G652" s="1423" t="s">
        <v>2746</v>
      </c>
      <c r="H652" s="1423"/>
      <c r="I652" s="1423"/>
      <c r="J652" s="1423"/>
      <c r="K652" s="1423"/>
      <c r="L652" s="1423"/>
      <c r="M652" s="1423"/>
      <c r="N652" s="1423"/>
      <c r="O652" s="1423"/>
      <c r="P652" s="1423"/>
      <c r="Q652" s="1423"/>
      <c r="R652" s="1423"/>
      <c r="S652" s="8"/>
      <c r="T652" s="22"/>
      <c r="U652" t="s">
        <v>85</v>
      </c>
      <c r="Z652" s="1423" t="s">
        <v>2751</v>
      </c>
      <c r="AA652" s="1423"/>
      <c r="AB652" s="1423"/>
      <c r="AC652" s="1423"/>
      <c r="AD652" s="1423"/>
      <c r="AE652" s="1423"/>
      <c r="AF652" s="1423"/>
      <c r="AG652" s="1423"/>
      <c r="AH652" s="1423"/>
      <c r="AI652" s="1423"/>
      <c r="AJ652" s="1423"/>
      <c r="AK652" s="1423"/>
      <c r="AV652" s="3"/>
      <c r="AW652" s="3"/>
      <c r="AX652" s="3"/>
      <c r="AY652" s="3"/>
      <c r="AZ652" s="3"/>
      <c r="BA652" s="3"/>
      <c r="BB652" s="3"/>
      <c r="BC652" s="3"/>
      <c r="BD652" s="3"/>
      <c r="BE652" s="3"/>
      <c r="BF652" s="3"/>
      <c r="BG652" s="3"/>
      <c r="BH652" s="3"/>
      <c r="BI652" s="3"/>
      <c r="BJ652" s="3"/>
      <c r="BK652" s="3"/>
      <c r="BL652" s="3"/>
      <c r="BM652" s="3"/>
      <c r="DX652" s="1386" t="e">
        <f t="shared" si="4"/>
        <v>#VALUE!</v>
      </c>
      <c r="DY652" s="1386"/>
      <c r="DZ652" s="1386"/>
      <c r="EA652" s="1386"/>
      <c r="EB652" s="1386"/>
      <c r="EC652" s="1386" t="e">
        <f t="shared" si="5"/>
        <v>#VALUE!</v>
      </c>
      <c r="ED652" s="1386"/>
      <c r="EE652" s="1386"/>
      <c r="EF652" s="1386"/>
      <c r="EG652" s="1386"/>
      <c r="EH652" s="1386" t="e">
        <f t="shared" si="6"/>
        <v>#VALUE!</v>
      </c>
      <c r="EI652" s="1386"/>
      <c r="EJ652" s="1386"/>
      <c r="EK652" s="1386"/>
      <c r="EL652" s="1386"/>
      <c r="EM652" s="1386">
        <f t="shared" si="7"/>
        <v>23.833333333333332</v>
      </c>
      <c r="EN652" s="1386"/>
      <c r="EO652" s="1386"/>
      <c r="EP652" s="1386"/>
      <c r="EQ652" s="1386"/>
      <c r="ER652" s="1386" t="e">
        <f t="shared" si="8"/>
        <v>#VALUE!</v>
      </c>
      <c r="ES652" s="1386"/>
      <c r="ET652" s="1386"/>
      <c r="EU652" s="1386"/>
      <c r="EV652" s="1386"/>
      <c r="EW652" s="1386" t="e">
        <f t="shared" si="9"/>
        <v>#VALUE!</v>
      </c>
      <c r="EX652" s="1386"/>
      <c r="EY652" s="1386"/>
      <c r="EZ652" s="1386"/>
      <c r="FA652" s="1386"/>
    </row>
    <row r="653" spans="1:157" ht="12.9" customHeight="1">
      <c r="A653" s="22"/>
      <c r="B653" t="s">
        <v>579</v>
      </c>
      <c r="G653" s="1423" t="s">
        <v>2747</v>
      </c>
      <c r="H653" s="1423"/>
      <c r="I653" s="1423"/>
      <c r="J653" s="1423"/>
      <c r="K653" s="1423"/>
      <c r="L653" s="1423"/>
      <c r="M653" s="1423"/>
      <c r="N653" s="1423"/>
      <c r="O653" s="1423"/>
      <c r="P653" s="1423"/>
      <c r="Q653" s="1423"/>
      <c r="R653" s="1423"/>
      <c r="T653" s="22"/>
      <c r="U653" t="s">
        <v>579</v>
      </c>
      <c r="Z653" s="1388" t="s">
        <v>2752</v>
      </c>
      <c r="AA653" s="1388"/>
      <c r="AB653" s="1388"/>
      <c r="AC653" s="1388"/>
      <c r="AD653" s="1388"/>
      <c r="AE653" s="1388"/>
      <c r="AF653" s="1388"/>
      <c r="AG653" s="1388"/>
      <c r="AH653" s="1388"/>
      <c r="AI653" s="1388"/>
      <c r="AJ653" s="1388"/>
      <c r="AK653" s="1388"/>
      <c r="AV653" s="3"/>
      <c r="AW653" s="3"/>
      <c r="AX653" s="3"/>
      <c r="AY653" s="3"/>
      <c r="AZ653" s="3"/>
      <c r="BA653" s="3"/>
      <c r="BB653" s="3"/>
      <c r="BC653" s="3"/>
      <c r="BD653" s="3"/>
      <c r="BE653" s="3"/>
      <c r="BF653" s="3"/>
      <c r="BG653" s="3"/>
      <c r="BH653" s="3"/>
      <c r="BI653" s="3"/>
      <c r="BJ653" s="3"/>
      <c r="BK653" s="3"/>
      <c r="BL653" s="3"/>
      <c r="BM653" s="3"/>
      <c r="DX653" s="1386" t="e">
        <f t="shared" si="4"/>
        <v>#VALUE!</v>
      </c>
      <c r="DY653" s="1386"/>
      <c r="DZ653" s="1386"/>
      <c r="EA653" s="1386"/>
      <c r="EB653" s="1386"/>
      <c r="EC653" s="1386" t="e">
        <f t="shared" si="5"/>
        <v>#VALUE!</v>
      </c>
      <c r="ED653" s="1386"/>
      <c r="EE653" s="1386"/>
      <c r="EF653" s="1386"/>
      <c r="EG653" s="1386"/>
      <c r="EH653" s="1386" t="e">
        <f t="shared" si="6"/>
        <v>#VALUE!</v>
      </c>
      <c r="EI653" s="1386"/>
      <c r="EJ653" s="1386"/>
      <c r="EK653" s="1386"/>
      <c r="EL653" s="1386"/>
      <c r="EM653" s="1386">
        <f t="shared" si="7"/>
        <v>1098.8999999999999</v>
      </c>
      <c r="EN653" s="1386"/>
      <c r="EO653" s="1386"/>
      <c r="EP653" s="1386"/>
      <c r="EQ653" s="1386"/>
      <c r="ER653" s="1386" t="e">
        <f t="shared" si="8"/>
        <v>#VALUE!</v>
      </c>
      <c r="ES653" s="1386"/>
      <c r="ET653" s="1386"/>
      <c r="EU653" s="1386"/>
      <c r="EV653" s="1386"/>
      <c r="EW653" s="1386" t="e">
        <f t="shared" si="9"/>
        <v>#VALUE!</v>
      </c>
      <c r="EX653" s="1386"/>
      <c r="EY653" s="1386"/>
      <c r="EZ653" s="1386"/>
      <c r="FA653" s="1386"/>
    </row>
    <row r="654" spans="1:157" ht="12.9" customHeight="1">
      <c r="A654" s="22"/>
      <c r="B654" t="s">
        <v>17</v>
      </c>
      <c r="G654" s="1423" t="s">
        <v>2748</v>
      </c>
      <c r="H654" s="1423"/>
      <c r="I654" s="1423"/>
      <c r="J654" s="1423"/>
      <c r="K654" s="1423"/>
      <c r="L654" s="1423"/>
      <c r="M654" s="1423"/>
      <c r="N654" s="1423"/>
      <c r="O654" s="1423"/>
      <c r="P654" s="1423"/>
      <c r="Q654" s="1423"/>
      <c r="R654" s="1423"/>
      <c r="S654" s="8"/>
      <c r="T654" s="22"/>
      <c r="U654" t="s">
        <v>17</v>
      </c>
      <c r="Z654" s="1388" t="s">
        <v>2753</v>
      </c>
      <c r="AA654" s="1388"/>
      <c r="AB654" s="1388"/>
      <c r="AC654" s="1388"/>
      <c r="AD654" s="1388"/>
      <c r="AE654" s="1388"/>
      <c r="AF654" s="1388"/>
      <c r="AG654" s="1388"/>
      <c r="AH654" s="1388"/>
      <c r="AI654" s="1388"/>
      <c r="AJ654" s="1388"/>
      <c r="AK654" s="1388"/>
      <c r="AZ654" s="3"/>
      <c r="BA654" s="3"/>
      <c r="BB654" s="3"/>
      <c r="BC654" s="3"/>
      <c r="BD654" s="3"/>
      <c r="BE654" s="3"/>
      <c r="BF654" s="3"/>
      <c r="BG654" s="3"/>
      <c r="BH654" s="3"/>
      <c r="BI654" s="3"/>
      <c r="BJ654" s="3"/>
      <c r="BK654" s="3"/>
      <c r="BL654" s="3"/>
      <c r="BM654" s="3"/>
      <c r="DX654" s="1386" t="e">
        <f t="shared" si="4"/>
        <v>#VALUE!</v>
      </c>
      <c r="DY654" s="1386"/>
      <c r="DZ654" s="1386"/>
      <c r="EA654" s="1386"/>
      <c r="EB654" s="1386"/>
      <c r="EC654" s="1386" t="e">
        <f t="shared" si="5"/>
        <v>#VALUE!</v>
      </c>
      <c r="ED654" s="1386"/>
      <c r="EE654" s="1386"/>
      <c r="EF654" s="1386"/>
      <c r="EG654" s="1386"/>
      <c r="EH654" s="1386" t="e">
        <f t="shared" si="6"/>
        <v>#VALUE!</v>
      </c>
      <c r="EI654" s="1386"/>
      <c r="EJ654" s="1386"/>
      <c r="EK654" s="1386"/>
      <c r="EL654" s="1386"/>
      <c r="EM654" s="1386">
        <f t="shared" si="7"/>
        <v>1848.15</v>
      </c>
      <c r="EN654" s="1386"/>
      <c r="EO654" s="1386"/>
      <c r="EP654" s="1386"/>
      <c r="EQ654" s="1386"/>
      <c r="ER654" s="1386" t="e">
        <f t="shared" si="8"/>
        <v>#VALUE!</v>
      </c>
      <c r="ES654" s="1386"/>
      <c r="ET654" s="1386"/>
      <c r="EU654" s="1386"/>
      <c r="EV654" s="1386"/>
      <c r="EW654" s="1386" t="e">
        <f t="shared" si="9"/>
        <v>#VALUE!</v>
      </c>
      <c r="EX654" s="1386"/>
      <c r="EY654" s="1386"/>
      <c r="EZ654" s="1386"/>
      <c r="FA654" s="1386"/>
    </row>
    <row r="655" spans="1:157" ht="12.9" customHeight="1">
      <c r="A655" s="22"/>
      <c r="B655" t="s">
        <v>315</v>
      </c>
      <c r="G655" s="1495" t="s">
        <v>2749</v>
      </c>
      <c r="H655" s="1495"/>
      <c r="I655" s="1495"/>
      <c r="J655" s="1495"/>
      <c r="K655" s="1495"/>
      <c r="L655" s="1495"/>
      <c r="O655" s="33" t="s">
        <v>205</v>
      </c>
      <c r="P655" s="1484"/>
      <c r="Q655" s="1484"/>
      <c r="R655" s="1484"/>
      <c r="S655" s="10"/>
      <c r="T655" s="22"/>
      <c r="U655" t="s">
        <v>315</v>
      </c>
      <c r="Z655" s="1495" t="s">
        <v>2754</v>
      </c>
      <c r="AA655" s="1495"/>
      <c r="AB655" s="1495"/>
      <c r="AC655" s="1495"/>
      <c r="AD655" s="1495"/>
      <c r="AE655" s="1495"/>
      <c r="AH655" s="33" t="s">
        <v>205</v>
      </c>
      <c r="AI655" s="1484"/>
      <c r="AJ655" s="1484"/>
      <c r="AK655" s="1484"/>
      <c r="AZ655" s="34"/>
      <c r="BA655" s="34"/>
      <c r="BB655" s="34"/>
      <c r="BC655" s="34"/>
      <c r="BD655" s="34"/>
      <c r="BE655" s="34"/>
      <c r="BF655" s="34"/>
      <c r="BG655" s="34"/>
      <c r="BH655" s="34"/>
      <c r="BI655" s="34"/>
      <c r="BJ655" s="34"/>
      <c r="BK655" s="34"/>
      <c r="BL655" s="34"/>
      <c r="BM655" s="34"/>
      <c r="DX655" s="1386" t="e">
        <f t="shared" si="4"/>
        <v>#VALUE!</v>
      </c>
      <c r="DY655" s="1386"/>
      <c r="DZ655" s="1386"/>
      <c r="EA655" s="1386"/>
      <c r="EB655" s="1386"/>
      <c r="EC655" s="1386" t="e">
        <f t="shared" si="5"/>
        <v>#VALUE!</v>
      </c>
      <c r="ED655" s="1386"/>
      <c r="EE655" s="1386"/>
      <c r="EF655" s="1386"/>
      <c r="EG655" s="1386"/>
      <c r="EH655" s="1386" t="e">
        <f t="shared" si="6"/>
        <v>#VALUE!</v>
      </c>
      <c r="EI655" s="1386"/>
      <c r="EJ655" s="1386"/>
      <c r="EK655" s="1386"/>
      <c r="EL655" s="1386"/>
      <c r="EM655" s="1386" t="e">
        <f t="shared" si="7"/>
        <v>#VALUE!</v>
      </c>
      <c r="EN655" s="1386"/>
      <c r="EO655" s="1386"/>
      <c r="EP655" s="1386"/>
      <c r="EQ655" s="1386"/>
      <c r="ER655" s="1386" t="e">
        <f t="shared" si="8"/>
        <v>#VALUE!</v>
      </c>
      <c r="ES655" s="1386"/>
      <c r="ET655" s="1386"/>
      <c r="EU655" s="1386"/>
      <c r="EV655" s="1386"/>
      <c r="EW655" s="1386" t="e">
        <f t="shared" si="9"/>
        <v>#VALUE!</v>
      </c>
      <c r="EX655" s="1386"/>
      <c r="EY655" s="1386"/>
      <c r="EZ655" s="1386"/>
      <c r="FA655" s="1386"/>
    </row>
    <row r="656" spans="1:157" ht="12.9" customHeight="1">
      <c r="A656" s="22"/>
      <c r="B656" t="s">
        <v>18</v>
      </c>
      <c r="H656" s="1423" t="s">
        <v>2657</v>
      </c>
      <c r="I656" s="1423"/>
      <c r="J656" s="1423"/>
      <c r="K656" s="1423"/>
      <c r="L656" s="1423"/>
      <c r="M656" s="1423"/>
      <c r="N656" s="1423"/>
      <c r="O656" s="1423"/>
      <c r="P656" s="1423"/>
      <c r="Q656" s="1423"/>
      <c r="R656" s="1423"/>
      <c r="S656" s="8"/>
      <c r="T656" s="22"/>
      <c r="U656" t="s">
        <v>18</v>
      </c>
      <c r="AA656" s="1422" t="s">
        <v>2673</v>
      </c>
      <c r="AB656" s="1423"/>
      <c r="AC656" s="1423"/>
      <c r="AD656" s="1423"/>
      <c r="AE656" s="1423"/>
      <c r="AF656" s="1423"/>
      <c r="AG656" s="1423"/>
      <c r="AH656" s="1423"/>
      <c r="AI656" s="1423"/>
      <c r="AJ656" s="1423"/>
      <c r="AK656" s="1423"/>
      <c r="AZ656" s="34"/>
      <c r="BA656" s="34"/>
      <c r="BB656" s="34"/>
      <c r="BC656" s="34"/>
      <c r="BD656" s="34"/>
      <c r="BE656" s="34"/>
      <c r="BF656" s="34"/>
      <c r="BG656" s="34"/>
      <c r="BH656" s="34"/>
      <c r="BI656" s="34"/>
      <c r="BJ656" s="34"/>
      <c r="BK656" s="34"/>
      <c r="BL656" s="34"/>
      <c r="BM656" s="34"/>
      <c r="DX656" s="1386" t="e">
        <f t="shared" si="4"/>
        <v>#VALUE!</v>
      </c>
      <c r="DY656" s="1386"/>
      <c r="DZ656" s="1386"/>
      <c r="EA656" s="1386"/>
      <c r="EB656" s="1386"/>
      <c r="EC656" s="1386" t="e">
        <f t="shared" si="5"/>
        <v>#VALUE!</v>
      </c>
      <c r="ED656" s="1386"/>
      <c r="EE656" s="1386"/>
      <c r="EF656" s="1386"/>
      <c r="EG656" s="1386"/>
      <c r="EH656" s="1386" t="e">
        <f t="shared" si="6"/>
        <v>#VALUE!</v>
      </c>
      <c r="EI656" s="1386"/>
      <c r="EJ656" s="1386"/>
      <c r="EK656" s="1386"/>
      <c r="EL656" s="1386"/>
      <c r="EM656" s="1386" t="e">
        <f t="shared" si="7"/>
        <v>#VALUE!</v>
      </c>
      <c r="EN656" s="1386"/>
      <c r="EO656" s="1386"/>
      <c r="EP656" s="1386"/>
      <c r="EQ656" s="1386"/>
      <c r="ER656" s="1386" t="e">
        <f t="shared" si="8"/>
        <v>#VALUE!</v>
      </c>
      <c r="ES656" s="1386"/>
      <c r="ET656" s="1386"/>
      <c r="EU656" s="1386"/>
      <c r="EV656" s="1386"/>
      <c r="EW656" s="1386" t="e">
        <f t="shared" si="9"/>
        <v>#VALUE!</v>
      </c>
      <c r="EX656" s="1386"/>
      <c r="EY656" s="1386"/>
      <c r="EZ656" s="1386"/>
      <c r="FA656" s="1386"/>
    </row>
    <row r="657" spans="1:157" ht="12.9" customHeight="1">
      <c r="A657" s="22"/>
      <c r="B657" t="s">
        <v>20</v>
      </c>
      <c r="N657" s="1431" t="s">
        <v>544</v>
      </c>
      <c r="O657" s="1431"/>
      <c r="T657" s="22"/>
      <c r="U657" t="s">
        <v>20</v>
      </c>
      <c r="AG657" s="1431" t="s">
        <v>544</v>
      </c>
      <c r="AH657" s="1431"/>
      <c r="AZ657" s="34"/>
      <c r="BA657" s="34"/>
      <c r="BB657" s="34"/>
      <c r="BC657" s="34"/>
      <c r="BD657" s="34"/>
      <c r="BE657" s="34"/>
      <c r="BF657" s="34"/>
      <c r="BG657" s="34"/>
      <c r="BH657" s="34"/>
      <c r="BI657" s="34"/>
      <c r="BJ657" s="34"/>
      <c r="BK657" s="34"/>
      <c r="BL657" s="34"/>
      <c r="BM657" s="34"/>
      <c r="DX657" s="1386" t="e">
        <f t="shared" si="4"/>
        <v>#VALUE!</v>
      </c>
      <c r="DY657" s="1386"/>
      <c r="DZ657" s="1386"/>
      <c r="EA657" s="1386"/>
      <c r="EB657" s="1386"/>
      <c r="EC657" s="1386" t="e">
        <f t="shared" si="5"/>
        <v>#VALUE!</v>
      </c>
      <c r="ED657" s="1386"/>
      <c r="EE657" s="1386"/>
      <c r="EF657" s="1386"/>
      <c r="EG657" s="1386"/>
      <c r="EH657" s="1386" t="e">
        <f t="shared" si="6"/>
        <v>#VALUE!</v>
      </c>
      <c r="EI657" s="1386"/>
      <c r="EJ657" s="1386"/>
      <c r="EK657" s="1386"/>
      <c r="EL657" s="1386"/>
      <c r="EM657" s="1386" t="e">
        <f t="shared" si="7"/>
        <v>#VALUE!</v>
      </c>
      <c r="EN657" s="1386"/>
      <c r="EO657" s="1386"/>
      <c r="EP657" s="1386"/>
      <c r="EQ657" s="1386"/>
      <c r="ER657" s="1386" t="e">
        <f t="shared" si="8"/>
        <v>#VALUE!</v>
      </c>
      <c r="ES657" s="1386"/>
      <c r="ET657" s="1386"/>
      <c r="EU657" s="1386"/>
      <c r="EV657" s="1386"/>
      <c r="EW657" s="1386" t="e">
        <f t="shared" si="9"/>
        <v>#VALUE!</v>
      </c>
      <c r="EX657" s="1386"/>
      <c r="EY657" s="1386"/>
      <c r="EZ657" s="1386"/>
      <c r="FA657" s="1386"/>
    </row>
    <row r="658" spans="1:157" ht="12.9" customHeight="1">
      <c r="A658" s="22"/>
      <c r="T658" s="22"/>
      <c r="AZ658" s="34"/>
      <c r="BA658" s="34"/>
      <c r="BB658" s="34"/>
      <c r="BC658" s="34"/>
      <c r="BD658" s="34"/>
      <c r="BE658" s="34"/>
      <c r="BF658" s="34"/>
      <c r="BG658" s="34"/>
      <c r="BH658" s="34"/>
      <c r="BI658" s="34"/>
      <c r="BJ658" s="34"/>
      <c r="BK658" s="34"/>
      <c r="BL658" s="34"/>
      <c r="BM658" s="34"/>
      <c r="DX658" s="1386" t="e">
        <f t="shared" si="4"/>
        <v>#VALUE!</v>
      </c>
      <c r="DY658" s="1386"/>
      <c r="DZ658" s="1386"/>
      <c r="EA658" s="1386"/>
      <c r="EB658" s="1386"/>
      <c r="EC658" s="1386" t="e">
        <f t="shared" si="5"/>
        <v>#VALUE!</v>
      </c>
      <c r="ED658" s="1386"/>
      <c r="EE658" s="1386"/>
      <c r="EF658" s="1386"/>
      <c r="EG658" s="1386"/>
      <c r="EH658" s="1386" t="e">
        <f t="shared" si="6"/>
        <v>#VALUE!</v>
      </c>
      <c r="EI658" s="1386"/>
      <c r="EJ658" s="1386"/>
      <c r="EK658" s="1386"/>
      <c r="EL658" s="1386"/>
      <c r="EM658" s="1386" t="e">
        <f t="shared" si="7"/>
        <v>#VALUE!</v>
      </c>
      <c r="EN658" s="1386"/>
      <c r="EO658" s="1386"/>
      <c r="EP658" s="1386"/>
      <c r="EQ658" s="1386"/>
      <c r="ER658" s="1386" t="e">
        <f t="shared" si="8"/>
        <v>#VALUE!</v>
      </c>
      <c r="ES658" s="1386"/>
      <c r="ET658" s="1386"/>
      <c r="EU658" s="1386"/>
      <c r="EV658" s="1386"/>
      <c r="EW658" s="1386" t="e">
        <f t="shared" si="9"/>
        <v>#VALUE!</v>
      </c>
      <c r="EX658" s="1386"/>
      <c r="EY658" s="1386"/>
      <c r="EZ658" s="1386"/>
      <c r="FA658" s="1386"/>
    </row>
    <row r="659" spans="1:157" ht="12.9" customHeight="1">
      <c r="A659" s="55" t="s">
        <v>119</v>
      </c>
      <c r="B659" t="s">
        <v>462</v>
      </c>
      <c r="G659" s="1496" t="str">
        <f>C637</f>
        <v>Cmrcl Purchase - Platinum Valley B 2013 RSC Limited</v>
      </c>
      <c r="H659" s="1496"/>
      <c r="I659" s="1496"/>
      <c r="J659" s="1496"/>
      <c r="K659" s="1496"/>
      <c r="L659" s="1496"/>
      <c r="M659" s="1496"/>
      <c r="N659" s="1496"/>
      <c r="O659" s="1496"/>
      <c r="P659" s="1496"/>
      <c r="Q659" s="1496"/>
      <c r="R659" s="1496"/>
      <c r="T659" s="55" t="s">
        <v>580</v>
      </c>
      <c r="U659" t="s">
        <v>462</v>
      </c>
      <c r="Z659" s="1496" t="str">
        <f>C638</f>
        <v>GP Equity (Eden Housing)</v>
      </c>
      <c r="AA659" s="1496"/>
      <c r="AB659" s="1496"/>
      <c r="AC659" s="1496"/>
      <c r="AD659" s="1496"/>
      <c r="AE659" s="1496"/>
      <c r="AF659" s="1496"/>
      <c r="AG659" s="1496"/>
      <c r="AH659" s="1496"/>
      <c r="AI659" s="1496"/>
      <c r="AJ659" s="1496"/>
      <c r="AK659" s="1496"/>
      <c r="AZ659" s="34"/>
      <c r="BA659" s="34"/>
      <c r="BB659" s="34"/>
      <c r="BC659" s="34"/>
      <c r="BD659" s="34"/>
      <c r="BE659" s="34"/>
      <c r="BF659" s="34"/>
      <c r="BG659" s="34"/>
      <c r="BH659" s="34"/>
      <c r="BI659" s="34"/>
      <c r="BJ659" s="34"/>
      <c r="BK659" s="34"/>
      <c r="BL659" s="34"/>
      <c r="BM659" s="34"/>
      <c r="DX659" s="1386" t="e">
        <f t="shared" si="4"/>
        <v>#VALUE!</v>
      </c>
      <c r="DY659" s="1386"/>
      <c r="DZ659" s="1386"/>
      <c r="EA659" s="1386"/>
      <c r="EB659" s="1386"/>
      <c r="EC659" s="1386" t="e">
        <f t="shared" si="5"/>
        <v>#VALUE!</v>
      </c>
      <c r="ED659" s="1386"/>
      <c r="EE659" s="1386"/>
      <c r="EF659" s="1386"/>
      <c r="EG659" s="1386"/>
      <c r="EH659" s="1386" t="e">
        <f t="shared" si="6"/>
        <v>#VALUE!</v>
      </c>
      <c r="EI659" s="1386"/>
      <c r="EJ659" s="1386"/>
      <c r="EK659" s="1386"/>
      <c r="EL659" s="1386"/>
      <c r="EM659" s="1386" t="e">
        <f t="shared" si="7"/>
        <v>#VALUE!</v>
      </c>
      <c r="EN659" s="1386"/>
      <c r="EO659" s="1386"/>
      <c r="EP659" s="1386"/>
      <c r="EQ659" s="1386"/>
      <c r="ER659" s="1386" t="e">
        <f t="shared" si="8"/>
        <v>#VALUE!</v>
      </c>
      <c r="ES659" s="1386"/>
      <c r="ET659" s="1386"/>
      <c r="EU659" s="1386"/>
      <c r="EV659" s="1386"/>
      <c r="EW659" s="1386" t="e">
        <f t="shared" si="9"/>
        <v>#VALUE!</v>
      </c>
      <c r="EX659" s="1386"/>
      <c r="EY659" s="1386"/>
      <c r="EZ659" s="1386"/>
      <c r="FA659" s="1386"/>
    </row>
    <row r="660" spans="1:157" ht="12.9" customHeight="1">
      <c r="A660" s="22"/>
      <c r="B660" t="s">
        <v>85</v>
      </c>
      <c r="G660" s="1423" t="s">
        <v>2751</v>
      </c>
      <c r="H660" s="1423"/>
      <c r="I660" s="1423"/>
      <c r="J660" s="1423"/>
      <c r="K660" s="1423"/>
      <c r="L660" s="1423"/>
      <c r="M660" s="1423"/>
      <c r="N660" s="1423"/>
      <c r="O660" s="1423"/>
      <c r="P660" s="1423"/>
      <c r="Q660" s="1423"/>
      <c r="R660" s="1423"/>
      <c r="T660" s="22"/>
      <c r="U660" t="s">
        <v>85</v>
      </c>
      <c r="Z660" s="1423" t="s">
        <v>2679</v>
      </c>
      <c r="AA660" s="1423"/>
      <c r="AB660" s="1423"/>
      <c r="AC660" s="1423"/>
      <c r="AD660" s="1423"/>
      <c r="AE660" s="1423"/>
      <c r="AF660" s="1423"/>
      <c r="AG660" s="1423"/>
      <c r="AH660" s="1423"/>
      <c r="AI660" s="1423"/>
      <c r="AJ660" s="1423"/>
      <c r="AK660" s="1423"/>
      <c r="AZ660" s="34"/>
      <c r="BA660" s="34"/>
      <c r="BB660" s="34"/>
      <c r="BC660" s="34"/>
      <c r="BD660" s="34"/>
      <c r="BE660" s="34"/>
      <c r="BF660" s="34"/>
      <c r="BG660" s="34"/>
      <c r="BH660" s="34"/>
      <c r="BI660" s="34"/>
      <c r="BJ660" s="34"/>
      <c r="BK660" s="34"/>
      <c r="BL660" s="34"/>
      <c r="BM660" s="34"/>
      <c r="DX660" s="1386" t="e">
        <f t="shared" si="4"/>
        <v>#VALUE!</v>
      </c>
      <c r="DY660" s="1386"/>
      <c r="DZ660" s="1386"/>
      <c r="EA660" s="1386"/>
      <c r="EB660" s="1386"/>
      <c r="EC660" s="1386" t="e">
        <f t="shared" si="5"/>
        <v>#VALUE!</v>
      </c>
      <c r="ED660" s="1386"/>
      <c r="EE660" s="1386"/>
      <c r="EF660" s="1386"/>
      <c r="EG660" s="1386"/>
      <c r="EH660" s="1386" t="e">
        <f t="shared" si="6"/>
        <v>#VALUE!</v>
      </c>
      <c r="EI660" s="1386"/>
      <c r="EJ660" s="1386"/>
      <c r="EK660" s="1386"/>
      <c r="EL660" s="1386"/>
      <c r="EM660" s="1386" t="e">
        <f t="shared" si="7"/>
        <v>#VALUE!</v>
      </c>
      <c r="EN660" s="1386"/>
      <c r="EO660" s="1386"/>
      <c r="EP660" s="1386"/>
      <c r="EQ660" s="1386"/>
      <c r="ER660" s="1386" t="e">
        <f t="shared" si="8"/>
        <v>#VALUE!</v>
      </c>
      <c r="ES660" s="1386"/>
      <c r="ET660" s="1386"/>
      <c r="EU660" s="1386"/>
      <c r="EV660" s="1386"/>
      <c r="EW660" s="1386" t="e">
        <f t="shared" si="9"/>
        <v>#VALUE!</v>
      </c>
      <c r="EX660" s="1386"/>
      <c r="EY660" s="1386"/>
      <c r="EZ660" s="1386"/>
      <c r="FA660" s="1386"/>
    </row>
    <row r="661" spans="1:157" ht="12.9" customHeight="1">
      <c r="A661" s="22"/>
      <c r="B661" t="s">
        <v>579</v>
      </c>
      <c r="G661" s="1388" t="s">
        <v>2752</v>
      </c>
      <c r="H661" s="1388"/>
      <c r="I661" s="1388"/>
      <c r="J661" s="1388"/>
      <c r="K661" s="1388"/>
      <c r="L661" s="1388"/>
      <c r="M661" s="1388"/>
      <c r="N661" s="1388"/>
      <c r="O661" s="1388"/>
      <c r="P661" s="1388"/>
      <c r="Q661" s="1388"/>
      <c r="R661" s="1388"/>
      <c r="T661" s="22"/>
      <c r="U661" t="s">
        <v>579</v>
      </c>
      <c r="Z661" s="1388" t="s">
        <v>2687</v>
      </c>
      <c r="AA661" s="1388"/>
      <c r="AB661" s="1388"/>
      <c r="AC661" s="1388"/>
      <c r="AD661" s="1388"/>
      <c r="AE661" s="1388"/>
      <c r="AF661" s="1388"/>
      <c r="AG661" s="1388"/>
      <c r="AH661" s="1388"/>
      <c r="AI661" s="1388"/>
      <c r="AJ661" s="1388"/>
      <c r="AK661" s="1388"/>
      <c r="AZ661" s="34"/>
      <c r="BA661" s="34"/>
      <c r="BB661" s="34"/>
      <c r="BC661" s="34"/>
      <c r="BD661" s="34"/>
      <c r="BE661" s="34"/>
      <c r="BF661" s="34"/>
      <c r="BG661" s="34"/>
      <c r="BH661" s="34"/>
      <c r="BI661" s="34"/>
      <c r="BJ661" s="34"/>
      <c r="BK661" s="34"/>
      <c r="BL661" s="34"/>
      <c r="BM661" s="34"/>
      <c r="DX661" s="1386" t="e">
        <f t="shared" si="4"/>
        <v>#VALUE!</v>
      </c>
      <c r="DY661" s="1386"/>
      <c r="DZ661" s="1386"/>
      <c r="EA661" s="1386"/>
      <c r="EB661" s="1386"/>
      <c r="EC661" s="1386" t="e">
        <f t="shared" si="5"/>
        <v>#VALUE!</v>
      </c>
      <c r="ED661" s="1386"/>
      <c r="EE661" s="1386"/>
      <c r="EF661" s="1386"/>
      <c r="EG661" s="1386"/>
      <c r="EH661" s="1386" t="e">
        <f t="shared" si="6"/>
        <v>#VALUE!</v>
      </c>
      <c r="EI661" s="1386"/>
      <c r="EJ661" s="1386"/>
      <c r="EK661" s="1386"/>
      <c r="EL661" s="1386"/>
      <c r="EM661" s="1386" t="e">
        <f t="shared" si="7"/>
        <v>#VALUE!</v>
      </c>
      <c r="EN661" s="1386"/>
      <c r="EO661" s="1386"/>
      <c r="EP661" s="1386"/>
      <c r="EQ661" s="1386"/>
      <c r="ER661" s="1386" t="e">
        <f t="shared" si="8"/>
        <v>#VALUE!</v>
      </c>
      <c r="ES661" s="1386"/>
      <c r="ET661" s="1386"/>
      <c r="EU661" s="1386"/>
      <c r="EV661" s="1386"/>
      <c r="EW661" s="1386" t="e">
        <f t="shared" si="9"/>
        <v>#VALUE!</v>
      </c>
      <c r="EX661" s="1386"/>
      <c r="EY661" s="1386"/>
      <c r="EZ661" s="1386"/>
      <c r="FA661" s="1386"/>
    </row>
    <row r="662" spans="1:157" ht="12.9" customHeight="1">
      <c r="A662" s="22"/>
      <c r="B662" t="s">
        <v>17</v>
      </c>
      <c r="G662" s="1388" t="s">
        <v>2753</v>
      </c>
      <c r="H662" s="1388"/>
      <c r="I662" s="1388"/>
      <c r="J662" s="1388"/>
      <c r="K662" s="1388"/>
      <c r="L662" s="1388"/>
      <c r="M662" s="1388"/>
      <c r="N662" s="1388"/>
      <c r="O662" s="1388"/>
      <c r="P662" s="1388"/>
      <c r="Q662" s="1388"/>
      <c r="R662" s="1388"/>
      <c r="T662" s="22"/>
      <c r="U662" t="s">
        <v>17</v>
      </c>
      <c r="Z662" s="1388" t="s">
        <v>2682</v>
      </c>
      <c r="AA662" s="1388"/>
      <c r="AB662" s="1388"/>
      <c r="AC662" s="1388"/>
      <c r="AD662" s="1388"/>
      <c r="AE662" s="1388"/>
      <c r="AF662" s="1388"/>
      <c r="AG662" s="1388"/>
      <c r="AH662" s="1388"/>
      <c r="AI662" s="1388"/>
      <c r="AJ662" s="1388"/>
      <c r="AK662" s="1388"/>
      <c r="AZ662" s="34"/>
      <c r="BA662" s="34"/>
      <c r="BB662" s="34"/>
      <c r="BC662" s="34"/>
      <c r="BD662" s="34"/>
      <c r="BE662" s="34"/>
      <c r="BF662" s="34"/>
      <c r="BG662" s="34"/>
      <c r="BH662" s="34"/>
      <c r="BI662" s="34"/>
      <c r="BJ662" s="34"/>
      <c r="BK662" s="34"/>
      <c r="BL662" s="34"/>
      <c r="BM662" s="34"/>
      <c r="DX662" s="1386" t="e">
        <f t="shared" si="4"/>
        <v>#VALUE!</v>
      </c>
      <c r="DY662" s="1386"/>
      <c r="DZ662" s="1386"/>
      <c r="EA662" s="1386"/>
      <c r="EB662" s="1386"/>
      <c r="EC662" s="1386" t="e">
        <f t="shared" si="5"/>
        <v>#VALUE!</v>
      </c>
      <c r="ED662" s="1386"/>
      <c r="EE662" s="1386"/>
      <c r="EF662" s="1386"/>
      <c r="EG662" s="1386"/>
      <c r="EH662" s="1386" t="e">
        <f t="shared" si="6"/>
        <v>#VALUE!</v>
      </c>
      <c r="EI662" s="1386"/>
      <c r="EJ662" s="1386"/>
      <c r="EK662" s="1386"/>
      <c r="EL662" s="1386"/>
      <c r="EM662" s="1386" t="e">
        <f t="shared" si="7"/>
        <v>#VALUE!</v>
      </c>
      <c r="EN662" s="1386"/>
      <c r="EO662" s="1386"/>
      <c r="EP662" s="1386"/>
      <c r="EQ662" s="1386"/>
      <c r="ER662" s="1386" t="e">
        <f t="shared" si="8"/>
        <v>#VALUE!</v>
      </c>
      <c r="ES662" s="1386"/>
      <c r="ET662" s="1386"/>
      <c r="EU662" s="1386"/>
      <c r="EV662" s="1386"/>
      <c r="EW662" s="1386" t="e">
        <f t="shared" si="9"/>
        <v>#VALUE!</v>
      </c>
      <c r="EX662" s="1386"/>
      <c r="EY662" s="1386"/>
      <c r="EZ662" s="1386"/>
      <c r="FA662" s="1386"/>
    </row>
    <row r="663" spans="1:157" ht="12.9" customHeight="1">
      <c r="A663" s="22"/>
      <c r="B663" t="s">
        <v>315</v>
      </c>
      <c r="G663" s="1495" t="s">
        <v>2754</v>
      </c>
      <c r="H663" s="1495"/>
      <c r="I663" s="1495"/>
      <c r="J663" s="1495"/>
      <c r="K663" s="1495"/>
      <c r="L663" s="1495"/>
      <c r="O663" s="33" t="s">
        <v>205</v>
      </c>
      <c r="P663" s="1484"/>
      <c r="Q663" s="1484"/>
      <c r="R663" s="1484"/>
      <c r="T663" s="22"/>
      <c r="U663" t="s">
        <v>315</v>
      </c>
      <c r="Z663" s="1495" t="s">
        <v>2683</v>
      </c>
      <c r="AA663" s="1495"/>
      <c r="AB663" s="1495"/>
      <c r="AC663" s="1495"/>
      <c r="AD663" s="1495"/>
      <c r="AE663" s="1495"/>
      <c r="AH663" s="33" t="s">
        <v>205</v>
      </c>
      <c r="AI663" s="1484"/>
      <c r="AJ663" s="1484"/>
      <c r="AK663" s="1484"/>
      <c r="AZ663" s="34"/>
      <c r="BA663" s="34"/>
      <c r="BB663" s="34"/>
      <c r="BC663" s="34"/>
      <c r="BD663" s="34"/>
      <c r="BE663" s="34"/>
      <c r="BF663" s="34"/>
      <c r="BG663" s="34"/>
      <c r="BH663" s="34"/>
      <c r="BI663" s="34"/>
      <c r="BJ663" s="34"/>
      <c r="BK663" s="34"/>
      <c r="BL663" s="34"/>
      <c r="BM663" s="34"/>
      <c r="DX663" s="1386" t="e">
        <f t="shared" si="4"/>
        <v>#VALUE!</v>
      </c>
      <c r="DY663" s="1386"/>
      <c r="DZ663" s="1386"/>
      <c r="EA663" s="1386"/>
      <c r="EB663" s="1386"/>
      <c r="EC663" s="1386" t="e">
        <f t="shared" si="5"/>
        <v>#VALUE!</v>
      </c>
      <c r="ED663" s="1386"/>
      <c r="EE663" s="1386"/>
      <c r="EF663" s="1386"/>
      <c r="EG663" s="1386"/>
      <c r="EH663" s="1386" t="e">
        <f t="shared" si="6"/>
        <v>#VALUE!</v>
      </c>
      <c r="EI663" s="1386"/>
      <c r="EJ663" s="1386"/>
      <c r="EK663" s="1386"/>
      <c r="EL663" s="1386"/>
      <c r="EM663" s="1386" t="e">
        <f t="shared" si="7"/>
        <v>#VALUE!</v>
      </c>
      <c r="EN663" s="1386"/>
      <c r="EO663" s="1386"/>
      <c r="EP663" s="1386"/>
      <c r="EQ663" s="1386"/>
      <c r="ER663" s="1386" t="e">
        <f t="shared" si="8"/>
        <v>#VALUE!</v>
      </c>
      <c r="ES663" s="1386"/>
      <c r="ET663" s="1386"/>
      <c r="EU663" s="1386"/>
      <c r="EV663" s="1386"/>
      <c r="EW663" s="1386" t="e">
        <f t="shared" si="9"/>
        <v>#VALUE!</v>
      </c>
      <c r="EX663" s="1386"/>
      <c r="EY663" s="1386"/>
      <c r="EZ663" s="1386"/>
      <c r="FA663" s="1386"/>
    </row>
    <row r="664" spans="1:157" ht="12.9" customHeight="1">
      <c r="A664" s="22"/>
      <c r="B664" t="s">
        <v>18</v>
      </c>
      <c r="H664" s="1422" t="s">
        <v>2755</v>
      </c>
      <c r="I664" s="1423"/>
      <c r="J664" s="1423"/>
      <c r="K664" s="1423"/>
      <c r="L664" s="1423"/>
      <c r="M664" s="1423"/>
      <c r="N664" s="1423"/>
      <c r="O664" s="1423"/>
      <c r="P664" s="1423"/>
      <c r="Q664" s="1423"/>
      <c r="R664" s="1423"/>
      <c r="T664" s="22"/>
      <c r="U664" t="s">
        <v>18</v>
      </c>
      <c r="AA664" s="1423" t="s">
        <v>2660</v>
      </c>
      <c r="AB664" s="1423"/>
      <c r="AC664" s="1423"/>
      <c r="AD664" s="1423"/>
      <c r="AE664" s="1423"/>
      <c r="AF664" s="1423"/>
      <c r="AG664" s="1423"/>
      <c r="AH664" s="1423"/>
      <c r="AI664" s="1423"/>
      <c r="AJ664" s="1423"/>
      <c r="AK664" s="1423"/>
      <c r="AZ664" s="34"/>
      <c r="BA664" s="34"/>
      <c r="BB664" s="34"/>
      <c r="BC664" s="34"/>
      <c r="BD664" s="34"/>
      <c r="BE664" s="34"/>
      <c r="BF664" s="34"/>
      <c r="BG664" s="34"/>
      <c r="BH664" s="34"/>
      <c r="BI664" s="34"/>
      <c r="BJ664" s="34"/>
      <c r="BK664" s="34"/>
      <c r="BL664" s="34"/>
      <c r="BM664" s="34"/>
      <c r="DX664" s="1386" t="e">
        <f t="shared" si="4"/>
        <v>#VALUE!</v>
      </c>
      <c r="DY664" s="1386"/>
      <c r="DZ664" s="1386"/>
      <c r="EA664" s="1386"/>
      <c r="EB664" s="1386"/>
      <c r="EC664" s="1386" t="e">
        <f t="shared" si="5"/>
        <v>#VALUE!</v>
      </c>
      <c r="ED664" s="1386"/>
      <c r="EE664" s="1386"/>
      <c r="EF664" s="1386"/>
      <c r="EG664" s="1386"/>
      <c r="EH664" s="1386" t="e">
        <f t="shared" si="6"/>
        <v>#VALUE!</v>
      </c>
      <c r="EI664" s="1386"/>
      <c r="EJ664" s="1386"/>
      <c r="EK664" s="1386"/>
      <c r="EL664" s="1386"/>
      <c r="EM664" s="1386" t="e">
        <f t="shared" si="7"/>
        <v>#VALUE!</v>
      </c>
      <c r="EN664" s="1386"/>
      <c r="EO664" s="1386"/>
      <c r="EP664" s="1386"/>
      <c r="EQ664" s="1386"/>
      <c r="ER664" s="1386" t="e">
        <f t="shared" si="8"/>
        <v>#VALUE!</v>
      </c>
      <c r="ES664" s="1386"/>
      <c r="ET664" s="1386"/>
      <c r="EU664" s="1386"/>
      <c r="EV664" s="1386"/>
      <c r="EW664" s="1386" t="e">
        <f t="shared" si="9"/>
        <v>#VALUE!</v>
      </c>
      <c r="EX664" s="1386"/>
      <c r="EY664" s="1386"/>
      <c r="EZ664" s="1386"/>
      <c r="FA664" s="1386"/>
    </row>
    <row r="665" spans="1:157" ht="12.9" customHeight="1">
      <c r="A665" s="22"/>
      <c r="B665" t="s">
        <v>20</v>
      </c>
      <c r="N665" s="1431" t="s">
        <v>544</v>
      </c>
      <c r="O665" s="1431"/>
      <c r="T665" s="22"/>
      <c r="U665" t="s">
        <v>20</v>
      </c>
      <c r="AG665" s="1431" t="s">
        <v>544</v>
      </c>
      <c r="AH665" s="1431"/>
      <c r="AZ665" s="34"/>
      <c r="BA665" s="34"/>
      <c r="BB665" s="34"/>
      <c r="BC665" s="34"/>
      <c r="BD665" s="34"/>
      <c r="BE665" s="34"/>
      <c r="BF665" s="34"/>
      <c r="BG665" s="34"/>
      <c r="BH665" s="34"/>
      <c r="BI665" s="34"/>
      <c r="BJ665" s="34"/>
      <c r="BK665" s="34"/>
      <c r="BL665" s="34"/>
      <c r="BM665" s="34"/>
      <c r="DX665" s="1386" t="e">
        <f t="shared" si="4"/>
        <v>#VALUE!</v>
      </c>
      <c r="DY665" s="1386"/>
      <c r="DZ665" s="1386"/>
      <c r="EA665" s="1386"/>
      <c r="EB665" s="1386"/>
      <c r="EC665" s="1386" t="e">
        <f t="shared" si="5"/>
        <v>#VALUE!</v>
      </c>
      <c r="ED665" s="1386"/>
      <c r="EE665" s="1386"/>
      <c r="EF665" s="1386"/>
      <c r="EG665" s="1386"/>
      <c r="EH665" s="1386" t="e">
        <f t="shared" si="6"/>
        <v>#VALUE!</v>
      </c>
      <c r="EI665" s="1386"/>
      <c r="EJ665" s="1386"/>
      <c r="EK665" s="1386"/>
      <c r="EL665" s="1386"/>
      <c r="EM665" s="1386" t="e">
        <f t="shared" si="7"/>
        <v>#VALUE!</v>
      </c>
      <c r="EN665" s="1386"/>
      <c r="EO665" s="1386"/>
      <c r="EP665" s="1386"/>
      <c r="EQ665" s="1386"/>
      <c r="ER665" s="1386" t="e">
        <f t="shared" si="8"/>
        <v>#VALUE!</v>
      </c>
      <c r="ES665" s="1386"/>
      <c r="ET665" s="1386"/>
      <c r="EU665" s="1386"/>
      <c r="EV665" s="1386"/>
      <c r="EW665" s="1386" t="e">
        <f t="shared" si="9"/>
        <v>#VALUE!</v>
      </c>
      <c r="EX665" s="1386"/>
      <c r="EY665" s="1386"/>
      <c r="EZ665" s="1386"/>
      <c r="FA665" s="1386"/>
    </row>
    <row r="666" spans="1:157" ht="12.9" customHeight="1">
      <c r="A666" s="22"/>
      <c r="T666" s="22"/>
      <c r="AZ666" s="34"/>
      <c r="BA666" s="34"/>
      <c r="BB666" s="34"/>
      <c r="BC666" s="34"/>
      <c r="BD666" s="34"/>
      <c r="BE666" s="34"/>
      <c r="BF666" s="34"/>
      <c r="BG666" s="34"/>
      <c r="BH666" s="34"/>
      <c r="BI666" s="34"/>
      <c r="BJ666" s="34"/>
      <c r="BK666" s="34"/>
      <c r="BL666" s="34"/>
      <c r="BM666" s="34"/>
      <c r="DX666" s="1386" t="e">
        <f t="shared" si="4"/>
        <v>#VALUE!</v>
      </c>
      <c r="DY666" s="1386"/>
      <c r="DZ666" s="1386"/>
      <c r="EA666" s="1386"/>
      <c r="EB666" s="1386"/>
      <c r="EC666" s="1386" t="e">
        <f t="shared" si="5"/>
        <v>#VALUE!</v>
      </c>
      <c r="ED666" s="1386"/>
      <c r="EE666" s="1386"/>
      <c r="EF666" s="1386"/>
      <c r="EG666" s="1386"/>
      <c r="EH666" s="1386" t="e">
        <f t="shared" si="6"/>
        <v>#VALUE!</v>
      </c>
      <c r="EI666" s="1386"/>
      <c r="EJ666" s="1386"/>
      <c r="EK666" s="1386"/>
      <c r="EL666" s="1386"/>
      <c r="EM666" s="1386" t="e">
        <f t="shared" si="7"/>
        <v>#VALUE!</v>
      </c>
      <c r="EN666" s="1386"/>
      <c r="EO666" s="1386"/>
      <c r="EP666" s="1386"/>
      <c r="EQ666" s="1386"/>
      <c r="ER666" s="1386" t="e">
        <f t="shared" si="8"/>
        <v>#VALUE!</v>
      </c>
      <c r="ES666" s="1386"/>
      <c r="ET666" s="1386"/>
      <c r="EU666" s="1386"/>
      <c r="EV666" s="1386"/>
      <c r="EW666" s="1386" t="e">
        <f t="shared" si="9"/>
        <v>#VALUE!</v>
      </c>
      <c r="EX666" s="1386"/>
      <c r="EY666" s="1386"/>
      <c r="EZ666" s="1386"/>
      <c r="FA666" s="1386"/>
    </row>
    <row r="667" spans="1:157" ht="12.9" customHeight="1">
      <c r="A667" s="55" t="s">
        <v>762</v>
      </c>
      <c r="B667" t="s">
        <v>462</v>
      </c>
      <c r="G667" s="1496" t="str">
        <f>C639</f>
        <v>Deferred Developer Fee</v>
      </c>
      <c r="H667" s="1496"/>
      <c r="I667" s="1496"/>
      <c r="J667" s="1496"/>
      <c r="K667" s="1496"/>
      <c r="L667" s="1496"/>
      <c r="M667" s="1496"/>
      <c r="N667" s="1496"/>
      <c r="O667" s="1496"/>
      <c r="P667" s="1496"/>
      <c r="Q667" s="1496"/>
      <c r="R667" s="1496"/>
      <c r="T667" s="55" t="s">
        <v>583</v>
      </c>
      <c r="U667" t="s">
        <v>462</v>
      </c>
      <c r="Z667" s="1496">
        <f>C640</f>
        <v>0</v>
      </c>
      <c r="AA667" s="1496"/>
      <c r="AB667" s="1496"/>
      <c r="AC667" s="1496"/>
      <c r="AD667" s="1496"/>
      <c r="AE667" s="1496"/>
      <c r="AF667" s="1496"/>
      <c r="AG667" s="1496"/>
      <c r="AH667" s="1496"/>
      <c r="AI667" s="1496"/>
      <c r="AJ667" s="1496"/>
      <c r="AK667" s="1496"/>
      <c r="AZ667" s="34"/>
      <c r="BA667" s="34"/>
      <c r="BB667" s="34"/>
      <c r="BC667" s="34"/>
      <c r="BD667" s="34"/>
      <c r="BE667" s="34"/>
      <c r="BF667" s="34"/>
      <c r="BG667" s="34"/>
      <c r="BH667" s="34"/>
      <c r="BI667" s="34"/>
      <c r="BJ667" s="34"/>
      <c r="BK667" s="34"/>
      <c r="BL667" s="34"/>
      <c r="BM667" s="34"/>
      <c r="DX667" s="1386" t="e">
        <f t="shared" si="4"/>
        <v>#VALUE!</v>
      </c>
      <c r="DY667" s="1386"/>
      <c r="DZ667" s="1386"/>
      <c r="EA667" s="1386"/>
      <c r="EB667" s="1386"/>
      <c r="EC667" s="1386" t="e">
        <f t="shared" si="5"/>
        <v>#VALUE!</v>
      </c>
      <c r="ED667" s="1386"/>
      <c r="EE667" s="1386"/>
      <c r="EF667" s="1386"/>
      <c r="EG667" s="1386"/>
      <c r="EH667" s="1386" t="e">
        <f t="shared" si="6"/>
        <v>#VALUE!</v>
      </c>
      <c r="EI667" s="1386"/>
      <c r="EJ667" s="1386"/>
      <c r="EK667" s="1386"/>
      <c r="EL667" s="1386"/>
      <c r="EM667" s="1386" t="e">
        <f t="shared" si="7"/>
        <v>#VALUE!</v>
      </c>
      <c r="EN667" s="1386"/>
      <c r="EO667" s="1386"/>
      <c r="EP667" s="1386"/>
      <c r="EQ667" s="1386"/>
      <c r="ER667" s="1386" t="e">
        <f t="shared" si="8"/>
        <v>#VALUE!</v>
      </c>
      <c r="ES667" s="1386"/>
      <c r="ET667" s="1386"/>
      <c r="EU667" s="1386"/>
      <c r="EV667" s="1386"/>
      <c r="EW667" s="1386" t="e">
        <f t="shared" si="9"/>
        <v>#VALUE!</v>
      </c>
      <c r="EX667" s="1386"/>
      <c r="EY667" s="1386"/>
      <c r="EZ667" s="1386"/>
      <c r="FA667" s="1386"/>
    </row>
    <row r="668" spans="1:157" ht="12.9" customHeight="1">
      <c r="A668" s="22"/>
      <c r="B668" t="s">
        <v>85</v>
      </c>
      <c r="G668" s="1423" t="s">
        <v>2679</v>
      </c>
      <c r="H668" s="1423"/>
      <c r="I668" s="1423"/>
      <c r="J668" s="1423"/>
      <c r="K668" s="1423"/>
      <c r="L668" s="1423"/>
      <c r="M668" s="1423"/>
      <c r="N668" s="1423"/>
      <c r="O668" s="1423"/>
      <c r="P668" s="1423"/>
      <c r="Q668" s="1423"/>
      <c r="R668" s="1423"/>
      <c r="T668" s="22"/>
      <c r="U668" t="s">
        <v>85</v>
      </c>
      <c r="Z668" s="1423"/>
      <c r="AA668" s="1423"/>
      <c r="AB668" s="1423"/>
      <c r="AC668" s="1423"/>
      <c r="AD668" s="1423"/>
      <c r="AE668" s="1423"/>
      <c r="AF668" s="1423"/>
      <c r="AG668" s="1423"/>
      <c r="AH668" s="1423"/>
      <c r="AI668" s="1423"/>
      <c r="AJ668" s="1423"/>
      <c r="AK668" s="1423"/>
      <c r="AZ668" s="34"/>
      <c r="BA668" s="34"/>
      <c r="BB668" s="34"/>
      <c r="BC668" s="34"/>
      <c r="BD668" s="34"/>
      <c r="BE668" s="34"/>
      <c r="BF668" s="34"/>
      <c r="BG668" s="34"/>
      <c r="BH668" s="34"/>
      <c r="BI668" s="34"/>
      <c r="BJ668" s="34"/>
      <c r="BK668" s="34"/>
      <c r="BL668" s="34"/>
      <c r="BM668" s="34"/>
      <c r="DX668" s="1386" t="e">
        <f t="shared" si="4"/>
        <v>#VALUE!</v>
      </c>
      <c r="DY668" s="1386"/>
      <c r="DZ668" s="1386"/>
      <c r="EA668" s="1386"/>
      <c r="EB668" s="1386"/>
      <c r="EC668" s="1386" t="e">
        <f t="shared" si="5"/>
        <v>#VALUE!</v>
      </c>
      <c r="ED668" s="1386"/>
      <c r="EE668" s="1386"/>
      <c r="EF668" s="1386"/>
      <c r="EG668" s="1386"/>
      <c r="EH668" s="1386" t="e">
        <f t="shared" si="6"/>
        <v>#VALUE!</v>
      </c>
      <c r="EI668" s="1386"/>
      <c r="EJ668" s="1386"/>
      <c r="EK668" s="1386"/>
      <c r="EL668" s="1386"/>
      <c r="EM668" s="1386" t="e">
        <f t="shared" si="7"/>
        <v>#VALUE!</v>
      </c>
      <c r="EN668" s="1386"/>
      <c r="EO668" s="1386"/>
      <c r="EP668" s="1386"/>
      <c r="EQ668" s="1386"/>
      <c r="ER668" s="1386" t="e">
        <f t="shared" si="8"/>
        <v>#VALUE!</v>
      </c>
      <c r="ES668" s="1386"/>
      <c r="ET668" s="1386"/>
      <c r="EU668" s="1386"/>
      <c r="EV668" s="1386"/>
      <c r="EW668" s="1386" t="e">
        <f t="shared" si="9"/>
        <v>#VALUE!</v>
      </c>
      <c r="EX668" s="1386"/>
      <c r="EY668" s="1386"/>
      <c r="EZ668" s="1386"/>
      <c r="FA668" s="1386"/>
    </row>
    <row r="669" spans="1:157" ht="12.9" customHeight="1">
      <c r="A669" s="22"/>
      <c r="B669" t="s">
        <v>579</v>
      </c>
      <c r="G669" s="1423" t="s">
        <v>2687</v>
      </c>
      <c r="H669" s="1423"/>
      <c r="I669" s="1423"/>
      <c r="J669" s="1423"/>
      <c r="K669" s="1423"/>
      <c r="L669" s="1423"/>
      <c r="M669" s="1423"/>
      <c r="N669" s="1423"/>
      <c r="O669" s="1423"/>
      <c r="P669" s="1423"/>
      <c r="Q669" s="1423"/>
      <c r="R669" s="1423"/>
      <c r="T669" s="22"/>
      <c r="U669" t="s">
        <v>579</v>
      </c>
      <c r="Z669" s="1388"/>
      <c r="AA669" s="1388"/>
      <c r="AB669" s="1388"/>
      <c r="AC669" s="1388"/>
      <c r="AD669" s="1388"/>
      <c r="AE669" s="1388"/>
      <c r="AF669" s="1388"/>
      <c r="AG669" s="1388"/>
      <c r="AH669" s="1388"/>
      <c r="AI669" s="1388"/>
      <c r="AJ669" s="1388"/>
      <c r="AK669" s="1388"/>
      <c r="AZ669" s="34"/>
      <c r="BA669" s="34"/>
      <c r="BB669" s="34"/>
      <c r="BC669" s="34"/>
      <c r="BD669" s="34"/>
      <c r="BE669" s="34"/>
      <c r="BF669" s="34"/>
      <c r="BG669" s="34"/>
      <c r="BH669" s="34"/>
      <c r="BI669" s="34"/>
      <c r="BJ669" s="34"/>
      <c r="BK669" s="34"/>
      <c r="BL669" s="34"/>
      <c r="BM669" s="34"/>
      <c r="DX669" s="1386" t="e">
        <f t="shared" si="4"/>
        <v>#VALUE!</v>
      </c>
      <c r="DY669" s="1386"/>
      <c r="DZ669" s="1386"/>
      <c r="EA669" s="1386"/>
      <c r="EB669" s="1386"/>
      <c r="EC669" s="1386" t="e">
        <f t="shared" si="5"/>
        <v>#VALUE!</v>
      </c>
      <c r="ED669" s="1386"/>
      <c r="EE669" s="1386"/>
      <c r="EF669" s="1386"/>
      <c r="EG669" s="1386"/>
      <c r="EH669" s="1386" t="e">
        <f t="shared" si="6"/>
        <v>#VALUE!</v>
      </c>
      <c r="EI669" s="1386"/>
      <c r="EJ669" s="1386"/>
      <c r="EK669" s="1386"/>
      <c r="EL669" s="1386"/>
      <c r="EM669" s="1386" t="e">
        <f t="shared" si="7"/>
        <v>#VALUE!</v>
      </c>
      <c r="EN669" s="1386"/>
      <c r="EO669" s="1386"/>
      <c r="EP669" s="1386"/>
      <c r="EQ669" s="1386"/>
      <c r="ER669" s="1386" t="e">
        <f t="shared" si="8"/>
        <v>#VALUE!</v>
      </c>
      <c r="ES669" s="1386"/>
      <c r="ET669" s="1386"/>
      <c r="EU669" s="1386"/>
      <c r="EV669" s="1386"/>
      <c r="EW669" s="1386" t="e">
        <f t="shared" si="9"/>
        <v>#VALUE!</v>
      </c>
      <c r="EX669" s="1386"/>
      <c r="EY669" s="1386"/>
      <c r="EZ669" s="1386"/>
      <c r="FA669" s="1386"/>
    </row>
    <row r="670" spans="1:157" ht="12.9" customHeight="1">
      <c r="A670" s="22"/>
      <c r="B670" t="s">
        <v>17</v>
      </c>
      <c r="G670" s="1423" t="s">
        <v>2682</v>
      </c>
      <c r="H670" s="1423"/>
      <c r="I670" s="1423"/>
      <c r="J670" s="1423"/>
      <c r="K670" s="1423"/>
      <c r="L670" s="1423"/>
      <c r="M670" s="1423"/>
      <c r="N670" s="1423"/>
      <c r="O670" s="1423"/>
      <c r="P670" s="1423"/>
      <c r="Q670" s="1423"/>
      <c r="R670" s="1423"/>
      <c r="T670" s="22"/>
      <c r="U670" t="s">
        <v>17</v>
      </c>
      <c r="Z670" s="1388"/>
      <c r="AA670" s="1388"/>
      <c r="AB670" s="1388"/>
      <c r="AC670" s="1388"/>
      <c r="AD670" s="1388"/>
      <c r="AE670" s="1388"/>
      <c r="AF670" s="1388"/>
      <c r="AG670" s="1388"/>
      <c r="AH670" s="1388"/>
      <c r="AI670" s="1388"/>
      <c r="AJ670" s="1388"/>
      <c r="AK670" s="138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6" t="e">
        <f t="shared" si="4"/>
        <v>#VALUE!</v>
      </c>
      <c r="DY670" s="1386"/>
      <c r="DZ670" s="1386"/>
      <c r="EA670" s="1386"/>
      <c r="EB670" s="1386"/>
      <c r="EC670" s="1386" t="e">
        <f t="shared" si="5"/>
        <v>#VALUE!</v>
      </c>
      <c r="ED670" s="1386"/>
      <c r="EE670" s="1386"/>
      <c r="EF670" s="1386"/>
      <c r="EG670" s="1386"/>
      <c r="EH670" s="1386" t="e">
        <f t="shared" si="6"/>
        <v>#VALUE!</v>
      </c>
      <c r="EI670" s="1386"/>
      <c r="EJ670" s="1386"/>
      <c r="EK670" s="1386"/>
      <c r="EL670" s="1386"/>
      <c r="EM670" s="1386" t="e">
        <f t="shared" si="7"/>
        <v>#VALUE!</v>
      </c>
      <c r="EN670" s="1386"/>
      <c r="EO670" s="1386"/>
      <c r="EP670" s="1386"/>
      <c r="EQ670" s="1386"/>
      <c r="ER670" s="1386" t="e">
        <f t="shared" si="8"/>
        <v>#VALUE!</v>
      </c>
      <c r="ES670" s="1386"/>
      <c r="ET670" s="1386"/>
      <c r="EU670" s="1386"/>
      <c r="EV670" s="1386"/>
      <c r="EW670" s="1386" t="e">
        <f t="shared" si="9"/>
        <v>#VALUE!</v>
      </c>
      <c r="EX670" s="1386"/>
      <c r="EY670" s="1386"/>
      <c r="EZ670" s="1386"/>
      <c r="FA670" s="1386"/>
    </row>
    <row r="671" spans="1:157" ht="12.9" customHeight="1">
      <c r="A671" s="22"/>
      <c r="B671" t="s">
        <v>315</v>
      </c>
      <c r="G671" s="1495" t="s">
        <v>2683</v>
      </c>
      <c r="H671" s="1495"/>
      <c r="I671" s="1495"/>
      <c r="J671" s="1495"/>
      <c r="K671" s="1495"/>
      <c r="L671" s="1495"/>
      <c r="O671" s="33" t="s">
        <v>205</v>
      </c>
      <c r="P671" s="1484"/>
      <c r="Q671" s="1484"/>
      <c r="R671" s="1484"/>
      <c r="T671" s="22"/>
      <c r="U671" t="s">
        <v>315</v>
      </c>
      <c r="Z671" s="1495"/>
      <c r="AA671" s="1495"/>
      <c r="AB671" s="1495"/>
      <c r="AC671" s="1495"/>
      <c r="AD671" s="1495"/>
      <c r="AE671" s="1495"/>
      <c r="AH671" s="33" t="s">
        <v>205</v>
      </c>
      <c r="AI671" s="1484"/>
      <c r="AJ671" s="1484"/>
      <c r="AK671" s="148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6" t="e">
        <f t="shared" si="4"/>
        <v>#VALUE!</v>
      </c>
      <c r="DY671" s="1386"/>
      <c r="DZ671" s="1386"/>
      <c r="EA671" s="1386"/>
      <c r="EB671" s="1386"/>
      <c r="EC671" s="1386" t="e">
        <f t="shared" si="5"/>
        <v>#VALUE!</v>
      </c>
      <c r="ED671" s="1386"/>
      <c r="EE671" s="1386"/>
      <c r="EF671" s="1386"/>
      <c r="EG671" s="1386"/>
      <c r="EH671" s="1386" t="e">
        <f t="shared" si="6"/>
        <v>#VALUE!</v>
      </c>
      <c r="EI671" s="1386"/>
      <c r="EJ671" s="1386"/>
      <c r="EK671" s="1386"/>
      <c r="EL671" s="1386"/>
      <c r="EM671" s="1386" t="e">
        <f t="shared" si="7"/>
        <v>#VALUE!</v>
      </c>
      <c r="EN671" s="1386"/>
      <c r="EO671" s="1386"/>
      <c r="EP671" s="1386"/>
      <c r="EQ671" s="1386"/>
      <c r="ER671" s="1386" t="e">
        <f t="shared" si="8"/>
        <v>#VALUE!</v>
      </c>
      <c r="ES671" s="1386"/>
      <c r="ET671" s="1386"/>
      <c r="EU671" s="1386"/>
      <c r="EV671" s="1386"/>
      <c r="EW671" s="1386" t="e">
        <f t="shared" si="9"/>
        <v>#VALUE!</v>
      </c>
      <c r="EX671" s="1386"/>
      <c r="EY671" s="1386"/>
      <c r="EZ671" s="1386"/>
      <c r="FA671" s="1386"/>
    </row>
    <row r="672" spans="1:157" ht="12.9" customHeight="1">
      <c r="A672" s="22"/>
      <c r="B672" t="s">
        <v>18</v>
      </c>
      <c r="H672" s="1423"/>
      <c r="I672" s="1423"/>
      <c r="J672" s="1423"/>
      <c r="K672" s="1423"/>
      <c r="L672" s="1423"/>
      <c r="M672" s="1423"/>
      <c r="N672" s="1423"/>
      <c r="O672" s="1423"/>
      <c r="P672" s="1423"/>
      <c r="Q672" s="1423"/>
      <c r="R672" s="1423"/>
      <c r="T672" s="22"/>
      <c r="U672" t="s">
        <v>18</v>
      </c>
      <c r="AA672" s="1423"/>
      <c r="AB672" s="1423"/>
      <c r="AC672" s="1423"/>
      <c r="AD672" s="1423"/>
      <c r="AE672" s="1423"/>
      <c r="AF672" s="1423"/>
      <c r="AG672" s="1423"/>
      <c r="AH672" s="1423"/>
      <c r="AI672" s="1423"/>
      <c r="AJ672" s="1423"/>
      <c r="AK672" s="142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6" t="e">
        <f t="shared" si="4"/>
        <v>#VALUE!</v>
      </c>
      <c r="DY672" s="1386"/>
      <c r="DZ672" s="1386"/>
      <c r="EA672" s="1386"/>
      <c r="EB672" s="1386"/>
      <c r="EC672" s="1386" t="e">
        <f t="shared" si="5"/>
        <v>#VALUE!</v>
      </c>
      <c r="ED672" s="1386"/>
      <c r="EE672" s="1386"/>
      <c r="EF672" s="1386"/>
      <c r="EG672" s="1386"/>
      <c r="EH672" s="1386" t="e">
        <f t="shared" si="6"/>
        <v>#VALUE!</v>
      </c>
      <c r="EI672" s="1386"/>
      <c r="EJ672" s="1386"/>
      <c r="EK672" s="1386"/>
      <c r="EL672" s="1386"/>
      <c r="EM672" s="1386" t="e">
        <f t="shared" si="7"/>
        <v>#VALUE!</v>
      </c>
      <c r="EN672" s="1386"/>
      <c r="EO672" s="1386"/>
      <c r="EP672" s="1386"/>
      <c r="EQ672" s="1386"/>
      <c r="ER672" s="1386" t="e">
        <f t="shared" si="8"/>
        <v>#VALUE!</v>
      </c>
      <c r="ES672" s="1386"/>
      <c r="ET672" s="1386"/>
      <c r="EU672" s="1386"/>
      <c r="EV672" s="1386"/>
      <c r="EW672" s="1386" t="e">
        <f t="shared" si="9"/>
        <v>#VALUE!</v>
      </c>
      <c r="EX672" s="1386"/>
      <c r="EY672" s="1386"/>
      <c r="EZ672" s="1386"/>
      <c r="FA672" s="1386"/>
    </row>
    <row r="673" spans="1:157" ht="12.9" customHeight="1">
      <c r="A673" s="22"/>
      <c r="B673" t="s">
        <v>20</v>
      </c>
      <c r="N673" s="1431" t="s">
        <v>668</v>
      </c>
      <c r="O673" s="1431"/>
      <c r="T673" s="22"/>
      <c r="U673" t="s">
        <v>20</v>
      </c>
      <c r="AG673" s="1431" t="s">
        <v>668</v>
      </c>
      <c r="AH673" s="143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6" t="e">
        <f t="shared" si="4"/>
        <v>#VALUE!</v>
      </c>
      <c r="DY673" s="1386"/>
      <c r="DZ673" s="1386"/>
      <c r="EA673" s="1386"/>
      <c r="EB673" s="1386"/>
      <c r="EC673" s="1386" t="e">
        <f t="shared" si="5"/>
        <v>#VALUE!</v>
      </c>
      <c r="ED673" s="1386"/>
      <c r="EE673" s="1386"/>
      <c r="EF673" s="1386"/>
      <c r="EG673" s="1386"/>
      <c r="EH673" s="1386" t="e">
        <f t="shared" si="6"/>
        <v>#VALUE!</v>
      </c>
      <c r="EI673" s="1386"/>
      <c r="EJ673" s="1386"/>
      <c r="EK673" s="1386"/>
      <c r="EL673" s="1386"/>
      <c r="EM673" s="1386" t="e">
        <f t="shared" si="7"/>
        <v>#VALUE!</v>
      </c>
      <c r="EN673" s="1386"/>
      <c r="EO673" s="1386"/>
      <c r="EP673" s="1386"/>
      <c r="EQ673" s="1386"/>
      <c r="ER673" s="1386" t="e">
        <f t="shared" si="8"/>
        <v>#VALUE!</v>
      </c>
      <c r="ES673" s="1386"/>
      <c r="ET673" s="1386"/>
      <c r="EU673" s="1386"/>
      <c r="EV673" s="1386"/>
      <c r="EW673" s="1386" t="e">
        <f t="shared" si="9"/>
        <v>#VALUE!</v>
      </c>
      <c r="EX673" s="1386"/>
      <c r="EY673" s="1386"/>
      <c r="EZ673" s="1386"/>
      <c r="FA673" s="1386"/>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6" t="e">
        <f t="shared" si="4"/>
        <v>#VALUE!</v>
      </c>
      <c r="DY674" s="1386"/>
      <c r="DZ674" s="1386"/>
      <c r="EA674" s="1386"/>
      <c r="EB674" s="1386"/>
      <c r="EC674" s="1386" t="e">
        <f t="shared" si="5"/>
        <v>#VALUE!</v>
      </c>
      <c r="ED674" s="1386"/>
      <c r="EE674" s="1386"/>
      <c r="EF674" s="1386"/>
      <c r="EG674" s="1386"/>
      <c r="EH674" s="1386" t="e">
        <f t="shared" si="6"/>
        <v>#VALUE!</v>
      </c>
      <c r="EI674" s="1386"/>
      <c r="EJ674" s="1386"/>
      <c r="EK674" s="1386"/>
      <c r="EL674" s="1386"/>
      <c r="EM674" s="1386" t="e">
        <f t="shared" si="7"/>
        <v>#VALUE!</v>
      </c>
      <c r="EN674" s="1386"/>
      <c r="EO674" s="1386"/>
      <c r="EP674" s="1386"/>
      <c r="EQ674" s="1386"/>
      <c r="ER674" s="1386" t="e">
        <f t="shared" si="8"/>
        <v>#VALUE!</v>
      </c>
      <c r="ES674" s="1386"/>
      <c r="ET674" s="1386"/>
      <c r="EU674" s="1386"/>
      <c r="EV674" s="1386"/>
      <c r="EW674" s="1386" t="e">
        <f t="shared" si="9"/>
        <v>#VALUE!</v>
      </c>
      <c r="EX674" s="1386"/>
      <c r="EY674" s="1386"/>
      <c r="EZ674" s="1386"/>
      <c r="FA674" s="1386"/>
    </row>
    <row r="675" spans="1:157" ht="12.9" customHeight="1">
      <c r="A675" s="55" t="s">
        <v>454</v>
      </c>
      <c r="B675" t="s">
        <v>462</v>
      </c>
      <c r="G675" s="1496">
        <f>C641</f>
        <v>0</v>
      </c>
      <c r="H675" s="1496"/>
      <c r="I675" s="1496"/>
      <c r="J675" s="1496"/>
      <c r="K675" s="1496"/>
      <c r="L675" s="1496"/>
      <c r="M675" s="1496"/>
      <c r="N675" s="1496"/>
      <c r="O675" s="1496"/>
      <c r="P675" s="1496"/>
      <c r="Q675" s="1496"/>
      <c r="R675" s="1496"/>
      <c r="T675" s="55" t="s">
        <v>455</v>
      </c>
      <c r="U675" t="s">
        <v>462</v>
      </c>
      <c r="Z675" s="1496">
        <f>C642</f>
        <v>0</v>
      </c>
      <c r="AA675" s="1496"/>
      <c r="AB675" s="1496"/>
      <c r="AC675" s="1496"/>
      <c r="AD675" s="1496"/>
      <c r="AE675" s="1496"/>
      <c r="AF675" s="1496"/>
      <c r="AG675" s="1496"/>
      <c r="AH675" s="1496"/>
      <c r="AI675" s="1496"/>
      <c r="AJ675" s="1496"/>
      <c r="AK675" s="149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6" t="e">
        <f t="shared" si="4"/>
        <v>#VALUE!</v>
      </c>
      <c r="DY675" s="1386"/>
      <c r="DZ675" s="1386"/>
      <c r="EA675" s="1386"/>
      <c r="EB675" s="1386"/>
      <c r="EC675" s="1386" t="e">
        <f t="shared" si="5"/>
        <v>#VALUE!</v>
      </c>
      <c r="ED675" s="1386"/>
      <c r="EE675" s="1386"/>
      <c r="EF675" s="1386"/>
      <c r="EG675" s="1386"/>
      <c r="EH675" s="1386" t="e">
        <f t="shared" si="6"/>
        <v>#VALUE!</v>
      </c>
      <c r="EI675" s="1386"/>
      <c r="EJ675" s="1386"/>
      <c r="EK675" s="1386"/>
      <c r="EL675" s="1386"/>
      <c r="EM675" s="1386" t="e">
        <f t="shared" si="7"/>
        <v>#VALUE!</v>
      </c>
      <c r="EN675" s="1386"/>
      <c r="EO675" s="1386"/>
      <c r="EP675" s="1386"/>
      <c r="EQ675" s="1386"/>
      <c r="ER675" s="1386" t="e">
        <f t="shared" si="8"/>
        <v>#VALUE!</v>
      </c>
      <c r="ES675" s="1386"/>
      <c r="ET675" s="1386"/>
      <c r="EU675" s="1386"/>
      <c r="EV675" s="1386"/>
      <c r="EW675" s="1386" t="e">
        <f t="shared" si="9"/>
        <v>#VALUE!</v>
      </c>
      <c r="EX675" s="1386"/>
      <c r="EY675" s="1386"/>
      <c r="EZ675" s="1386"/>
      <c r="FA675" s="1386"/>
    </row>
    <row r="676" spans="1:157" ht="12.9" customHeight="1">
      <c r="A676" s="22"/>
      <c r="B676" t="s">
        <v>85</v>
      </c>
      <c r="G676" s="1423"/>
      <c r="H676" s="1423"/>
      <c r="I676" s="1423"/>
      <c r="J676" s="1423"/>
      <c r="K676" s="1423"/>
      <c r="L676" s="1423"/>
      <c r="M676" s="1423"/>
      <c r="N676" s="1423"/>
      <c r="O676" s="1423"/>
      <c r="P676" s="1423"/>
      <c r="Q676" s="1423"/>
      <c r="R676" s="1423"/>
      <c r="T676" s="22"/>
      <c r="U676" t="s">
        <v>85</v>
      </c>
      <c r="Z676" s="1423"/>
      <c r="AA676" s="1423"/>
      <c r="AB676" s="1423"/>
      <c r="AC676" s="1423"/>
      <c r="AD676" s="1423"/>
      <c r="AE676" s="1423"/>
      <c r="AF676" s="1423"/>
      <c r="AG676" s="1423"/>
      <c r="AH676" s="1423"/>
      <c r="AI676" s="1423"/>
      <c r="AJ676" s="1423"/>
      <c r="AK676" s="142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6" t="e">
        <f t="shared" si="4"/>
        <v>#VALUE!</v>
      </c>
      <c r="DY676" s="1386"/>
      <c r="DZ676" s="1386"/>
      <c r="EA676" s="1386"/>
      <c r="EB676" s="1386"/>
      <c r="EC676" s="1386" t="e">
        <f t="shared" si="5"/>
        <v>#VALUE!</v>
      </c>
      <c r="ED676" s="1386"/>
      <c r="EE676" s="1386"/>
      <c r="EF676" s="1386"/>
      <c r="EG676" s="1386"/>
      <c r="EH676" s="1386" t="e">
        <f t="shared" si="6"/>
        <v>#VALUE!</v>
      </c>
      <c r="EI676" s="1386"/>
      <c r="EJ676" s="1386"/>
      <c r="EK676" s="1386"/>
      <c r="EL676" s="1386"/>
      <c r="EM676" s="1386" t="e">
        <f t="shared" si="7"/>
        <v>#VALUE!</v>
      </c>
      <c r="EN676" s="1386"/>
      <c r="EO676" s="1386"/>
      <c r="EP676" s="1386"/>
      <c r="EQ676" s="1386"/>
      <c r="ER676" s="1386" t="e">
        <f t="shared" si="8"/>
        <v>#VALUE!</v>
      </c>
      <c r="ES676" s="1386"/>
      <c r="ET676" s="1386"/>
      <c r="EU676" s="1386"/>
      <c r="EV676" s="1386"/>
      <c r="EW676" s="1386" t="e">
        <f t="shared" si="9"/>
        <v>#VALUE!</v>
      </c>
      <c r="EX676" s="1386"/>
      <c r="EY676" s="1386"/>
      <c r="EZ676" s="1386"/>
      <c r="FA676" s="1386"/>
    </row>
    <row r="677" spans="1:157" ht="12.9" customHeight="1">
      <c r="A677" s="22"/>
      <c r="B677" t="s">
        <v>579</v>
      </c>
      <c r="G677" s="1423"/>
      <c r="H677" s="1423"/>
      <c r="I677" s="1423"/>
      <c r="J677" s="1423"/>
      <c r="K677" s="1423"/>
      <c r="L677" s="1423"/>
      <c r="M677" s="1423"/>
      <c r="N677" s="1423"/>
      <c r="O677" s="1423"/>
      <c r="P677" s="1423"/>
      <c r="Q677" s="1423"/>
      <c r="R677" s="1423"/>
      <c r="T677" s="22"/>
      <c r="U677" t="s">
        <v>579</v>
      </c>
      <c r="Z677" s="1388"/>
      <c r="AA677" s="1388"/>
      <c r="AB677" s="1388"/>
      <c r="AC677" s="1388"/>
      <c r="AD677" s="1388"/>
      <c r="AE677" s="1388"/>
      <c r="AF677" s="1388"/>
      <c r="AG677" s="1388"/>
      <c r="AH677" s="1388"/>
      <c r="AI677" s="1388"/>
      <c r="AJ677" s="1388"/>
      <c r="AK677" s="138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6" t="e">
        <f t="shared" si="4"/>
        <v>#VALUE!</v>
      </c>
      <c r="DY677" s="1386"/>
      <c r="DZ677" s="1386"/>
      <c r="EA677" s="1386"/>
      <c r="EB677" s="1386"/>
      <c r="EC677" s="1386" t="e">
        <f t="shared" si="5"/>
        <v>#VALUE!</v>
      </c>
      <c r="ED677" s="1386"/>
      <c r="EE677" s="1386"/>
      <c r="EF677" s="1386"/>
      <c r="EG677" s="1386"/>
      <c r="EH677" s="1386" t="e">
        <f t="shared" si="6"/>
        <v>#VALUE!</v>
      </c>
      <c r="EI677" s="1386"/>
      <c r="EJ677" s="1386"/>
      <c r="EK677" s="1386"/>
      <c r="EL677" s="1386"/>
      <c r="EM677" s="1386" t="e">
        <f t="shared" si="7"/>
        <v>#VALUE!</v>
      </c>
      <c r="EN677" s="1386"/>
      <c r="EO677" s="1386"/>
      <c r="EP677" s="1386"/>
      <c r="EQ677" s="1386"/>
      <c r="ER677" s="1386" t="e">
        <f t="shared" si="8"/>
        <v>#VALUE!</v>
      </c>
      <c r="ES677" s="1386"/>
      <c r="ET677" s="1386"/>
      <c r="EU677" s="1386"/>
      <c r="EV677" s="1386"/>
      <c r="EW677" s="1386" t="e">
        <f t="shared" si="9"/>
        <v>#VALUE!</v>
      </c>
      <c r="EX677" s="1386"/>
      <c r="EY677" s="1386"/>
      <c r="EZ677" s="1386"/>
      <c r="FA677" s="1386"/>
    </row>
    <row r="678" spans="1:157" ht="12.9" customHeight="1">
      <c r="A678" s="22"/>
      <c r="B678" t="s">
        <v>17</v>
      </c>
      <c r="G678" s="1423"/>
      <c r="H678" s="1423"/>
      <c r="I678" s="1423"/>
      <c r="J678" s="1423"/>
      <c r="K678" s="1423"/>
      <c r="L678" s="1423"/>
      <c r="M678" s="1423"/>
      <c r="N678" s="1423"/>
      <c r="O678" s="1423"/>
      <c r="P678" s="1423"/>
      <c r="Q678" s="1423"/>
      <c r="R678" s="1423"/>
      <c r="T678" s="22"/>
      <c r="U678" t="s">
        <v>17</v>
      </c>
      <c r="Z678" s="1388"/>
      <c r="AA678" s="1388"/>
      <c r="AB678" s="1388"/>
      <c r="AC678" s="1388"/>
      <c r="AD678" s="1388"/>
      <c r="AE678" s="1388"/>
      <c r="AF678" s="1388"/>
      <c r="AG678" s="1388"/>
      <c r="AH678" s="1388"/>
      <c r="AI678" s="1388"/>
      <c r="AJ678" s="1388"/>
      <c r="AK678" s="138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6">
        <f>SUMIF(DX643:EB677,"&gt;0")</f>
        <v>1441.2461538461539</v>
      </c>
      <c r="DY678" s="1386"/>
      <c r="DZ678" s="1386"/>
      <c r="EA678" s="1386"/>
      <c r="EB678" s="1386"/>
      <c r="EC678" s="1386">
        <f>SUMIF(EC643:EG677,"&gt;0")</f>
        <v>2141.729166666667</v>
      </c>
      <c r="ED678" s="1386"/>
      <c r="EE678" s="1386"/>
      <c r="EF678" s="1386"/>
      <c r="EG678" s="1386"/>
      <c r="EH678" s="1386">
        <f>SUMIF(EH643:EL677,"&gt;0")</f>
        <v>2606</v>
      </c>
      <c r="EI678" s="1386"/>
      <c r="EJ678" s="1386"/>
      <c r="EK678" s="1386"/>
      <c r="EL678" s="1386"/>
      <c r="EM678" s="1386">
        <f>SUMIF(EM643:EQ677,"&gt;0")</f>
        <v>2970.8833333333332</v>
      </c>
      <c r="EN678" s="1386"/>
      <c r="EO678" s="1386"/>
      <c r="EP678" s="1386"/>
      <c r="EQ678" s="1386"/>
      <c r="ER678" s="1386">
        <f>SUMIF(ER643:EV677,"&gt;0")</f>
        <v>0</v>
      </c>
      <c r="ES678" s="1386"/>
      <c r="ET678" s="1386"/>
      <c r="EU678" s="1386"/>
      <c r="EV678" s="1386"/>
      <c r="EW678" s="1386">
        <f>SUMIF(EW643:FA677,"&gt;0")</f>
        <v>0</v>
      </c>
      <c r="EX678" s="1386"/>
      <c r="EY678" s="1386"/>
      <c r="EZ678" s="1386"/>
      <c r="FA678" s="1386"/>
    </row>
    <row r="679" spans="1:157" ht="12.9" customHeight="1">
      <c r="A679" s="22"/>
      <c r="B679" t="s">
        <v>315</v>
      </c>
      <c r="G679" s="1495"/>
      <c r="H679" s="1495"/>
      <c r="I679" s="1495"/>
      <c r="J679" s="1495"/>
      <c r="K679" s="1495"/>
      <c r="L679" s="1495"/>
      <c r="O679" s="33" t="s">
        <v>205</v>
      </c>
      <c r="P679" s="1484"/>
      <c r="Q679" s="1484"/>
      <c r="R679" s="1484"/>
      <c r="T679" s="22"/>
      <c r="U679" t="s">
        <v>315</v>
      </c>
      <c r="Z679" s="1495"/>
      <c r="AA679" s="1495"/>
      <c r="AB679" s="1495"/>
      <c r="AC679" s="1495"/>
      <c r="AD679" s="1495"/>
      <c r="AE679" s="1495"/>
      <c r="AH679" s="33" t="s">
        <v>205</v>
      </c>
      <c r="AI679" s="1484"/>
      <c r="AJ679" s="1484"/>
      <c r="AK679" s="148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23"/>
      <c r="I680" s="1423"/>
      <c r="J680" s="1423"/>
      <c r="K680" s="1423"/>
      <c r="L680" s="1423"/>
      <c r="M680" s="1423"/>
      <c r="N680" s="1423"/>
      <c r="O680" s="1423"/>
      <c r="P680" s="1423"/>
      <c r="Q680" s="1423"/>
      <c r="R680" s="1423"/>
      <c r="T680" s="22"/>
      <c r="U680" t="s">
        <v>18</v>
      </c>
      <c r="AA680" s="1423"/>
      <c r="AB680" s="1423"/>
      <c r="AC680" s="1423"/>
      <c r="AD680" s="1423"/>
      <c r="AE680" s="1423"/>
      <c r="AF680" s="1423"/>
      <c r="AG680" s="1423"/>
      <c r="AH680" s="1423"/>
      <c r="AI680" s="1423"/>
      <c r="AJ680" s="1423"/>
      <c r="AK680" s="142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431" t="s">
        <v>668</v>
      </c>
      <c r="O681" s="1431"/>
      <c r="T681" s="22"/>
      <c r="U681" t="s">
        <v>20</v>
      </c>
      <c r="AG681" s="1431" t="s">
        <v>668</v>
      </c>
      <c r="AH681" s="1431"/>
      <c r="AZ681" s="3"/>
    </row>
    <row r="682" spans="1:157" ht="12.9" customHeight="1">
      <c r="A682" s="22"/>
      <c r="T682" s="22"/>
      <c r="AZ682" s="3"/>
    </row>
    <row r="683" spans="1:157" ht="12.9" customHeight="1">
      <c r="A683" s="55" t="s">
        <v>460</v>
      </c>
      <c r="B683" t="s">
        <v>462</v>
      </c>
      <c r="G683" s="1496">
        <f>C643</f>
        <v>0</v>
      </c>
      <c r="H683" s="1496"/>
      <c r="I683" s="1496"/>
      <c r="J683" s="1496"/>
      <c r="K683" s="1496"/>
      <c r="L683" s="1496"/>
      <c r="M683" s="1496"/>
      <c r="N683" s="1496"/>
      <c r="O683" s="1496"/>
      <c r="P683" s="1496"/>
      <c r="Q683" s="1496"/>
      <c r="R683" s="1496"/>
      <c r="T683" s="55" t="s">
        <v>645</v>
      </c>
      <c r="U683" t="s">
        <v>462</v>
      </c>
      <c r="Z683" s="1496">
        <f>C644</f>
        <v>0</v>
      </c>
      <c r="AA683" s="1496"/>
      <c r="AB683" s="1496"/>
      <c r="AC683" s="1496"/>
      <c r="AD683" s="1496"/>
      <c r="AE683" s="1496"/>
      <c r="AF683" s="1496"/>
      <c r="AG683" s="1496"/>
      <c r="AH683" s="1496"/>
      <c r="AI683" s="1496"/>
      <c r="AJ683" s="1496"/>
      <c r="AK683" s="1496"/>
      <c r="AZ683" s="3"/>
    </row>
    <row r="684" spans="1:157" ht="12.9" customHeight="1">
      <c r="A684" s="22"/>
      <c r="B684" t="s">
        <v>85</v>
      </c>
      <c r="G684" s="1423"/>
      <c r="H684" s="1423"/>
      <c r="I684" s="1423"/>
      <c r="J684" s="1423"/>
      <c r="K684" s="1423"/>
      <c r="L684" s="1423"/>
      <c r="M684" s="1423"/>
      <c r="N684" s="1423"/>
      <c r="O684" s="1423"/>
      <c r="P684" s="1423"/>
      <c r="Q684" s="1423"/>
      <c r="R684" s="1423"/>
      <c r="T684" s="22"/>
      <c r="U684" t="s">
        <v>85</v>
      </c>
      <c r="Z684" s="1423"/>
      <c r="AA684" s="1423"/>
      <c r="AB684" s="1423"/>
      <c r="AC684" s="1423"/>
      <c r="AD684" s="1423"/>
      <c r="AE684" s="1423"/>
      <c r="AF684" s="1423"/>
      <c r="AG684" s="1423"/>
      <c r="AH684" s="1423"/>
      <c r="AI684" s="1423"/>
      <c r="AJ684" s="1423"/>
      <c r="AK684" s="1423"/>
      <c r="AZ684" s="3"/>
    </row>
    <row r="685" spans="1:157" ht="12.9" customHeight="1">
      <c r="A685" s="22"/>
      <c r="B685" t="s">
        <v>579</v>
      </c>
      <c r="G685" s="1423"/>
      <c r="H685" s="1423"/>
      <c r="I685" s="1423"/>
      <c r="J685" s="1423"/>
      <c r="K685" s="1423"/>
      <c r="L685" s="1423"/>
      <c r="M685" s="1423"/>
      <c r="N685" s="1423"/>
      <c r="O685" s="1423"/>
      <c r="P685" s="1423"/>
      <c r="Q685" s="1423"/>
      <c r="R685" s="1423"/>
      <c r="T685" s="22"/>
      <c r="U685" t="s">
        <v>579</v>
      </c>
      <c r="Z685" s="1388"/>
      <c r="AA685" s="1388"/>
      <c r="AB685" s="1388"/>
      <c r="AC685" s="1388"/>
      <c r="AD685" s="1388"/>
      <c r="AE685" s="1388"/>
      <c r="AF685" s="1388"/>
      <c r="AG685" s="1388"/>
      <c r="AH685" s="1388"/>
      <c r="AI685" s="1388"/>
      <c r="AJ685" s="1388"/>
      <c r="AK685" s="1388"/>
      <c r="AZ685" s="3"/>
    </row>
    <row r="686" spans="1:157" ht="12.9" customHeight="1">
      <c r="A686" s="22"/>
      <c r="B686" t="s">
        <v>17</v>
      </c>
      <c r="G686" s="1423"/>
      <c r="H686" s="1423"/>
      <c r="I686" s="1423"/>
      <c r="J686" s="1423"/>
      <c r="K686" s="1423"/>
      <c r="L686" s="1423"/>
      <c r="M686" s="1423"/>
      <c r="N686" s="1423"/>
      <c r="O686" s="1423"/>
      <c r="P686" s="1423"/>
      <c r="Q686" s="1423"/>
      <c r="R686" s="1423"/>
      <c r="T686" s="22"/>
      <c r="U686" t="s">
        <v>17</v>
      </c>
      <c r="Z686" s="1388"/>
      <c r="AA686" s="1388"/>
      <c r="AB686" s="1388"/>
      <c r="AC686" s="1388"/>
      <c r="AD686" s="1388"/>
      <c r="AE686" s="1388"/>
      <c r="AF686" s="1388"/>
      <c r="AG686" s="1388"/>
      <c r="AH686" s="1388"/>
      <c r="AI686" s="1388"/>
      <c r="AJ686" s="1388"/>
      <c r="AK686" s="1388"/>
      <c r="AZ686" s="3"/>
    </row>
    <row r="687" spans="1:157" ht="12.9" customHeight="1">
      <c r="A687" s="22"/>
      <c r="B687" t="s">
        <v>315</v>
      </c>
      <c r="G687" s="1495"/>
      <c r="H687" s="1495"/>
      <c r="I687" s="1495"/>
      <c r="J687" s="1495"/>
      <c r="K687" s="1495"/>
      <c r="L687" s="1495"/>
      <c r="O687" s="33" t="s">
        <v>205</v>
      </c>
      <c r="P687" s="1484"/>
      <c r="Q687" s="1484"/>
      <c r="R687" s="1484"/>
      <c r="T687" s="22"/>
      <c r="U687" t="s">
        <v>315</v>
      </c>
      <c r="Z687" s="1495"/>
      <c r="AA687" s="1495"/>
      <c r="AB687" s="1495"/>
      <c r="AC687" s="1495"/>
      <c r="AD687" s="1495"/>
      <c r="AE687" s="1495"/>
      <c r="AH687" s="33" t="s">
        <v>205</v>
      </c>
      <c r="AI687" s="1484"/>
      <c r="AJ687" s="1484"/>
      <c r="AK687" s="1484"/>
      <c r="AZ687" s="3"/>
    </row>
    <row r="688" spans="1:157" ht="12.9" customHeight="1">
      <c r="A688" s="22"/>
      <c r="B688" t="s">
        <v>18</v>
      </c>
      <c r="H688" s="1423"/>
      <c r="I688" s="1423"/>
      <c r="J688" s="1423"/>
      <c r="K688" s="1423"/>
      <c r="L688" s="1423"/>
      <c r="M688" s="1423"/>
      <c r="N688" s="1423"/>
      <c r="O688" s="1423"/>
      <c r="P688" s="1423"/>
      <c r="Q688" s="1423"/>
      <c r="R688" s="1423"/>
      <c r="T688" s="22"/>
      <c r="U688" t="s">
        <v>18</v>
      </c>
      <c r="AA688" s="1423"/>
      <c r="AB688" s="1423"/>
      <c r="AC688" s="1423"/>
      <c r="AD688" s="1423"/>
      <c r="AE688" s="1423"/>
      <c r="AF688" s="1423"/>
      <c r="AG688" s="1423"/>
      <c r="AH688" s="1423"/>
      <c r="AI688" s="1423"/>
      <c r="AJ688" s="1423"/>
      <c r="AK688" s="1423"/>
      <c r="AZ688" s="3"/>
    </row>
    <row r="689" spans="1:52" ht="12.9" customHeight="1">
      <c r="A689" s="22"/>
      <c r="B689" t="s">
        <v>20</v>
      </c>
      <c r="N689" s="1431" t="s">
        <v>668</v>
      </c>
      <c r="O689" s="1431"/>
      <c r="T689" s="22"/>
      <c r="U689" t="s">
        <v>20</v>
      </c>
      <c r="AG689" s="1431" t="s">
        <v>668</v>
      </c>
      <c r="AH689" s="1431"/>
      <c r="AZ689" s="3"/>
    </row>
    <row r="690" spans="1:52" ht="12.9" customHeight="1">
      <c r="A690" s="22"/>
      <c r="T690" s="22"/>
      <c r="AZ690" s="3"/>
    </row>
    <row r="691" spans="1:52" ht="12.9" customHeight="1">
      <c r="A691" s="55" t="s">
        <v>361</v>
      </c>
      <c r="B691" t="s">
        <v>462</v>
      </c>
      <c r="G691" s="1496">
        <f>C645</f>
        <v>0</v>
      </c>
      <c r="H691" s="1496"/>
      <c r="I691" s="1496"/>
      <c r="J691" s="1496"/>
      <c r="K691" s="1496"/>
      <c r="L691" s="1496"/>
      <c r="M691" s="1496"/>
      <c r="N691" s="1496"/>
      <c r="O691" s="1496"/>
      <c r="P691" s="1496"/>
      <c r="Q691" s="1496"/>
      <c r="R691" s="1496"/>
      <c r="T691" s="55" t="s">
        <v>362</v>
      </c>
      <c r="U691" t="s">
        <v>462</v>
      </c>
      <c r="Z691" s="1496">
        <f>C646</f>
        <v>0</v>
      </c>
      <c r="AA691" s="1496"/>
      <c r="AB691" s="1496"/>
      <c r="AC691" s="1496"/>
      <c r="AD691" s="1496"/>
      <c r="AE691" s="1496"/>
      <c r="AF691" s="1496"/>
      <c r="AG691" s="1496"/>
      <c r="AH691" s="1496"/>
      <c r="AI691" s="1496"/>
      <c r="AJ691" s="1496"/>
      <c r="AK691" s="1496"/>
      <c r="AZ691" s="3"/>
    </row>
    <row r="692" spans="1:52" ht="12.9" customHeight="1">
      <c r="B692" t="s">
        <v>85</v>
      </c>
      <c r="G692" s="1423"/>
      <c r="H692" s="1423"/>
      <c r="I692" s="1423"/>
      <c r="J692" s="1423"/>
      <c r="K692" s="1423"/>
      <c r="L692" s="1423"/>
      <c r="M692" s="1423"/>
      <c r="N692" s="1423"/>
      <c r="O692" s="1423"/>
      <c r="P692" s="1423"/>
      <c r="Q692" s="1423"/>
      <c r="R692" s="1423"/>
      <c r="T692" s="22"/>
      <c r="U692" t="s">
        <v>85</v>
      </c>
      <c r="Z692" s="1423"/>
      <c r="AA692" s="1423"/>
      <c r="AB692" s="1423"/>
      <c r="AC692" s="1423"/>
      <c r="AD692" s="1423"/>
      <c r="AE692" s="1423"/>
      <c r="AF692" s="1423"/>
      <c r="AG692" s="1423"/>
      <c r="AH692" s="1423"/>
      <c r="AI692" s="1423"/>
      <c r="AJ692" s="1423"/>
      <c r="AK692" s="1423"/>
      <c r="AZ692" s="3"/>
    </row>
    <row r="693" spans="1:52" ht="12.9" customHeight="1">
      <c r="B693" t="s">
        <v>579</v>
      </c>
      <c r="G693" s="1423"/>
      <c r="H693" s="1423"/>
      <c r="I693" s="1423"/>
      <c r="J693" s="1423"/>
      <c r="K693" s="1423"/>
      <c r="L693" s="1423"/>
      <c r="M693" s="1423"/>
      <c r="N693" s="1423"/>
      <c r="O693" s="1423"/>
      <c r="P693" s="1423"/>
      <c r="Q693" s="1423"/>
      <c r="R693" s="1423"/>
      <c r="U693" t="s">
        <v>579</v>
      </c>
      <c r="Z693" s="1388"/>
      <c r="AA693" s="1388"/>
      <c r="AB693" s="1388"/>
      <c r="AC693" s="1388"/>
      <c r="AD693" s="1388"/>
      <c r="AE693" s="1388"/>
      <c r="AF693" s="1388"/>
      <c r="AG693" s="1388"/>
      <c r="AH693" s="1388"/>
      <c r="AI693" s="1388"/>
      <c r="AJ693" s="1388"/>
      <c r="AK693" s="1388"/>
      <c r="AZ693" s="3"/>
    </row>
    <row r="694" spans="1:52" ht="12.9" customHeight="1">
      <c r="B694" t="s">
        <v>17</v>
      </c>
      <c r="G694" s="1423"/>
      <c r="H694" s="1423"/>
      <c r="I694" s="1423"/>
      <c r="J694" s="1423"/>
      <c r="K694" s="1423"/>
      <c r="L694" s="1423"/>
      <c r="M694" s="1423"/>
      <c r="N694" s="1423"/>
      <c r="O694" s="1423"/>
      <c r="P694" s="1423"/>
      <c r="Q694" s="1423"/>
      <c r="R694" s="1423"/>
      <c r="U694" t="s">
        <v>17</v>
      </c>
      <c r="Z694" s="1388"/>
      <c r="AA694" s="1388"/>
      <c r="AB694" s="1388"/>
      <c r="AC694" s="1388"/>
      <c r="AD694" s="1388"/>
      <c r="AE694" s="1388"/>
      <c r="AF694" s="1388"/>
      <c r="AG694" s="1388"/>
      <c r="AH694" s="1388"/>
      <c r="AI694" s="1388"/>
      <c r="AJ694" s="1388"/>
      <c r="AK694" s="1388"/>
      <c r="AZ694" s="3"/>
    </row>
    <row r="695" spans="1:52" ht="12.9" customHeight="1">
      <c r="B695" t="s">
        <v>315</v>
      </c>
      <c r="G695" s="1495"/>
      <c r="H695" s="1495"/>
      <c r="I695" s="1495"/>
      <c r="J695" s="1495"/>
      <c r="K695" s="1495"/>
      <c r="L695" s="1495"/>
      <c r="O695" s="33" t="s">
        <v>205</v>
      </c>
      <c r="P695" s="1484"/>
      <c r="Q695" s="1484"/>
      <c r="R695" s="1484"/>
      <c r="U695" t="s">
        <v>315</v>
      </c>
      <c r="Z695" s="1495"/>
      <c r="AA695" s="1495"/>
      <c r="AB695" s="1495"/>
      <c r="AC695" s="1495"/>
      <c r="AD695" s="1495"/>
      <c r="AE695" s="1495"/>
      <c r="AH695" s="33" t="s">
        <v>205</v>
      </c>
      <c r="AI695" s="1484"/>
      <c r="AJ695" s="1484"/>
      <c r="AK695" s="1484"/>
      <c r="AZ695" s="3"/>
    </row>
    <row r="696" spans="1:52" ht="12.9" customHeight="1">
      <c r="B696" t="s">
        <v>18</v>
      </c>
      <c r="H696" s="1423"/>
      <c r="I696" s="1423"/>
      <c r="J696" s="1423"/>
      <c r="K696" s="1423"/>
      <c r="L696" s="1423"/>
      <c r="M696" s="1423"/>
      <c r="N696" s="1423"/>
      <c r="O696" s="1423"/>
      <c r="P696" s="1423"/>
      <c r="Q696" s="1423"/>
      <c r="R696" s="1423"/>
      <c r="U696" t="s">
        <v>18</v>
      </c>
      <c r="AA696" s="1423"/>
      <c r="AB696" s="1423"/>
      <c r="AC696" s="1423"/>
      <c r="AD696" s="1423"/>
      <c r="AE696" s="1423"/>
      <c r="AF696" s="1423"/>
      <c r="AG696" s="1423"/>
      <c r="AH696" s="1423"/>
      <c r="AI696" s="1423"/>
      <c r="AJ696" s="1423"/>
      <c r="AK696" s="1423"/>
      <c r="AZ696" s="3"/>
    </row>
    <row r="697" spans="1:52" ht="12.9" customHeight="1">
      <c r="B697" t="s">
        <v>20</v>
      </c>
      <c r="N697" s="1431" t="s">
        <v>668</v>
      </c>
      <c r="O697" s="1431"/>
      <c r="U697" t="s">
        <v>20</v>
      </c>
      <c r="AG697" s="1431" t="s">
        <v>668</v>
      </c>
      <c r="AH697" s="1431"/>
      <c r="AZ697" s="3"/>
    </row>
    <row r="698" spans="1:52" ht="12.9" customHeight="1">
      <c r="AZ698" s="3"/>
    </row>
    <row r="699" spans="1:52" ht="12.9" customHeight="1">
      <c r="A699" s="2" t="s">
        <v>575</v>
      </c>
      <c r="C699" s="2" t="s">
        <v>326</v>
      </c>
      <c r="E699" s="130"/>
      <c r="F699" s="130"/>
      <c r="G699" s="130"/>
      <c r="H699" s="130"/>
      <c r="AZ699" s="3"/>
    </row>
    <row r="700" spans="1:52" ht="12.9" customHeight="1">
      <c r="B700" s="135"/>
      <c r="C700" s="135"/>
      <c r="D700" s="1030" t="s">
        <v>2612</v>
      </c>
      <c r="E700" s="135"/>
      <c r="F700" s="135"/>
      <c r="G700" s="135"/>
      <c r="H700" s="135"/>
      <c r="AZ700" s="3"/>
    </row>
    <row r="701" spans="1:52" ht="12.9" customHeight="1">
      <c r="B701" s="135"/>
      <c r="C701" s="135"/>
      <c r="E701" s="136" t="s">
        <v>433</v>
      </c>
      <c r="F701" s="135"/>
      <c r="G701" s="135"/>
      <c r="H701" s="135"/>
      <c r="AE701" s="1431" t="s">
        <v>544</v>
      </c>
      <c r="AF701" s="1431"/>
      <c r="AZ701" s="3"/>
    </row>
    <row r="702" spans="1:52" ht="12.9" customHeight="1">
      <c r="B702" s="135"/>
      <c r="C702" s="135"/>
      <c r="D702" s="136" t="s">
        <v>436</v>
      </c>
      <c r="E702" s="135"/>
      <c r="F702" s="135"/>
      <c r="G702" s="135"/>
      <c r="H702" s="135"/>
      <c r="AE702" s="1431" t="s">
        <v>668</v>
      </c>
      <c r="AF702" s="1431"/>
      <c r="AZ702" s="3"/>
    </row>
    <row r="703" spans="1:52" ht="12.9" customHeight="1">
      <c r="B703" s="135"/>
      <c r="C703" s="135"/>
      <c r="D703" s="136" t="s">
        <v>919</v>
      </c>
      <c r="E703" s="135"/>
      <c r="F703" s="135"/>
      <c r="G703" s="135"/>
      <c r="H703" s="135"/>
      <c r="AE703" s="1507">
        <v>46056</v>
      </c>
      <c r="AF703" s="1507"/>
      <c r="AG703" s="1507"/>
      <c r="AH703" s="1507"/>
      <c r="AI703" s="1507"/>
    </row>
    <row r="704" spans="1:52" ht="12.9" customHeight="1">
      <c r="B704" s="135"/>
      <c r="C704" s="135"/>
      <c r="D704" s="317" t="s">
        <v>982</v>
      </c>
      <c r="E704" s="135"/>
      <c r="F704" s="135"/>
      <c r="G704" s="135"/>
      <c r="H704" s="135"/>
      <c r="AE704" s="1675">
        <v>46154</v>
      </c>
      <c r="AF704" s="1675"/>
      <c r="AG704" s="1675"/>
      <c r="AH704" s="1675"/>
      <c r="AI704" s="1675"/>
    </row>
    <row r="705" spans="1:110" ht="12.9" customHeight="1">
      <c r="B705" s="135"/>
      <c r="C705" s="135"/>
    </row>
    <row r="706" spans="1:110" ht="12.9" customHeight="1">
      <c r="B706" s="135"/>
      <c r="C706" s="135"/>
      <c r="D706" s="136" t="s">
        <v>815</v>
      </c>
      <c r="E706" s="135"/>
      <c r="F706" s="135"/>
      <c r="G706" s="135"/>
      <c r="H706" s="135"/>
      <c r="AE706" s="1507">
        <v>46327</v>
      </c>
      <c r="AF706" s="1507"/>
      <c r="AG706" s="1507"/>
      <c r="AH706" s="1507"/>
      <c r="AI706" s="1507"/>
    </row>
    <row r="707" spans="1:110" ht="12.9" customHeight="1">
      <c r="B707" s="135"/>
      <c r="C707" s="135"/>
      <c r="D707" s="136" t="s">
        <v>434</v>
      </c>
      <c r="E707" s="135"/>
      <c r="F707" s="135"/>
      <c r="G707" s="135"/>
      <c r="H707" s="135"/>
      <c r="AE707" s="1660">
        <f>'[1]4%'!$I$126</f>
        <v>0.3</v>
      </c>
      <c r="AF707" s="1660"/>
      <c r="AG707" s="1660"/>
      <c r="AH707" s="1660"/>
      <c r="AI707" s="1660"/>
    </row>
    <row r="708" spans="1:110" ht="12.9" customHeight="1">
      <c r="B708" s="135"/>
      <c r="C708" s="135"/>
      <c r="D708" s="136" t="s">
        <v>435</v>
      </c>
      <c r="E708" s="135"/>
      <c r="F708" s="135"/>
      <c r="G708" s="135"/>
      <c r="H708" s="135"/>
      <c r="W708" s="1496" t="str">
        <f>H344</f>
        <v>California Municipal Finance Authority</v>
      </c>
      <c r="X708" s="1496"/>
      <c r="Y708" s="1496"/>
      <c r="Z708" s="1496"/>
      <c r="AA708" s="1496"/>
      <c r="AB708" s="1496"/>
      <c r="AC708" s="1496"/>
      <c r="AD708" s="1496"/>
      <c r="AE708" s="1496"/>
      <c r="AF708" s="1496"/>
      <c r="AG708" s="1496"/>
      <c r="AH708" s="1496"/>
      <c r="AI708" s="1496"/>
      <c r="AJ708" s="1496"/>
      <c r="AK708" s="1496"/>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431" t="s">
        <v>668</v>
      </c>
      <c r="AF710" s="1431"/>
    </row>
    <row r="711" spans="1:110" ht="12.9" customHeight="1">
      <c r="B711" s="135"/>
      <c r="C711" s="135"/>
      <c r="D711" s="136" t="s">
        <v>441</v>
      </c>
      <c r="E711" s="135"/>
      <c r="F711" s="135"/>
      <c r="G711" s="135"/>
      <c r="H711" s="135"/>
      <c r="W711" s="1423" t="s">
        <v>590</v>
      </c>
      <c r="X711" s="1423"/>
      <c r="Y711" s="1423"/>
      <c r="Z711" s="1423"/>
      <c r="AA711" s="1423"/>
      <c r="AB711" s="1423"/>
      <c r="AC711" s="1423"/>
      <c r="AD711" s="1423"/>
      <c r="AE711" s="1423"/>
      <c r="AF711" s="1423"/>
      <c r="AG711" s="1423"/>
      <c r="AH711" s="1423"/>
      <c r="AI711" s="1423"/>
      <c r="AJ711" s="1423"/>
      <c r="AK711" s="1423"/>
    </row>
    <row r="712" spans="1:110" ht="12.9" customHeight="1">
      <c r="B712" s="135"/>
      <c r="C712" s="135"/>
      <c r="D712" s="136" t="s">
        <v>87</v>
      </c>
      <c r="E712" s="135"/>
      <c r="F712" s="135"/>
      <c r="G712" s="135"/>
      <c r="H712" s="135"/>
      <c r="J712" s="1423"/>
      <c r="K712" s="1423"/>
      <c r="L712" s="1423"/>
      <c r="M712" s="1423"/>
      <c r="N712" s="1423"/>
      <c r="O712" s="1423"/>
      <c r="P712" s="1423"/>
      <c r="Q712" s="1423"/>
      <c r="R712" s="1423"/>
      <c r="S712" s="1423"/>
      <c r="T712" s="1423"/>
      <c r="U712" s="1423"/>
      <c r="V712" s="1423"/>
      <c r="W712" s="1423"/>
      <c r="X712" s="1423"/>
      <c r="BB712" s="34"/>
      <c r="BC712" s="34"/>
      <c r="BD712" s="34"/>
      <c r="BE712" s="3"/>
      <c r="BF712" s="3"/>
      <c r="BJ712" s="3"/>
      <c r="BK712" s="3"/>
      <c r="BL712" s="3"/>
      <c r="BM712" s="3"/>
      <c r="BN712" s="34"/>
      <c r="BO712" s="34"/>
    </row>
    <row r="713" spans="1:110" ht="12.9" customHeight="1">
      <c r="B713" s="135"/>
      <c r="C713" s="135"/>
      <c r="D713" s="136" t="s">
        <v>88</v>
      </c>
      <c r="J713" s="1495"/>
      <c r="K713" s="1495"/>
      <c r="L713" s="1495"/>
      <c r="M713" s="1495"/>
      <c r="N713" s="1495"/>
      <c r="O713" s="1495"/>
      <c r="P713" s="4" t="s">
        <v>205</v>
      </c>
      <c r="Q713" s="4"/>
      <c r="R713" s="1484"/>
      <c r="S713" s="1484"/>
      <c r="T713" s="148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423" t="s">
        <v>306</v>
      </c>
      <c r="X714" s="1423"/>
      <c r="Y714" s="1423"/>
      <c r="Z714" s="1423"/>
      <c r="AA714" s="1423"/>
      <c r="AB714" s="1423"/>
      <c r="AC714" s="1423"/>
      <c r="AD714" s="1423"/>
      <c r="AE714" s="1423"/>
      <c r="AF714" s="1423"/>
      <c r="AG714" s="1423"/>
      <c r="AH714" s="1423"/>
      <c r="AI714" s="1423"/>
      <c r="AJ714" s="1423"/>
      <c r="AK714" s="142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23" t="s">
        <v>333</v>
      </c>
      <c r="F715" s="1423"/>
      <c r="G715" s="1423"/>
      <c r="H715" s="1423"/>
      <c r="I715" s="1423"/>
      <c r="J715" s="1423"/>
      <c r="K715" s="1423"/>
      <c r="L715" s="1423"/>
      <c r="M715" s="1423"/>
      <c r="N715" s="1423"/>
      <c r="O715" s="1423"/>
      <c r="P715" s="1423"/>
      <c r="Q715" s="1423"/>
      <c r="R715" s="1423"/>
      <c r="S715" s="1423"/>
      <c r="T715" s="1423"/>
      <c r="U715" s="1423"/>
      <c r="V715" s="1423"/>
      <c r="W715" s="1423"/>
      <c r="X715" s="1423"/>
      <c r="Y715" s="1423"/>
      <c r="Z715" s="1423"/>
      <c r="AA715" s="1423"/>
      <c r="AB715" s="1423"/>
      <c r="AC715" s="1423"/>
      <c r="AD715" s="1423"/>
      <c r="AE715" s="1423"/>
      <c r="AF715" s="1423"/>
      <c r="AG715" s="1423"/>
      <c r="AH715" s="1423"/>
      <c r="AI715" s="1423"/>
      <c r="AJ715" s="1423"/>
      <c r="AK715" s="142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611" t="s">
        <v>388</v>
      </c>
      <c r="C722" s="1509"/>
      <c r="D722" s="1509"/>
      <c r="E722" s="1509"/>
      <c r="F722" s="1510"/>
      <c r="G722" s="1611" t="s">
        <v>284</v>
      </c>
      <c r="H722" s="1509"/>
      <c r="I722" s="1509"/>
      <c r="J722" s="1510"/>
      <c r="K722" s="1523" t="s">
        <v>1667</v>
      </c>
      <c r="L722" s="1524"/>
      <c r="M722" s="1524"/>
      <c r="N722" s="1525"/>
      <c r="O722" s="1611" t="s">
        <v>446</v>
      </c>
      <c r="P722" s="1509"/>
      <c r="Q722" s="1509"/>
      <c r="R722" s="1509"/>
      <c r="S722" s="1510"/>
      <c r="T722" s="1508" t="s">
        <v>1922</v>
      </c>
      <c r="U722" s="1509"/>
      <c r="V722" s="1509"/>
      <c r="W722" s="1510"/>
      <c r="X722" s="1508" t="s">
        <v>1924</v>
      </c>
      <c r="Y722" s="1509"/>
      <c r="Z722" s="1509"/>
      <c r="AA722" s="1509"/>
      <c r="AB722" s="1510"/>
      <c r="AC722" s="1508" t="s">
        <v>1923</v>
      </c>
      <c r="AD722" s="1509"/>
      <c r="AE722" s="1509"/>
      <c r="AF722" s="1509"/>
      <c r="AG722" s="1510"/>
      <c r="AH722" s="1508" t="s">
        <v>1925</v>
      </c>
      <c r="AI722" s="1509"/>
      <c r="AJ722" s="1510"/>
      <c r="AK722" s="1508" t="s">
        <v>1952</v>
      </c>
      <c r="AL722" s="1509"/>
      <c r="AM722" s="1509"/>
      <c r="AN722" s="1509"/>
      <c r="AO722" s="151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511"/>
      <c r="C723" s="1512"/>
      <c r="D723" s="1512"/>
      <c r="E723" s="1512"/>
      <c r="F723" s="1513"/>
      <c r="G723" s="1511"/>
      <c r="H723" s="1512"/>
      <c r="I723" s="1512"/>
      <c r="J723" s="1513"/>
      <c r="K723" s="1526"/>
      <c r="L723" s="1527"/>
      <c r="M723" s="1527"/>
      <c r="N723" s="1528"/>
      <c r="O723" s="1511"/>
      <c r="P723" s="1512"/>
      <c r="Q723" s="1512"/>
      <c r="R723" s="1512"/>
      <c r="S723" s="1513"/>
      <c r="T723" s="1511"/>
      <c r="U723" s="1512"/>
      <c r="V723" s="1512"/>
      <c r="W723" s="1513"/>
      <c r="X723" s="1511"/>
      <c r="Y723" s="1512"/>
      <c r="Z723" s="1512"/>
      <c r="AA723" s="1512"/>
      <c r="AB723" s="1513"/>
      <c r="AC723" s="1511"/>
      <c r="AD723" s="1512"/>
      <c r="AE723" s="1512"/>
      <c r="AF723" s="1512"/>
      <c r="AG723" s="1513"/>
      <c r="AH723" s="1511"/>
      <c r="AI723" s="1512"/>
      <c r="AJ723" s="1513"/>
      <c r="AK723" s="1511"/>
      <c r="AL723" s="1512"/>
      <c r="AM723" s="1512"/>
      <c r="AN723" s="1512"/>
      <c r="AO723" s="151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511"/>
      <c r="C724" s="1512"/>
      <c r="D724" s="1512"/>
      <c r="E724" s="1512"/>
      <c r="F724" s="1513"/>
      <c r="G724" s="1511"/>
      <c r="H724" s="1512"/>
      <c r="I724" s="1512"/>
      <c r="J724" s="1513"/>
      <c r="K724" s="1526"/>
      <c r="L724" s="1527"/>
      <c r="M724" s="1527"/>
      <c r="N724" s="1528"/>
      <c r="O724" s="1511"/>
      <c r="P724" s="1512"/>
      <c r="Q724" s="1512"/>
      <c r="R724" s="1512"/>
      <c r="S724" s="1513"/>
      <c r="T724" s="1511"/>
      <c r="U724" s="1512"/>
      <c r="V724" s="1512"/>
      <c r="W724" s="1513"/>
      <c r="X724" s="1511"/>
      <c r="Y724" s="1512"/>
      <c r="Z724" s="1512"/>
      <c r="AA724" s="1512"/>
      <c r="AB724" s="1513"/>
      <c r="AC724" s="1511"/>
      <c r="AD724" s="1512"/>
      <c r="AE724" s="1512"/>
      <c r="AF724" s="1512"/>
      <c r="AG724" s="1513"/>
      <c r="AH724" s="1511"/>
      <c r="AI724" s="1512"/>
      <c r="AJ724" s="1513"/>
      <c r="AK724" s="1511"/>
      <c r="AL724" s="1512"/>
      <c r="AM724" s="1512"/>
      <c r="AN724" s="1512"/>
      <c r="AO724" s="1513"/>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514"/>
      <c r="C725" s="1515"/>
      <c r="D725" s="1515"/>
      <c r="E725" s="1515"/>
      <c r="F725" s="1516"/>
      <c r="G725" s="1514"/>
      <c r="H725" s="1515"/>
      <c r="I725" s="1515"/>
      <c r="J725" s="1516"/>
      <c r="K725" s="1526"/>
      <c r="L725" s="1527"/>
      <c r="M725" s="1527"/>
      <c r="N725" s="1528"/>
      <c r="O725" s="1514"/>
      <c r="P725" s="1515"/>
      <c r="Q725" s="1515"/>
      <c r="R725" s="1515"/>
      <c r="S725" s="1516"/>
      <c r="T725" s="1514"/>
      <c r="U725" s="1515"/>
      <c r="V725" s="1515"/>
      <c r="W725" s="1516"/>
      <c r="X725" s="1514"/>
      <c r="Y725" s="1515"/>
      <c r="Z725" s="1515"/>
      <c r="AA725" s="1515"/>
      <c r="AB725" s="1516"/>
      <c r="AC725" s="1514"/>
      <c r="AD725" s="1515"/>
      <c r="AE725" s="1515"/>
      <c r="AF725" s="1515"/>
      <c r="AG725" s="1516"/>
      <c r="AH725" s="1514"/>
      <c r="AI725" s="1515"/>
      <c r="AJ725" s="1516"/>
      <c r="AK725" s="1514"/>
      <c r="AL725" s="1515"/>
      <c r="AM725" s="1515"/>
      <c r="AN725" s="1515"/>
      <c r="AO725" s="1516"/>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3"/>
      <c r="CJ725" s="1345"/>
      <c r="CK725" s="121" t="s">
        <v>474</v>
      </c>
      <c r="CL725" s="122"/>
      <c r="CM725" s="1343"/>
      <c r="CN725" s="1345"/>
      <c r="CO725" s="3"/>
      <c r="CP725" s="1676" t="s">
        <v>632</v>
      </c>
      <c r="CQ725" s="1677"/>
      <c r="CR725" s="1677"/>
      <c r="CS725" s="1677"/>
      <c r="CT725" s="1678"/>
      <c r="CU725" s="1497" t="s">
        <v>324</v>
      </c>
      <c r="CV725" s="1497"/>
      <c r="CW725" s="1497"/>
      <c r="CX725" s="1497"/>
      <c r="CY725" s="1497"/>
      <c r="CZ725" s="1497" t="s">
        <v>163</v>
      </c>
      <c r="DA725" s="1497"/>
      <c r="DB725" s="1497"/>
      <c r="DC725" s="1497"/>
      <c r="DD725" s="1497"/>
      <c r="DE725" s="1497" t="s">
        <v>164</v>
      </c>
      <c r="DF725" s="1497"/>
      <c r="DG725" s="1497"/>
      <c r="DH725" s="1497"/>
      <c r="DI725" s="1497"/>
      <c r="DJ725" s="1497" t="s">
        <v>459</v>
      </c>
      <c r="DK725" s="1497"/>
      <c r="DL725" s="1497"/>
      <c r="DM725" s="1497"/>
      <c r="DN725" s="1497"/>
      <c r="DO725" s="1497" t="s">
        <v>30</v>
      </c>
      <c r="DP725" s="1497"/>
      <c r="DQ725" s="1497"/>
      <c r="DR725" s="1497"/>
      <c r="DS725" s="1497"/>
      <c r="DT725" s="89"/>
      <c r="DU725" s="1497" t="s">
        <v>632</v>
      </c>
      <c r="DV725" s="1497"/>
      <c r="DW725" s="1497"/>
      <c r="DX725" s="1497"/>
      <c r="DY725" s="1497"/>
      <c r="DZ725" s="1497" t="s">
        <v>324</v>
      </c>
      <c r="EA725" s="1497"/>
      <c r="EB725" s="1497"/>
      <c r="EC725" s="1497"/>
      <c r="ED725" s="1497"/>
      <c r="EE725" s="1497" t="s">
        <v>163</v>
      </c>
      <c r="EF725" s="1497"/>
      <c r="EG725" s="1497"/>
      <c r="EH725" s="1497"/>
      <c r="EI725" s="1497"/>
      <c r="EJ725" s="1497" t="s">
        <v>164</v>
      </c>
      <c r="EK725" s="1497"/>
      <c r="EL725" s="1497"/>
      <c r="EM725" s="1497"/>
      <c r="EN725" s="1497"/>
      <c r="EO725" s="1497" t="s">
        <v>459</v>
      </c>
      <c r="EP725" s="1497"/>
      <c r="EQ725" s="1497"/>
      <c r="ER725" s="1497"/>
      <c r="ES725" s="1497"/>
      <c r="ET725" s="1497" t="s">
        <v>30</v>
      </c>
      <c r="EU725" s="1497"/>
      <c r="EV725" s="1497"/>
      <c r="EW725" s="1497"/>
      <c r="EX725" s="1497"/>
      <c r="EY725" s="4"/>
      <c r="EZ725" s="1497" t="s">
        <v>632</v>
      </c>
      <c r="FA725" s="1497"/>
      <c r="FB725" s="1497"/>
      <c r="FC725" s="1497"/>
      <c r="FD725" s="1497"/>
      <c r="FE725" s="1497" t="s">
        <v>324</v>
      </c>
      <c r="FF725" s="1497"/>
      <c r="FG725" s="1497"/>
      <c r="FH725" s="1497"/>
      <c r="FI725" s="1497"/>
      <c r="FJ725" s="1497" t="s">
        <v>163</v>
      </c>
      <c r="FK725" s="1497"/>
      <c r="FL725" s="1497"/>
      <c r="FM725" s="1497"/>
      <c r="FN725" s="1497"/>
      <c r="FO725" s="1497" t="s">
        <v>164</v>
      </c>
      <c r="FP725" s="1497"/>
      <c r="FQ725" s="1497"/>
      <c r="FR725" s="1497"/>
      <c r="FS725" s="1497"/>
      <c r="FT725" s="1497" t="s">
        <v>459</v>
      </c>
      <c r="FU725" s="1497"/>
      <c r="FV725" s="1497"/>
      <c r="FW725" s="1497"/>
      <c r="FX725" s="1497"/>
      <c r="FY725" s="1497" t="s">
        <v>30</v>
      </c>
      <c r="FZ725" s="1497"/>
      <c r="GA725" s="1497"/>
      <c r="GB725" s="1497"/>
      <c r="GC725" s="1497"/>
    </row>
    <row r="726" spans="1:185" ht="12.9" customHeight="1">
      <c r="A726" s="4"/>
      <c r="B726" s="1362" t="s">
        <v>323</v>
      </c>
      <c r="C726" s="1363"/>
      <c r="D726" s="1363"/>
      <c r="E726" s="1363"/>
      <c r="F726" s="1364"/>
      <c r="G726" s="1371">
        <v>23</v>
      </c>
      <c r="H726" s="1372"/>
      <c r="I726" s="1372"/>
      <c r="J726" s="1373"/>
      <c r="K726" s="1374">
        <v>347</v>
      </c>
      <c r="L726" s="1375"/>
      <c r="M726" s="1375"/>
      <c r="N726" s="1376"/>
      <c r="O726" s="1377">
        <v>987</v>
      </c>
      <c r="P726" s="1378"/>
      <c r="Q726" s="1378"/>
      <c r="R726" s="1378"/>
      <c r="S726" s="1379"/>
      <c r="T726" s="1377">
        <v>50</v>
      </c>
      <c r="U726" s="1378"/>
      <c r="V726" s="1378"/>
      <c r="W726" s="1379"/>
      <c r="X726" s="1365">
        <f t="shared" ref="X726:X749" si="10">O726+T726</f>
        <v>1037</v>
      </c>
      <c r="Y726" s="1366"/>
      <c r="Z726" s="1366"/>
      <c r="AA726" s="1366"/>
      <c r="AB726" s="1367"/>
      <c r="AC726" s="1380">
        <v>0.3</v>
      </c>
      <c r="AD726" s="1381"/>
      <c r="AE726" s="1381"/>
      <c r="AF726" s="1381"/>
      <c r="AG726" s="1382"/>
      <c r="AH726" s="1368">
        <f>IF($AC726&gt;0,($X726/$AZ726), "")</f>
        <v>0.29493742889647329</v>
      </c>
      <c r="AI726" s="1369"/>
      <c r="AJ726" s="1370"/>
      <c r="AK726" s="1362" t="s">
        <v>590</v>
      </c>
      <c r="AL726" s="1363"/>
      <c r="AM726" s="1363"/>
      <c r="AN726" s="1363"/>
      <c r="AO726" s="1364"/>
      <c r="AP726" s="3"/>
      <c r="AQ726" s="3"/>
      <c r="AR726" s="3"/>
      <c r="AS726" s="3"/>
      <c r="AZ726" s="118">
        <f t="shared" ref="AZ726:AZ760" si="11">IF($G726=0,"N/A",VLOOKUP($T$189,TC_Rent,(MATCH($B726,bedrooms,FALSE)),FALSE))</f>
        <v>3516</v>
      </c>
      <c r="BA726" s="3"/>
      <c r="BB726" s="3"/>
      <c r="BC726" s="3"/>
      <c r="BD726" s="3"/>
      <c r="BE726" s="204"/>
      <c r="BF726" s="293">
        <f t="shared" ref="BF726:BF760" si="12">G726</f>
        <v>23</v>
      </c>
      <c r="BG726" s="297">
        <f t="shared" ref="BG726:BG760" si="13">IF($BF$761=0,0,BF726/$BF$761)</f>
        <v>9.9137931034482762E-2</v>
      </c>
      <c r="BH726" s="298">
        <f t="shared" ref="BH726:BH760" si="14">IF(BG726=0,"",BG726*AC726)</f>
        <v>2.9741379310344828E-2</v>
      </c>
      <c r="BI726" s="3"/>
      <c r="BJ726" s="3"/>
      <c r="BK726" s="3"/>
      <c r="BL726" s="3"/>
      <c r="BM726" s="3"/>
      <c r="BN726" s="3"/>
      <c r="BS726" s="293">
        <f t="shared" ref="BS726:BS760" si="15">G726</f>
        <v>23</v>
      </c>
      <c r="BT726" s="297">
        <f t="shared" ref="BT726:BT760" si="16">IF($BS$761=0,0,BS726/$BS$761)</f>
        <v>9.9137931034482762E-2</v>
      </c>
      <c r="BU726" s="298">
        <f t="shared" ref="BU726:BU760" si="17">IF(BT726=0,"",BT726*AH726)</f>
        <v>2.9239486485426232E-2</v>
      </c>
      <c r="CC726" s="3"/>
      <c r="CD726" s="3"/>
      <c r="CE726" s="3"/>
      <c r="CF726" s="3"/>
      <c r="CG726" s="1358">
        <f>IF(AND(AC726&lt;=0.5,AC726&gt;=0.36),1,0)</f>
        <v>0</v>
      </c>
      <c r="CH726" s="1360"/>
      <c r="CI726" s="1343">
        <f>IF(CG726=1,G726,0)</f>
        <v>0</v>
      </c>
      <c r="CJ726" s="1345"/>
      <c r="CK726" s="1358">
        <f t="shared" ref="CK726:CK760" si="18">IF(AND(AC726&lt;=0.35,AC726&gt;0),1,0)</f>
        <v>1</v>
      </c>
      <c r="CL726" s="1360"/>
      <c r="CM726" s="1343">
        <f t="shared" ref="CM726:CM760" si="19">IF(CK726=1,G726,0)</f>
        <v>23</v>
      </c>
      <c r="CN726" s="1345"/>
      <c r="CO726" s="3"/>
      <c r="CP726" s="1340">
        <f t="shared" ref="CP726:CP760" si="20">IF(B726="SRO/Studio",G726,0)</f>
        <v>23</v>
      </c>
      <c r="CQ726" s="1341"/>
      <c r="CR726" s="1341"/>
      <c r="CS726" s="1341"/>
      <c r="CT726" s="1342"/>
      <c r="CU726" s="1361">
        <f t="shared" ref="CU726:CU760" si="21">IF(B726="1 Bedroom",G726,0)</f>
        <v>0</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5">
        <f t="shared" ref="DU726:DU760" si="26">IF(AND(B726="SRO/Studio",AC726&lt;=0.3),G726,0)</f>
        <v>23</v>
      </c>
      <c r="DV726" s="1385"/>
      <c r="DW726" s="1385"/>
      <c r="DX726" s="1385"/>
      <c r="DY726" s="1385"/>
      <c r="DZ726" s="1385">
        <f t="shared" ref="DZ726:DZ760" si="27">IF(AND(B726="1 Bedroom",AC726&lt;=0.3),G726,0)</f>
        <v>0</v>
      </c>
      <c r="EA726" s="1385"/>
      <c r="EB726" s="1385"/>
      <c r="EC726" s="1385"/>
      <c r="ED726" s="1385"/>
      <c r="EE726" s="1385">
        <f t="shared" ref="EE726:EE760" si="28">IF(AND(B726="2 Bedrooms",AC726&lt;=0.3),G726,0)</f>
        <v>0</v>
      </c>
      <c r="EF726" s="1385"/>
      <c r="EG726" s="1385"/>
      <c r="EH726" s="1385"/>
      <c r="EI726" s="1385"/>
      <c r="EJ726" s="1385">
        <f t="shared" ref="EJ726:EJ760" si="29">IF(AND(B726="3 Bedrooms",AC726&lt;=0.3),G726,0)</f>
        <v>0</v>
      </c>
      <c r="EK726" s="1385"/>
      <c r="EL726" s="1385"/>
      <c r="EM726" s="1385"/>
      <c r="EN726" s="1385"/>
      <c r="EO726" s="1385">
        <f t="shared" ref="EO726:EO760" si="30">IF(AND(B726="4 Bedrooms",AC726&lt;=0.3),G726,0)</f>
        <v>0</v>
      </c>
      <c r="EP726" s="1385"/>
      <c r="EQ726" s="1385"/>
      <c r="ER726" s="1385"/>
      <c r="ES726" s="1385"/>
      <c r="ET726" s="1385">
        <f t="shared" ref="ET726:ET760" si="31">IF(AND(B726="5 Bedrooms",AC726&lt;=0.3),G726,0)</f>
        <v>0</v>
      </c>
      <c r="EU726" s="1385"/>
      <c r="EV726" s="1385"/>
      <c r="EW726" s="1385"/>
      <c r="EX726" s="1385"/>
      <c r="EY726" s="4"/>
      <c r="EZ726" s="1358">
        <f t="shared" ref="EZ726:EZ760" si="32">IF(CP726&gt;0,O726,"")</f>
        <v>987</v>
      </c>
      <c r="FA726" s="1359"/>
      <c r="FB726" s="1359"/>
      <c r="FC726" s="1359"/>
      <c r="FD726" s="1360"/>
      <c r="FE726" s="1358" t="str">
        <f t="shared" ref="FE726:FE760" si="33">IF(CU726&gt;0,O726,"")</f>
        <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 customHeight="1">
      <c r="A727" s="4"/>
      <c r="B727" s="1362" t="s">
        <v>323</v>
      </c>
      <c r="C727" s="1363"/>
      <c r="D727" s="1363"/>
      <c r="E727" s="1363"/>
      <c r="F727" s="1364"/>
      <c r="G727" s="1371">
        <v>41</v>
      </c>
      <c r="H727" s="1372"/>
      <c r="I727" s="1372"/>
      <c r="J727" s="1373"/>
      <c r="K727" s="1374">
        <v>347</v>
      </c>
      <c r="L727" s="1375"/>
      <c r="M727" s="1375"/>
      <c r="N727" s="1376"/>
      <c r="O727" s="1377">
        <v>1690</v>
      </c>
      <c r="P727" s="1378"/>
      <c r="Q727" s="1378"/>
      <c r="R727" s="1378"/>
      <c r="S727" s="1379"/>
      <c r="T727" s="1377">
        <v>50</v>
      </c>
      <c r="U727" s="1378"/>
      <c r="V727" s="1378"/>
      <c r="W727" s="1379"/>
      <c r="X727" s="1365">
        <f t="shared" si="10"/>
        <v>1740</v>
      </c>
      <c r="Y727" s="1366"/>
      <c r="Z727" s="1366"/>
      <c r="AA727" s="1366"/>
      <c r="AB727" s="1367"/>
      <c r="AC727" s="1380">
        <v>0.5</v>
      </c>
      <c r="AD727" s="1381"/>
      <c r="AE727" s="1381"/>
      <c r="AF727" s="1381"/>
      <c r="AG727" s="1382"/>
      <c r="AH727" s="1368">
        <f t="shared" ref="AH727:AH760" si="38">IF($AC727&gt;0,($X727/$AZ727), "")</f>
        <v>0.4948805460750853</v>
      </c>
      <c r="AI727" s="1369"/>
      <c r="AJ727" s="1370"/>
      <c r="AK727" s="1362" t="s">
        <v>590</v>
      </c>
      <c r="AL727" s="1363"/>
      <c r="AM727" s="1363"/>
      <c r="AN727" s="1363"/>
      <c r="AO727" s="1364"/>
      <c r="AP727" s="3"/>
      <c r="AQ727" s="3"/>
      <c r="AR727" s="3"/>
      <c r="AS727" s="3"/>
      <c r="AZ727" s="118">
        <f t="shared" si="11"/>
        <v>3516</v>
      </c>
      <c r="BA727" s="3"/>
      <c r="BB727" s="3"/>
      <c r="BC727" s="3"/>
      <c r="BD727" s="3"/>
      <c r="BE727" s="204"/>
      <c r="BF727" s="294">
        <f t="shared" si="12"/>
        <v>41</v>
      </c>
      <c r="BG727" s="297">
        <f t="shared" si="13"/>
        <v>0.17672413793103448</v>
      </c>
      <c r="BH727" s="298">
        <f t="shared" si="14"/>
        <v>8.8362068965517238E-2</v>
      </c>
      <c r="BI727" s="3"/>
      <c r="BJ727" s="3"/>
      <c r="BK727" s="3"/>
      <c r="BL727" s="3"/>
      <c r="BM727" s="3"/>
      <c r="BN727" s="3"/>
      <c r="BS727" s="294">
        <f t="shared" si="15"/>
        <v>41</v>
      </c>
      <c r="BT727" s="297">
        <f t="shared" si="16"/>
        <v>0.17672413793103448</v>
      </c>
      <c r="BU727" s="298">
        <f t="shared" si="17"/>
        <v>8.7457337883959041E-2</v>
      </c>
      <c r="CC727" s="3"/>
      <c r="CD727" s="3"/>
      <c r="CE727" s="3"/>
      <c r="CF727" s="3"/>
      <c r="CG727" s="1358">
        <f t="shared" ref="CG727:CG760" si="39">IF(AND(AC727&lt;=0.5,AC727&gt;=0.36),1,0)</f>
        <v>1</v>
      </c>
      <c r="CH727" s="1360"/>
      <c r="CI727" s="1343">
        <f t="shared" ref="CI727:CI760" si="40">IF(CG727=1,G727,0)</f>
        <v>41</v>
      </c>
      <c r="CJ727" s="1345"/>
      <c r="CK727" s="1358">
        <f t="shared" si="18"/>
        <v>0</v>
      </c>
      <c r="CL727" s="1360"/>
      <c r="CM727" s="1343">
        <f t="shared" si="19"/>
        <v>0</v>
      </c>
      <c r="CN727" s="1345"/>
      <c r="CO727" s="3"/>
      <c r="CP727" s="1340">
        <f t="shared" si="20"/>
        <v>41</v>
      </c>
      <c r="CQ727" s="1341"/>
      <c r="CR727" s="1341"/>
      <c r="CS727" s="1341"/>
      <c r="CT727" s="1342"/>
      <c r="CU727" s="1361">
        <f t="shared" si="21"/>
        <v>0</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5">
        <f t="shared" si="26"/>
        <v>0</v>
      </c>
      <c r="DV727" s="1385"/>
      <c r="DW727" s="1385"/>
      <c r="DX727" s="1385"/>
      <c r="DY727" s="1385"/>
      <c r="DZ727" s="1385">
        <f t="shared" si="27"/>
        <v>0</v>
      </c>
      <c r="EA727" s="1385"/>
      <c r="EB727" s="1385"/>
      <c r="EC727" s="1385"/>
      <c r="ED727" s="1385"/>
      <c r="EE727" s="1385">
        <f t="shared" si="28"/>
        <v>0</v>
      </c>
      <c r="EF727" s="1385"/>
      <c r="EG727" s="1385"/>
      <c r="EH727" s="1385"/>
      <c r="EI727" s="1385"/>
      <c r="EJ727" s="1385">
        <f t="shared" si="29"/>
        <v>0</v>
      </c>
      <c r="EK727" s="1385"/>
      <c r="EL727" s="1385"/>
      <c r="EM727" s="1385"/>
      <c r="EN727" s="1385"/>
      <c r="EO727" s="1385">
        <f t="shared" si="30"/>
        <v>0</v>
      </c>
      <c r="EP727" s="1385"/>
      <c r="EQ727" s="1385"/>
      <c r="ER727" s="1385"/>
      <c r="ES727" s="1385"/>
      <c r="ET727" s="1385">
        <f t="shared" si="31"/>
        <v>0</v>
      </c>
      <c r="EU727" s="1385"/>
      <c r="EV727" s="1385"/>
      <c r="EW727" s="1385"/>
      <c r="EX727" s="1385"/>
      <c r="EY727" s="4"/>
      <c r="EZ727" s="1358">
        <f t="shared" si="32"/>
        <v>1690</v>
      </c>
      <c r="FA727" s="1359"/>
      <c r="FB727" s="1359"/>
      <c r="FC727" s="1359"/>
      <c r="FD727" s="1360"/>
      <c r="FE727" s="1358" t="str">
        <f t="shared" si="33"/>
        <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 customHeight="1">
      <c r="A728" s="4"/>
      <c r="B728" s="1362" t="s">
        <v>323</v>
      </c>
      <c r="C728" s="1363"/>
      <c r="D728" s="1363"/>
      <c r="E728" s="1363"/>
      <c r="F728" s="1364"/>
      <c r="G728" s="1371">
        <v>1</v>
      </c>
      <c r="H728" s="1372"/>
      <c r="I728" s="1372"/>
      <c r="J728" s="1373"/>
      <c r="K728" s="1374">
        <v>347</v>
      </c>
      <c r="L728" s="1375"/>
      <c r="M728" s="1375"/>
      <c r="N728" s="1376"/>
      <c r="O728" s="1377">
        <v>1690</v>
      </c>
      <c r="P728" s="1378"/>
      <c r="Q728" s="1378"/>
      <c r="R728" s="1378"/>
      <c r="S728" s="1379"/>
      <c r="T728" s="1377">
        <v>50</v>
      </c>
      <c r="U728" s="1378"/>
      <c r="V728" s="1378"/>
      <c r="W728" s="1379"/>
      <c r="X728" s="1365">
        <f t="shared" si="10"/>
        <v>1740</v>
      </c>
      <c r="Y728" s="1366"/>
      <c r="Z728" s="1366"/>
      <c r="AA728" s="1366"/>
      <c r="AB728" s="1367"/>
      <c r="AC728" s="1380">
        <v>0.6</v>
      </c>
      <c r="AD728" s="1381"/>
      <c r="AE728" s="1381"/>
      <c r="AF728" s="1381"/>
      <c r="AG728" s="1382"/>
      <c r="AH728" s="1368">
        <f t="shared" si="38"/>
        <v>0.4948805460750853</v>
      </c>
      <c r="AI728" s="1369"/>
      <c r="AJ728" s="1370"/>
      <c r="AK728" s="1362" t="s">
        <v>590</v>
      </c>
      <c r="AL728" s="1363"/>
      <c r="AM728" s="1363"/>
      <c r="AN728" s="1363"/>
      <c r="AO728" s="1364"/>
      <c r="AP728" s="3"/>
      <c r="AQ728" s="3"/>
      <c r="AR728" s="3"/>
      <c r="AS728" s="3"/>
      <c r="AZ728" s="118">
        <f t="shared" si="11"/>
        <v>3516</v>
      </c>
      <c r="BA728" s="3"/>
      <c r="BB728" s="3"/>
      <c r="BC728" s="3"/>
      <c r="BD728" s="3"/>
      <c r="BE728" s="204"/>
      <c r="BF728" s="294">
        <f t="shared" si="12"/>
        <v>1</v>
      </c>
      <c r="BG728" s="297">
        <f t="shared" si="13"/>
        <v>4.3103448275862068E-3</v>
      </c>
      <c r="BH728" s="298">
        <f t="shared" si="14"/>
        <v>2.5862068965517241E-3</v>
      </c>
      <c r="BI728" s="3"/>
      <c r="BJ728" s="3"/>
      <c r="BK728" s="3"/>
      <c r="BL728" s="3"/>
      <c r="BM728" s="3"/>
      <c r="BN728" s="3"/>
      <c r="BS728" s="294">
        <f t="shared" si="15"/>
        <v>1</v>
      </c>
      <c r="BT728" s="297">
        <f t="shared" si="16"/>
        <v>4.3103448275862068E-3</v>
      </c>
      <c r="BU728" s="298">
        <f t="shared" si="17"/>
        <v>2.1331058020477816E-3</v>
      </c>
      <c r="CC728" s="3"/>
      <c r="CD728" s="3"/>
      <c r="CE728" s="3"/>
      <c r="CF728" s="3"/>
      <c r="CG728" s="1358">
        <f t="shared" si="39"/>
        <v>0</v>
      </c>
      <c r="CH728" s="1360"/>
      <c r="CI728" s="1343">
        <f t="shared" si="40"/>
        <v>0</v>
      </c>
      <c r="CJ728" s="1345"/>
      <c r="CK728" s="1358">
        <f t="shared" si="18"/>
        <v>0</v>
      </c>
      <c r="CL728" s="1360"/>
      <c r="CM728" s="1343">
        <f t="shared" si="19"/>
        <v>0</v>
      </c>
      <c r="CN728" s="1345"/>
      <c r="CO728" s="3"/>
      <c r="CP728" s="1340">
        <f t="shared" si="20"/>
        <v>1</v>
      </c>
      <c r="CQ728" s="1341"/>
      <c r="CR728" s="1341"/>
      <c r="CS728" s="1341"/>
      <c r="CT728" s="1342"/>
      <c r="CU728" s="1361">
        <f t="shared" si="21"/>
        <v>0</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5">
        <f t="shared" si="26"/>
        <v>0</v>
      </c>
      <c r="DV728" s="1385"/>
      <c r="DW728" s="1385"/>
      <c r="DX728" s="1385"/>
      <c r="DY728" s="1385"/>
      <c r="DZ728" s="1385">
        <f t="shared" si="27"/>
        <v>0</v>
      </c>
      <c r="EA728" s="1385"/>
      <c r="EB728" s="1385"/>
      <c r="EC728" s="1385"/>
      <c r="ED728" s="1385"/>
      <c r="EE728" s="1385">
        <f t="shared" si="28"/>
        <v>0</v>
      </c>
      <c r="EF728" s="1385"/>
      <c r="EG728" s="1385"/>
      <c r="EH728" s="1385"/>
      <c r="EI728" s="1385"/>
      <c r="EJ728" s="1385">
        <f t="shared" si="29"/>
        <v>0</v>
      </c>
      <c r="EK728" s="1385"/>
      <c r="EL728" s="1385"/>
      <c r="EM728" s="1385"/>
      <c r="EN728" s="1385"/>
      <c r="EO728" s="1385">
        <f t="shared" si="30"/>
        <v>0</v>
      </c>
      <c r="EP728" s="1385"/>
      <c r="EQ728" s="1385"/>
      <c r="ER728" s="1385"/>
      <c r="ES728" s="1385"/>
      <c r="ET728" s="1385">
        <f t="shared" si="31"/>
        <v>0</v>
      </c>
      <c r="EU728" s="1385"/>
      <c r="EV728" s="1385"/>
      <c r="EW728" s="1385"/>
      <c r="EX728" s="1385"/>
      <c r="EZ728" s="1358">
        <f t="shared" si="32"/>
        <v>1690</v>
      </c>
      <c r="FA728" s="1359"/>
      <c r="FB728" s="1359"/>
      <c r="FC728" s="1359"/>
      <c r="FD728" s="1360"/>
      <c r="FE728" s="1358" t="str">
        <f t="shared" si="33"/>
        <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 customHeight="1">
      <c r="B729" s="1362" t="s">
        <v>324</v>
      </c>
      <c r="C729" s="1363"/>
      <c r="D729" s="1363"/>
      <c r="E729" s="1363"/>
      <c r="F729" s="1364"/>
      <c r="G729" s="1371">
        <v>5</v>
      </c>
      <c r="H729" s="1372"/>
      <c r="I729" s="1372"/>
      <c r="J729" s="1373"/>
      <c r="K729" s="1374">
        <v>551</v>
      </c>
      <c r="L729" s="1375"/>
      <c r="M729" s="1375"/>
      <c r="N729" s="1376"/>
      <c r="O729" s="1377">
        <v>1804</v>
      </c>
      <c r="P729" s="1378"/>
      <c r="Q729" s="1378"/>
      <c r="R729" s="1378"/>
      <c r="S729" s="1379"/>
      <c r="T729" s="1377">
        <v>59</v>
      </c>
      <c r="U729" s="1378"/>
      <c r="V729" s="1378"/>
      <c r="W729" s="1379"/>
      <c r="X729" s="1365">
        <f t="shared" si="10"/>
        <v>1863</v>
      </c>
      <c r="Y729" s="1366"/>
      <c r="Z729" s="1366"/>
      <c r="AA729" s="1366"/>
      <c r="AB729" s="1367"/>
      <c r="AC729" s="1380">
        <v>0.5</v>
      </c>
      <c r="AD729" s="1381"/>
      <c r="AE729" s="1381"/>
      <c r="AF729" s="1381"/>
      <c r="AG729" s="1382"/>
      <c r="AH729" s="1368">
        <f t="shared" si="38"/>
        <v>0.49442675159235666</v>
      </c>
      <c r="AI729" s="1369"/>
      <c r="AJ729" s="1370"/>
      <c r="AK729" s="1362" t="s">
        <v>590</v>
      </c>
      <c r="AL729" s="1363"/>
      <c r="AM729" s="1363"/>
      <c r="AN729" s="1363"/>
      <c r="AO729" s="1364"/>
      <c r="AP729" s="3"/>
      <c r="AQ729" s="3"/>
      <c r="AR729" s="3"/>
      <c r="AS729" s="3"/>
      <c r="AY729" s="116"/>
      <c r="AZ729" s="118">
        <f t="shared" si="11"/>
        <v>3768</v>
      </c>
      <c r="BA729" s="3"/>
      <c r="BB729" s="3"/>
      <c r="BC729" s="3"/>
      <c r="BD729" s="3"/>
      <c r="BE729" s="204"/>
      <c r="BF729" s="294">
        <f t="shared" si="12"/>
        <v>5</v>
      </c>
      <c r="BG729" s="297">
        <f t="shared" si="13"/>
        <v>2.1551724137931036E-2</v>
      </c>
      <c r="BH729" s="298">
        <f t="shared" si="14"/>
        <v>1.0775862068965518E-2</v>
      </c>
      <c r="BI729" s="3"/>
      <c r="BJ729" s="3"/>
      <c r="BK729" s="3"/>
      <c r="BL729" s="3"/>
      <c r="BM729" s="3"/>
      <c r="BN729" s="3"/>
      <c r="BS729" s="294">
        <f t="shared" si="15"/>
        <v>5</v>
      </c>
      <c r="BT729" s="297">
        <f t="shared" si="16"/>
        <v>2.1551724137931036E-2</v>
      </c>
      <c r="BU729" s="298">
        <f t="shared" si="17"/>
        <v>1.0655748956731825E-2</v>
      </c>
      <c r="CC729" s="3"/>
      <c r="CD729" s="3"/>
      <c r="CE729" s="3"/>
      <c r="CF729" s="3"/>
      <c r="CG729" s="1358">
        <f t="shared" si="39"/>
        <v>1</v>
      </c>
      <c r="CH729" s="1360"/>
      <c r="CI729" s="1343">
        <f t="shared" si="40"/>
        <v>5</v>
      </c>
      <c r="CJ729" s="1345"/>
      <c r="CK729" s="1358">
        <f t="shared" si="18"/>
        <v>0</v>
      </c>
      <c r="CL729" s="1360"/>
      <c r="CM729" s="1343">
        <f t="shared" si="19"/>
        <v>0</v>
      </c>
      <c r="CN729" s="1345"/>
      <c r="CO729" s="3"/>
      <c r="CP729" s="1340">
        <f t="shared" si="20"/>
        <v>0</v>
      </c>
      <c r="CQ729" s="1341"/>
      <c r="CR729" s="1341"/>
      <c r="CS729" s="1341"/>
      <c r="CT729" s="1342"/>
      <c r="CU729" s="1361">
        <f t="shared" si="21"/>
        <v>5</v>
      </c>
      <c r="CV729" s="1361"/>
      <c r="CW729" s="1361"/>
      <c r="CX729" s="1361"/>
      <c r="CY729" s="1361"/>
      <c r="CZ729" s="1361">
        <f t="shared" si="22"/>
        <v>0</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5">
        <f t="shared" si="26"/>
        <v>0</v>
      </c>
      <c r="DV729" s="1385"/>
      <c r="DW729" s="1385"/>
      <c r="DX729" s="1385"/>
      <c r="DY729" s="1385"/>
      <c r="DZ729" s="1385">
        <f t="shared" si="27"/>
        <v>0</v>
      </c>
      <c r="EA729" s="1385"/>
      <c r="EB729" s="1385"/>
      <c r="EC729" s="1385"/>
      <c r="ED729" s="1385"/>
      <c r="EE729" s="1385">
        <f t="shared" si="28"/>
        <v>0</v>
      </c>
      <c r="EF729" s="1385"/>
      <c r="EG729" s="1385"/>
      <c r="EH729" s="1385"/>
      <c r="EI729" s="1385"/>
      <c r="EJ729" s="1385">
        <f t="shared" si="29"/>
        <v>0</v>
      </c>
      <c r="EK729" s="1385"/>
      <c r="EL729" s="1385"/>
      <c r="EM729" s="1385"/>
      <c r="EN729" s="1385"/>
      <c r="EO729" s="1385">
        <f t="shared" si="30"/>
        <v>0</v>
      </c>
      <c r="EP729" s="1385"/>
      <c r="EQ729" s="1385"/>
      <c r="ER729" s="1385"/>
      <c r="ES729" s="1385"/>
      <c r="ET729" s="1385">
        <f t="shared" si="31"/>
        <v>0</v>
      </c>
      <c r="EU729" s="1385"/>
      <c r="EV729" s="1385"/>
      <c r="EW729" s="1385"/>
      <c r="EX729" s="1385"/>
      <c r="EZ729" s="1358" t="str">
        <f t="shared" si="32"/>
        <v/>
      </c>
      <c r="FA729" s="1359"/>
      <c r="FB729" s="1359"/>
      <c r="FC729" s="1359"/>
      <c r="FD729" s="1360"/>
      <c r="FE729" s="1358">
        <f t="shared" si="33"/>
        <v>1804</v>
      </c>
      <c r="FF729" s="1359"/>
      <c r="FG729" s="1359"/>
      <c r="FH729" s="1359"/>
      <c r="FI729" s="1360"/>
      <c r="FJ729" s="1358" t="str">
        <f t="shared" si="34"/>
        <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 customHeight="1">
      <c r="B730" s="1362" t="s">
        <v>324</v>
      </c>
      <c r="C730" s="1363"/>
      <c r="D730" s="1363"/>
      <c r="E730" s="1363"/>
      <c r="F730" s="1364"/>
      <c r="G730" s="1371">
        <v>25</v>
      </c>
      <c r="H730" s="1372"/>
      <c r="I730" s="1372"/>
      <c r="J730" s="1373"/>
      <c r="K730" s="1374">
        <v>551</v>
      </c>
      <c r="L730" s="1375"/>
      <c r="M730" s="1375"/>
      <c r="N730" s="1376"/>
      <c r="O730" s="1377">
        <v>2181</v>
      </c>
      <c r="P730" s="1378"/>
      <c r="Q730" s="1378"/>
      <c r="R730" s="1378"/>
      <c r="S730" s="1379"/>
      <c r="T730" s="1377">
        <v>59</v>
      </c>
      <c r="U730" s="1378"/>
      <c r="V730" s="1378"/>
      <c r="W730" s="1379"/>
      <c r="X730" s="1365">
        <f t="shared" si="10"/>
        <v>2240</v>
      </c>
      <c r="Y730" s="1366"/>
      <c r="Z730" s="1366"/>
      <c r="AA730" s="1366"/>
      <c r="AB730" s="1367"/>
      <c r="AC730" s="1380">
        <v>0.6</v>
      </c>
      <c r="AD730" s="1381"/>
      <c r="AE730" s="1381"/>
      <c r="AF730" s="1381"/>
      <c r="AG730" s="1382"/>
      <c r="AH730" s="1368">
        <f t="shared" si="38"/>
        <v>0.59447983014861994</v>
      </c>
      <c r="AI730" s="1369"/>
      <c r="AJ730" s="1370"/>
      <c r="AK730" s="1362" t="s">
        <v>590</v>
      </c>
      <c r="AL730" s="1363"/>
      <c r="AM730" s="1363"/>
      <c r="AN730" s="1363"/>
      <c r="AO730" s="1364"/>
      <c r="AP730" s="3"/>
      <c r="AQ730" s="3"/>
      <c r="AR730" s="3"/>
      <c r="AS730" s="3"/>
      <c r="AY730" s="116"/>
      <c r="AZ730" s="118">
        <f t="shared" si="11"/>
        <v>3768</v>
      </c>
      <c r="BA730" s="3"/>
      <c r="BB730" s="3"/>
      <c r="BC730" s="3"/>
      <c r="BD730" s="3"/>
      <c r="BE730" s="204"/>
      <c r="BF730" s="294">
        <f t="shared" si="12"/>
        <v>25</v>
      </c>
      <c r="BG730" s="297">
        <f t="shared" si="13"/>
        <v>0.10775862068965517</v>
      </c>
      <c r="BH730" s="298">
        <f t="shared" si="14"/>
        <v>6.4655172413793094E-2</v>
      </c>
      <c r="BI730" s="3"/>
      <c r="BJ730" s="3"/>
      <c r="BK730" s="3"/>
      <c r="BL730" s="3"/>
      <c r="BM730" s="3"/>
      <c r="BN730" s="3"/>
      <c r="BS730" s="294">
        <f t="shared" si="15"/>
        <v>25</v>
      </c>
      <c r="BT730" s="297">
        <f t="shared" si="16"/>
        <v>0.10775862068965517</v>
      </c>
      <c r="BU730" s="298">
        <f t="shared" si="17"/>
        <v>6.4060326524635766E-2</v>
      </c>
      <c r="CC730" s="3"/>
      <c r="CD730" s="3"/>
      <c r="CE730" s="3"/>
      <c r="CF730" s="3"/>
      <c r="CG730" s="1358">
        <f t="shared" si="39"/>
        <v>0</v>
      </c>
      <c r="CH730" s="1360"/>
      <c r="CI730" s="1343">
        <f t="shared" si="40"/>
        <v>0</v>
      </c>
      <c r="CJ730" s="1345"/>
      <c r="CK730" s="1358">
        <f t="shared" si="18"/>
        <v>0</v>
      </c>
      <c r="CL730" s="1360"/>
      <c r="CM730" s="1343">
        <f t="shared" si="19"/>
        <v>0</v>
      </c>
      <c r="CN730" s="1345"/>
      <c r="CO730" s="3"/>
      <c r="CP730" s="1340">
        <f t="shared" si="20"/>
        <v>0</v>
      </c>
      <c r="CQ730" s="1341"/>
      <c r="CR730" s="1341"/>
      <c r="CS730" s="1341"/>
      <c r="CT730" s="1342"/>
      <c r="CU730" s="1361">
        <f t="shared" si="21"/>
        <v>25</v>
      </c>
      <c r="CV730" s="1361"/>
      <c r="CW730" s="1361"/>
      <c r="CX730" s="1361"/>
      <c r="CY730" s="1361"/>
      <c r="CZ730" s="1361">
        <f t="shared" si="22"/>
        <v>0</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5">
        <f t="shared" si="26"/>
        <v>0</v>
      </c>
      <c r="DV730" s="1385"/>
      <c r="DW730" s="1385"/>
      <c r="DX730" s="1385"/>
      <c r="DY730" s="1385"/>
      <c r="DZ730" s="1385">
        <f t="shared" si="27"/>
        <v>0</v>
      </c>
      <c r="EA730" s="1385"/>
      <c r="EB730" s="1385"/>
      <c r="EC730" s="1385"/>
      <c r="ED730" s="1385"/>
      <c r="EE730" s="1385">
        <f t="shared" si="28"/>
        <v>0</v>
      </c>
      <c r="EF730" s="1385"/>
      <c r="EG730" s="1385"/>
      <c r="EH730" s="1385"/>
      <c r="EI730" s="1385"/>
      <c r="EJ730" s="1385">
        <f t="shared" si="29"/>
        <v>0</v>
      </c>
      <c r="EK730" s="1385"/>
      <c r="EL730" s="1385"/>
      <c r="EM730" s="1385"/>
      <c r="EN730" s="1385"/>
      <c r="EO730" s="1385">
        <f t="shared" si="30"/>
        <v>0</v>
      </c>
      <c r="EP730" s="1385"/>
      <c r="EQ730" s="1385"/>
      <c r="ER730" s="1385"/>
      <c r="ES730" s="1385"/>
      <c r="ET730" s="1385">
        <f t="shared" si="31"/>
        <v>0</v>
      </c>
      <c r="EU730" s="1385"/>
      <c r="EV730" s="1385"/>
      <c r="EW730" s="1385"/>
      <c r="EX730" s="1385"/>
      <c r="EZ730" s="1358" t="str">
        <f t="shared" si="32"/>
        <v/>
      </c>
      <c r="FA730" s="1359"/>
      <c r="FB730" s="1359"/>
      <c r="FC730" s="1359"/>
      <c r="FD730" s="1360"/>
      <c r="FE730" s="1358">
        <f t="shared" si="33"/>
        <v>2181</v>
      </c>
      <c r="FF730" s="1359"/>
      <c r="FG730" s="1359"/>
      <c r="FH730" s="1359"/>
      <c r="FI730" s="1360"/>
      <c r="FJ730" s="1358" t="str">
        <f t="shared" si="34"/>
        <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 customHeight="1">
      <c r="B731" s="1362" t="s">
        <v>324</v>
      </c>
      <c r="C731" s="1363"/>
      <c r="D731" s="1363"/>
      <c r="E731" s="1363"/>
      <c r="F731" s="1364"/>
      <c r="G731" s="1371">
        <v>18</v>
      </c>
      <c r="H731" s="1372"/>
      <c r="I731" s="1372"/>
      <c r="J731" s="1373"/>
      <c r="K731" s="1374">
        <v>551</v>
      </c>
      <c r="L731" s="1375"/>
      <c r="M731" s="1375"/>
      <c r="N731" s="1376"/>
      <c r="O731" s="1377">
        <v>2181</v>
      </c>
      <c r="P731" s="1378"/>
      <c r="Q731" s="1378"/>
      <c r="R731" s="1378"/>
      <c r="S731" s="1379"/>
      <c r="T731" s="1377">
        <v>59</v>
      </c>
      <c r="U731" s="1378"/>
      <c r="V731" s="1378"/>
      <c r="W731" s="1379"/>
      <c r="X731" s="1365">
        <f t="shared" si="10"/>
        <v>2240</v>
      </c>
      <c r="Y731" s="1366"/>
      <c r="Z731" s="1366"/>
      <c r="AA731" s="1366"/>
      <c r="AB731" s="1367"/>
      <c r="AC731" s="1380">
        <v>0.7</v>
      </c>
      <c r="AD731" s="1381"/>
      <c r="AE731" s="1381"/>
      <c r="AF731" s="1381"/>
      <c r="AG731" s="1382"/>
      <c r="AH731" s="1368">
        <f t="shared" si="38"/>
        <v>0.59447983014861994</v>
      </c>
      <c r="AI731" s="1369"/>
      <c r="AJ731" s="1370"/>
      <c r="AK731" s="1362" t="s">
        <v>590</v>
      </c>
      <c r="AL731" s="1363"/>
      <c r="AM731" s="1363"/>
      <c r="AN731" s="1363"/>
      <c r="AO731" s="1364"/>
      <c r="AP731" s="3"/>
      <c r="AQ731" s="3"/>
      <c r="AR731" s="3"/>
      <c r="AS731" s="3"/>
      <c r="AY731" s="116"/>
      <c r="AZ731" s="118">
        <f>IF($G731=0,"N/A",VLOOKUP($T$189,TC_Rent,(MATCH($B731,bedrooms,FALSE)),FALSE))</f>
        <v>3768</v>
      </c>
      <c r="BA731" s="3"/>
      <c r="BB731" s="3"/>
      <c r="BC731" s="3"/>
      <c r="BD731" s="3"/>
      <c r="BE731" s="204"/>
      <c r="BF731" s="294">
        <f t="shared" si="12"/>
        <v>18</v>
      </c>
      <c r="BG731" s="297">
        <f t="shared" si="13"/>
        <v>7.7586206896551727E-2</v>
      </c>
      <c r="BH731" s="298">
        <f t="shared" si="14"/>
        <v>5.4310344827586204E-2</v>
      </c>
      <c r="BI731" s="3"/>
      <c r="BJ731" s="3"/>
      <c r="BK731" s="3"/>
      <c r="BL731" s="3"/>
      <c r="BM731" s="3"/>
      <c r="BN731" s="3"/>
      <c r="BS731" s="294">
        <f t="shared" si="15"/>
        <v>18</v>
      </c>
      <c r="BT731" s="297">
        <f t="shared" si="16"/>
        <v>7.7586206896551727E-2</v>
      </c>
      <c r="BU731" s="298">
        <f t="shared" si="17"/>
        <v>4.6123435097737753E-2</v>
      </c>
      <c r="CC731" s="3"/>
      <c r="CD731" s="3"/>
      <c r="CE731" s="3"/>
      <c r="CF731" s="3"/>
      <c r="CG731" s="1358">
        <f t="shared" si="39"/>
        <v>0</v>
      </c>
      <c r="CH731" s="1360"/>
      <c r="CI731" s="1343">
        <f t="shared" si="40"/>
        <v>0</v>
      </c>
      <c r="CJ731" s="1345"/>
      <c r="CK731" s="1358">
        <f t="shared" si="18"/>
        <v>0</v>
      </c>
      <c r="CL731" s="1360"/>
      <c r="CM731" s="1343">
        <f t="shared" si="19"/>
        <v>0</v>
      </c>
      <c r="CN731" s="1345"/>
      <c r="CO731" s="3"/>
      <c r="CP731" s="1340">
        <f>IF(B731="SRO/Studio",G731,0)</f>
        <v>0</v>
      </c>
      <c r="CQ731" s="1341"/>
      <c r="CR731" s="1341"/>
      <c r="CS731" s="1341"/>
      <c r="CT731" s="1342"/>
      <c r="CU731" s="1361">
        <f>IF(B731="1 Bedroom",G731,0)</f>
        <v>18</v>
      </c>
      <c r="CV731" s="1361"/>
      <c r="CW731" s="1361"/>
      <c r="CX731" s="1361"/>
      <c r="CY731" s="1361"/>
      <c r="CZ731" s="1361">
        <f>IF(B731="2 Bedrooms",G731,0)</f>
        <v>0</v>
      </c>
      <c r="DA731" s="1361"/>
      <c r="DB731" s="1361"/>
      <c r="DC731" s="1361"/>
      <c r="DD731" s="1361"/>
      <c r="DE731" s="1361">
        <f>IF(B731="3 Bedrooms",G731,0)</f>
        <v>0</v>
      </c>
      <c r="DF731" s="1361"/>
      <c r="DG731" s="1361"/>
      <c r="DH731" s="1361"/>
      <c r="DI731" s="1361"/>
      <c r="DJ731" s="1361">
        <f>IF(B731="4 Bedrooms",G731,0)</f>
        <v>0</v>
      </c>
      <c r="DK731" s="1361"/>
      <c r="DL731" s="1361"/>
      <c r="DM731" s="1361"/>
      <c r="DN731" s="1361"/>
      <c r="DO731" s="1361">
        <f>IF(B731="5 Bedrooms",G731,0)</f>
        <v>0</v>
      </c>
      <c r="DP731" s="1361"/>
      <c r="DQ731" s="1361"/>
      <c r="DR731" s="1361"/>
      <c r="DS731" s="1361"/>
      <c r="DT731" s="6"/>
      <c r="DU731" s="1385">
        <f>IF(AND(B731="SRO/Studio",AC731&lt;=0.3),G731,0)</f>
        <v>0</v>
      </c>
      <c r="DV731" s="1385"/>
      <c r="DW731" s="1385"/>
      <c r="DX731" s="1385"/>
      <c r="DY731" s="1385"/>
      <c r="DZ731" s="1385">
        <f>IF(AND(B731="1 Bedroom",AC731&lt;=0.3),G731,0)</f>
        <v>0</v>
      </c>
      <c r="EA731" s="1385"/>
      <c r="EB731" s="1385"/>
      <c r="EC731" s="1385"/>
      <c r="ED731" s="1385"/>
      <c r="EE731" s="1385">
        <f>IF(AND(B731="2 Bedrooms",AC731&lt;=0.3),G731,0)</f>
        <v>0</v>
      </c>
      <c r="EF731" s="1385"/>
      <c r="EG731" s="1385"/>
      <c r="EH731" s="1385"/>
      <c r="EI731" s="1385"/>
      <c r="EJ731" s="1385">
        <f>IF(AND(B731="3 Bedrooms",AC731&lt;=0.3),G731,0)</f>
        <v>0</v>
      </c>
      <c r="EK731" s="1385"/>
      <c r="EL731" s="1385"/>
      <c r="EM731" s="1385"/>
      <c r="EN731" s="1385"/>
      <c r="EO731" s="1385">
        <f>IF(AND(B731="4 Bedrooms",AC731&lt;=0.3),G731,0)</f>
        <v>0</v>
      </c>
      <c r="EP731" s="1385"/>
      <c r="EQ731" s="1385"/>
      <c r="ER731" s="1385"/>
      <c r="ES731" s="1385"/>
      <c r="ET731" s="1385">
        <f>IF(AND(B731="5 Bedrooms",AC731&lt;=0.3),G731,0)</f>
        <v>0</v>
      </c>
      <c r="EU731" s="1385"/>
      <c r="EV731" s="1385"/>
      <c r="EW731" s="1385"/>
      <c r="EX731" s="1385"/>
      <c r="EZ731" s="1358" t="str">
        <f t="shared" si="32"/>
        <v/>
      </c>
      <c r="FA731" s="1359"/>
      <c r="FB731" s="1359"/>
      <c r="FC731" s="1359"/>
      <c r="FD731" s="1360"/>
      <c r="FE731" s="1358">
        <f t="shared" si="33"/>
        <v>2181</v>
      </c>
      <c r="FF731" s="1359"/>
      <c r="FG731" s="1359"/>
      <c r="FH731" s="1359"/>
      <c r="FI731" s="1360"/>
      <c r="FJ731" s="1358" t="str">
        <f t="shared" si="34"/>
        <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 customHeight="1">
      <c r="B732" s="1362"/>
      <c r="C732" s="1363"/>
      <c r="D732" s="1363"/>
      <c r="E732" s="1363"/>
      <c r="F732" s="1364"/>
      <c r="G732" s="1371"/>
      <c r="H732" s="1372"/>
      <c r="I732" s="1372"/>
      <c r="J732" s="1373"/>
      <c r="K732" s="1374"/>
      <c r="L732" s="1375"/>
      <c r="M732" s="1375"/>
      <c r="N732" s="1376"/>
      <c r="O732" s="1377"/>
      <c r="P732" s="1378"/>
      <c r="Q732" s="1378"/>
      <c r="R732" s="1378"/>
      <c r="S732" s="1379"/>
      <c r="T732" s="1377"/>
      <c r="U732" s="1378"/>
      <c r="V732" s="1378"/>
      <c r="W732" s="1379"/>
      <c r="X732" s="1365">
        <f t="shared" si="10"/>
        <v>0</v>
      </c>
      <c r="Y732" s="1366"/>
      <c r="Z732" s="1366"/>
      <c r="AA732" s="1366"/>
      <c r="AB732" s="1367"/>
      <c r="AC732" s="1380"/>
      <c r="AD732" s="1381"/>
      <c r="AE732" s="1381"/>
      <c r="AF732" s="1381"/>
      <c r="AG732" s="1382"/>
      <c r="AH732" s="1368" t="str">
        <f t="shared" si="38"/>
        <v/>
      </c>
      <c r="AI732" s="1369"/>
      <c r="AJ732" s="1370"/>
      <c r="AK732" s="1362" t="s">
        <v>590</v>
      </c>
      <c r="AL732" s="1363"/>
      <c r="AM732" s="1363"/>
      <c r="AN732" s="1363"/>
      <c r="AO732" s="1364"/>
      <c r="AP732" s="3"/>
      <c r="AQ732" s="3"/>
      <c r="AR732" s="3"/>
      <c r="AS732" s="3"/>
      <c r="AY732" s="116"/>
      <c r="AZ732" s="118" t="str">
        <f>IF($G732=0,"N/A",VLOOKUP($T$189,TC_Rent,(MATCH($B732,bedrooms,FALSE)),FALSE))</f>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8">
        <f t="shared" si="39"/>
        <v>0</v>
      </c>
      <c r="CH732" s="1360"/>
      <c r="CI732" s="1343">
        <f t="shared" si="40"/>
        <v>0</v>
      </c>
      <c r="CJ732" s="1345"/>
      <c r="CK732" s="1358">
        <f t="shared" si="18"/>
        <v>0</v>
      </c>
      <c r="CL732" s="1360"/>
      <c r="CM732" s="1343">
        <f t="shared" si="19"/>
        <v>0</v>
      </c>
      <c r="CN732" s="1345"/>
      <c r="CO732" s="3"/>
      <c r="CP732" s="1340">
        <f>IF(B732="SRO/Studio",G732,0)</f>
        <v>0</v>
      </c>
      <c r="CQ732" s="1341"/>
      <c r="CR732" s="1341"/>
      <c r="CS732" s="1341"/>
      <c r="CT732" s="1342"/>
      <c r="CU732" s="1361">
        <f>IF(B732="1 Bedroom",G732,0)</f>
        <v>0</v>
      </c>
      <c r="CV732" s="1361"/>
      <c r="CW732" s="1361"/>
      <c r="CX732" s="1361"/>
      <c r="CY732" s="1361"/>
      <c r="CZ732" s="1361">
        <f>IF(B732="2 Bedrooms",G732,0)</f>
        <v>0</v>
      </c>
      <c r="DA732" s="1361"/>
      <c r="DB732" s="1361"/>
      <c r="DC732" s="1361"/>
      <c r="DD732" s="1361"/>
      <c r="DE732" s="1361">
        <f>IF(B732="3 Bedrooms",G732,0)</f>
        <v>0</v>
      </c>
      <c r="DF732" s="1361"/>
      <c r="DG732" s="1361"/>
      <c r="DH732" s="1361"/>
      <c r="DI732" s="1361"/>
      <c r="DJ732" s="1361">
        <f>IF(B732="4 Bedrooms",G732,0)</f>
        <v>0</v>
      </c>
      <c r="DK732" s="1361"/>
      <c r="DL732" s="1361"/>
      <c r="DM732" s="1361"/>
      <c r="DN732" s="1361"/>
      <c r="DO732" s="1361">
        <f>IF(B732="5 Bedrooms",G732,0)</f>
        <v>0</v>
      </c>
      <c r="DP732" s="1361"/>
      <c r="DQ732" s="1361"/>
      <c r="DR732" s="1361"/>
      <c r="DS732" s="1361"/>
      <c r="DT732" s="6"/>
      <c r="DU732" s="1385">
        <f>IF(AND(B732="SRO/Studio",AC732&lt;=0.3),G732,0)</f>
        <v>0</v>
      </c>
      <c r="DV732" s="1385"/>
      <c r="DW732" s="1385"/>
      <c r="DX732" s="1385"/>
      <c r="DY732" s="1385"/>
      <c r="DZ732" s="1385">
        <f>IF(AND(B732="1 Bedroom",AC732&lt;=0.3),G732,0)</f>
        <v>0</v>
      </c>
      <c r="EA732" s="1385"/>
      <c r="EB732" s="1385"/>
      <c r="EC732" s="1385"/>
      <c r="ED732" s="1385"/>
      <c r="EE732" s="1385">
        <f>IF(AND(B732="2 Bedrooms",AC732&lt;=0.3),G732,0)</f>
        <v>0</v>
      </c>
      <c r="EF732" s="1385"/>
      <c r="EG732" s="1385"/>
      <c r="EH732" s="1385"/>
      <c r="EI732" s="1385"/>
      <c r="EJ732" s="1385">
        <f>IF(AND(B732="3 Bedrooms",AC732&lt;=0.3),G732,0)</f>
        <v>0</v>
      </c>
      <c r="EK732" s="1385"/>
      <c r="EL732" s="1385"/>
      <c r="EM732" s="1385"/>
      <c r="EN732" s="1385"/>
      <c r="EO732" s="1385">
        <f>IF(AND(B732="4 Bedrooms",AC732&lt;=0.3),G732,0)</f>
        <v>0</v>
      </c>
      <c r="EP732" s="1385"/>
      <c r="EQ732" s="1385"/>
      <c r="ER732" s="1385"/>
      <c r="ES732" s="1385"/>
      <c r="ET732" s="1385">
        <f>IF(AND(B732="5 Bedrooms",AC732&lt;=0.3),G732,0)</f>
        <v>0</v>
      </c>
      <c r="EU732" s="1385"/>
      <c r="EV732" s="1385"/>
      <c r="EW732" s="1385"/>
      <c r="EX732" s="1385"/>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 customHeight="1">
      <c r="B733" s="1362" t="s">
        <v>163</v>
      </c>
      <c r="C733" s="1363"/>
      <c r="D733" s="1363"/>
      <c r="E733" s="1363"/>
      <c r="F733" s="1364"/>
      <c r="G733" s="1371">
        <v>20</v>
      </c>
      <c r="H733" s="1372"/>
      <c r="I733" s="1372"/>
      <c r="J733" s="1373"/>
      <c r="K733" s="1374">
        <v>823</v>
      </c>
      <c r="L733" s="1375"/>
      <c r="M733" s="1375"/>
      <c r="N733" s="1376"/>
      <c r="O733" s="1377">
        <v>2606</v>
      </c>
      <c r="P733" s="1378"/>
      <c r="Q733" s="1378"/>
      <c r="R733" s="1378"/>
      <c r="S733" s="1379"/>
      <c r="T733" s="1377">
        <v>80</v>
      </c>
      <c r="U733" s="1378"/>
      <c r="V733" s="1378"/>
      <c r="W733" s="1379"/>
      <c r="X733" s="1365">
        <f t="shared" si="10"/>
        <v>2686</v>
      </c>
      <c r="Y733" s="1366"/>
      <c r="Z733" s="1366"/>
      <c r="AA733" s="1366"/>
      <c r="AB733" s="1367"/>
      <c r="AC733" s="1380">
        <v>0.6</v>
      </c>
      <c r="AD733" s="1381"/>
      <c r="AE733" s="1381"/>
      <c r="AF733" s="1381"/>
      <c r="AG733" s="1382"/>
      <c r="AH733" s="1368">
        <f t="shared" si="38"/>
        <v>0.59398496240601506</v>
      </c>
      <c r="AI733" s="1369"/>
      <c r="AJ733" s="1370"/>
      <c r="AK733" s="1362" t="s">
        <v>590</v>
      </c>
      <c r="AL733" s="1363"/>
      <c r="AM733" s="1363"/>
      <c r="AN733" s="1363"/>
      <c r="AO733" s="1364"/>
      <c r="AP733" s="3"/>
      <c r="AQ733" s="3"/>
      <c r="AR733" s="3"/>
      <c r="AS733" s="3"/>
      <c r="AY733" s="1080"/>
      <c r="AZ733" s="118">
        <f t="shared" si="11"/>
        <v>4522</v>
      </c>
      <c r="BA733" s="3"/>
      <c r="BB733" s="3"/>
      <c r="BC733" s="3"/>
      <c r="BD733" s="3"/>
      <c r="BE733" s="204"/>
      <c r="BF733" s="294">
        <f t="shared" si="12"/>
        <v>20</v>
      </c>
      <c r="BG733" s="297">
        <f t="shared" si="13"/>
        <v>8.6206896551724144E-2</v>
      </c>
      <c r="BH733" s="298">
        <f t="shared" si="14"/>
        <v>5.1724137931034482E-2</v>
      </c>
      <c r="BI733" s="3"/>
      <c r="BJ733" s="3"/>
      <c r="BK733" s="3"/>
      <c r="BL733" s="3"/>
      <c r="BM733" s="3"/>
      <c r="BN733" s="3"/>
      <c r="BS733" s="294">
        <f t="shared" si="15"/>
        <v>20</v>
      </c>
      <c r="BT733" s="297">
        <f t="shared" si="16"/>
        <v>8.6206896551724144E-2</v>
      </c>
      <c r="BU733" s="298">
        <f t="shared" si="17"/>
        <v>5.1205600207415096E-2</v>
      </c>
      <c r="BV733" s="292"/>
      <c r="BW733" s="3"/>
      <c r="BX733" s="3"/>
      <c r="BY733" s="3"/>
      <c r="BZ733" s="3"/>
      <c r="CA733" s="3"/>
      <c r="CB733" s="3"/>
      <c r="CC733" s="3"/>
      <c r="CE733" s="3"/>
      <c r="CF733" s="3"/>
      <c r="CG733" s="1358">
        <f t="shared" si="39"/>
        <v>0</v>
      </c>
      <c r="CH733" s="1360"/>
      <c r="CI733" s="1343">
        <f t="shared" si="40"/>
        <v>0</v>
      </c>
      <c r="CJ733" s="1345"/>
      <c r="CK733" s="1358">
        <f t="shared" si="18"/>
        <v>0</v>
      </c>
      <c r="CL733" s="1360"/>
      <c r="CM733" s="1343">
        <f t="shared" si="19"/>
        <v>0</v>
      </c>
      <c r="CN733" s="1345"/>
      <c r="CO733" s="3"/>
      <c r="CP733" s="1340">
        <f t="shared" si="20"/>
        <v>0</v>
      </c>
      <c r="CQ733" s="1341"/>
      <c r="CR733" s="1341"/>
      <c r="CS733" s="1341"/>
      <c r="CT733" s="1342"/>
      <c r="CU733" s="1361">
        <f t="shared" si="21"/>
        <v>0</v>
      </c>
      <c r="CV733" s="1361"/>
      <c r="CW733" s="1361"/>
      <c r="CX733" s="1361"/>
      <c r="CY733" s="1361"/>
      <c r="CZ733" s="1361">
        <f t="shared" si="22"/>
        <v>20</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5">
        <f t="shared" si="26"/>
        <v>0</v>
      </c>
      <c r="DV733" s="1385"/>
      <c r="DW733" s="1385"/>
      <c r="DX733" s="1385"/>
      <c r="DY733" s="1385"/>
      <c r="DZ733" s="1385">
        <f t="shared" si="27"/>
        <v>0</v>
      </c>
      <c r="EA733" s="1385"/>
      <c r="EB733" s="1385"/>
      <c r="EC733" s="1385"/>
      <c r="ED733" s="1385"/>
      <c r="EE733" s="1385">
        <f t="shared" si="28"/>
        <v>0</v>
      </c>
      <c r="EF733" s="1385"/>
      <c r="EG733" s="1385"/>
      <c r="EH733" s="1385"/>
      <c r="EI733" s="1385"/>
      <c r="EJ733" s="1385">
        <f t="shared" si="29"/>
        <v>0</v>
      </c>
      <c r="EK733" s="1385"/>
      <c r="EL733" s="1385"/>
      <c r="EM733" s="1385"/>
      <c r="EN733" s="1385"/>
      <c r="EO733" s="1385">
        <f t="shared" si="30"/>
        <v>0</v>
      </c>
      <c r="EP733" s="1385"/>
      <c r="EQ733" s="1385"/>
      <c r="ER733" s="1385"/>
      <c r="ES733" s="1385"/>
      <c r="ET733" s="1385">
        <f t="shared" si="31"/>
        <v>0</v>
      </c>
      <c r="EU733" s="1385"/>
      <c r="EV733" s="1385"/>
      <c r="EW733" s="1385"/>
      <c r="EX733" s="1385"/>
      <c r="EZ733" s="1358" t="str">
        <f t="shared" si="32"/>
        <v/>
      </c>
      <c r="FA733" s="1359"/>
      <c r="FB733" s="1359"/>
      <c r="FC733" s="1359"/>
      <c r="FD733" s="1360"/>
      <c r="FE733" s="1358" t="str">
        <f t="shared" si="33"/>
        <v/>
      </c>
      <c r="FF733" s="1359"/>
      <c r="FG733" s="1359"/>
      <c r="FH733" s="1359"/>
      <c r="FI733" s="1360"/>
      <c r="FJ733" s="1358">
        <f t="shared" si="34"/>
        <v>2606</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 customHeight="1">
      <c r="B734" s="1362" t="s">
        <v>163</v>
      </c>
      <c r="C734" s="1363"/>
      <c r="D734" s="1363"/>
      <c r="E734" s="1363"/>
      <c r="F734" s="1364"/>
      <c r="G734" s="1371">
        <v>39</v>
      </c>
      <c r="H734" s="1372"/>
      <c r="I734" s="1372"/>
      <c r="J734" s="1373"/>
      <c r="K734" s="1374">
        <v>823</v>
      </c>
      <c r="L734" s="1375"/>
      <c r="M734" s="1375"/>
      <c r="N734" s="1376"/>
      <c r="O734" s="1377">
        <v>2606</v>
      </c>
      <c r="P734" s="1378"/>
      <c r="Q734" s="1378"/>
      <c r="R734" s="1378"/>
      <c r="S734" s="1379"/>
      <c r="T734" s="1377">
        <v>80</v>
      </c>
      <c r="U734" s="1378"/>
      <c r="V734" s="1378"/>
      <c r="W734" s="1379"/>
      <c r="X734" s="1365">
        <f t="shared" si="10"/>
        <v>2686</v>
      </c>
      <c r="Y734" s="1366"/>
      <c r="Z734" s="1366"/>
      <c r="AA734" s="1366"/>
      <c r="AB734" s="1367"/>
      <c r="AC734" s="1380">
        <v>0.7</v>
      </c>
      <c r="AD734" s="1381"/>
      <c r="AE734" s="1381"/>
      <c r="AF734" s="1381"/>
      <c r="AG734" s="1382"/>
      <c r="AH734" s="1368">
        <f t="shared" si="38"/>
        <v>0.59398496240601506</v>
      </c>
      <c r="AI734" s="1369"/>
      <c r="AJ734" s="1370"/>
      <c r="AK734" s="1362" t="s">
        <v>590</v>
      </c>
      <c r="AL734" s="1363"/>
      <c r="AM734" s="1363"/>
      <c r="AN734" s="1363"/>
      <c r="AO734" s="1364"/>
      <c r="AP734" s="3"/>
      <c r="AQ734" s="3"/>
      <c r="AR734" s="3"/>
      <c r="AS734" s="3"/>
      <c r="AY734" s="1080"/>
      <c r="AZ734" s="118">
        <f t="shared" si="11"/>
        <v>4522</v>
      </c>
      <c r="BA734" s="3"/>
      <c r="BB734" s="3"/>
      <c r="BC734" s="3"/>
      <c r="BD734" s="3"/>
      <c r="BE734" s="204"/>
      <c r="BF734" s="294">
        <f t="shared" si="12"/>
        <v>39</v>
      </c>
      <c r="BG734" s="297">
        <f t="shared" si="13"/>
        <v>0.16810344827586207</v>
      </c>
      <c r="BH734" s="298">
        <f t="shared" si="14"/>
        <v>0.11767241379310345</v>
      </c>
      <c r="BI734" s="3"/>
      <c r="BJ734" s="3"/>
      <c r="BK734" s="3"/>
      <c r="BL734" s="3"/>
      <c r="BM734" s="3"/>
      <c r="BN734" s="3"/>
      <c r="BS734" s="294">
        <f t="shared" si="15"/>
        <v>39</v>
      </c>
      <c r="BT734" s="297">
        <f t="shared" si="16"/>
        <v>0.16810344827586207</v>
      </c>
      <c r="BU734" s="298">
        <f t="shared" si="17"/>
        <v>9.9850920404459434E-2</v>
      </c>
      <c r="BV734" s="3"/>
      <c r="BW734" s="3"/>
      <c r="BX734" s="3"/>
      <c r="BY734" s="3"/>
      <c r="BZ734" s="3"/>
      <c r="CA734" s="3"/>
      <c r="CB734" s="3"/>
      <c r="CC734" s="3"/>
      <c r="CE734" s="3"/>
      <c r="CF734" s="3"/>
      <c r="CG734" s="1358">
        <f t="shared" si="39"/>
        <v>0</v>
      </c>
      <c r="CH734" s="1360"/>
      <c r="CI734" s="1343">
        <f t="shared" si="40"/>
        <v>0</v>
      </c>
      <c r="CJ734" s="1345"/>
      <c r="CK734" s="1358">
        <f t="shared" si="18"/>
        <v>0</v>
      </c>
      <c r="CL734" s="1360"/>
      <c r="CM734" s="1343">
        <f t="shared" si="19"/>
        <v>0</v>
      </c>
      <c r="CN734" s="1345"/>
      <c r="CO734" s="3"/>
      <c r="CP734" s="1340">
        <f t="shared" si="20"/>
        <v>0</v>
      </c>
      <c r="CQ734" s="1341"/>
      <c r="CR734" s="1341"/>
      <c r="CS734" s="1341"/>
      <c r="CT734" s="1342"/>
      <c r="CU734" s="1361">
        <f t="shared" si="21"/>
        <v>0</v>
      </c>
      <c r="CV734" s="1361"/>
      <c r="CW734" s="1361"/>
      <c r="CX734" s="1361"/>
      <c r="CY734" s="1361"/>
      <c r="CZ734" s="1361">
        <f t="shared" si="22"/>
        <v>39</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5">
        <f t="shared" si="26"/>
        <v>0</v>
      </c>
      <c r="DV734" s="1385"/>
      <c r="DW734" s="1385"/>
      <c r="DX734" s="1385"/>
      <c r="DY734" s="1385"/>
      <c r="DZ734" s="1385">
        <f t="shared" si="27"/>
        <v>0</v>
      </c>
      <c r="EA734" s="1385"/>
      <c r="EB734" s="1385"/>
      <c r="EC734" s="1385"/>
      <c r="ED734" s="1385"/>
      <c r="EE734" s="1385">
        <f t="shared" si="28"/>
        <v>0</v>
      </c>
      <c r="EF734" s="1385"/>
      <c r="EG734" s="1385"/>
      <c r="EH734" s="1385"/>
      <c r="EI734" s="1385"/>
      <c r="EJ734" s="1385">
        <f t="shared" si="29"/>
        <v>0</v>
      </c>
      <c r="EK734" s="1385"/>
      <c r="EL734" s="1385"/>
      <c r="EM734" s="1385"/>
      <c r="EN734" s="1385"/>
      <c r="EO734" s="1385">
        <f t="shared" si="30"/>
        <v>0</v>
      </c>
      <c r="EP734" s="1385"/>
      <c r="EQ734" s="1385"/>
      <c r="ER734" s="1385"/>
      <c r="ES734" s="1385"/>
      <c r="ET734" s="1385">
        <f t="shared" si="31"/>
        <v>0</v>
      </c>
      <c r="EU734" s="1385"/>
      <c r="EV734" s="1385"/>
      <c r="EW734" s="1385"/>
      <c r="EX734" s="1385"/>
      <c r="EY734" s="4"/>
      <c r="EZ734" s="1358" t="str">
        <f t="shared" si="32"/>
        <v/>
      </c>
      <c r="FA734" s="1359"/>
      <c r="FB734" s="1359"/>
      <c r="FC734" s="1359"/>
      <c r="FD734" s="1360"/>
      <c r="FE734" s="1358" t="str">
        <f t="shared" si="33"/>
        <v/>
      </c>
      <c r="FF734" s="1359"/>
      <c r="FG734" s="1359"/>
      <c r="FH734" s="1359"/>
      <c r="FI734" s="1360"/>
      <c r="FJ734" s="1358">
        <f t="shared" si="34"/>
        <v>2606</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 customHeight="1">
      <c r="A735" s="4"/>
      <c r="B735" s="1362" t="s">
        <v>164</v>
      </c>
      <c r="C735" s="1363"/>
      <c r="D735" s="1363"/>
      <c r="E735" s="1363"/>
      <c r="F735" s="1364"/>
      <c r="G735" s="1371">
        <v>1</v>
      </c>
      <c r="H735" s="1372"/>
      <c r="I735" s="1372"/>
      <c r="J735" s="1373"/>
      <c r="K735" s="1374">
        <v>1042</v>
      </c>
      <c r="L735" s="1375"/>
      <c r="M735" s="1375"/>
      <c r="N735" s="1376"/>
      <c r="O735" s="1377">
        <v>1430</v>
      </c>
      <c r="P735" s="1378"/>
      <c r="Q735" s="1378"/>
      <c r="R735" s="1378"/>
      <c r="S735" s="1379"/>
      <c r="T735" s="1377">
        <v>101</v>
      </c>
      <c r="U735" s="1378"/>
      <c r="V735" s="1378"/>
      <c r="W735" s="1379"/>
      <c r="X735" s="1365">
        <f t="shared" si="10"/>
        <v>1531</v>
      </c>
      <c r="Y735" s="1366"/>
      <c r="Z735" s="1366"/>
      <c r="AA735" s="1366"/>
      <c r="AB735" s="1367"/>
      <c r="AC735" s="1380">
        <v>0.3</v>
      </c>
      <c r="AD735" s="1381"/>
      <c r="AE735" s="1381"/>
      <c r="AF735" s="1381"/>
      <c r="AG735" s="1382"/>
      <c r="AH735" s="1368">
        <f t="shared" si="38"/>
        <v>0.29318268862504787</v>
      </c>
      <c r="AI735" s="1369"/>
      <c r="AJ735" s="1370"/>
      <c r="AK735" s="1362" t="s">
        <v>590</v>
      </c>
      <c r="AL735" s="1363"/>
      <c r="AM735" s="1363"/>
      <c r="AN735" s="1363"/>
      <c r="AO735" s="1364"/>
      <c r="AP735" s="3"/>
      <c r="AQ735" s="3"/>
      <c r="AR735" s="3"/>
      <c r="AS735" s="3"/>
      <c r="AY735" s="1080"/>
      <c r="AZ735" s="118">
        <f t="shared" si="11"/>
        <v>5222</v>
      </c>
      <c r="BA735" s="3"/>
      <c r="BB735" s="3"/>
      <c r="BC735" s="3"/>
      <c r="BD735" s="3"/>
      <c r="BE735" s="204"/>
      <c r="BF735" s="294">
        <f t="shared" si="12"/>
        <v>1</v>
      </c>
      <c r="BG735" s="297">
        <f t="shared" si="13"/>
        <v>4.3103448275862068E-3</v>
      </c>
      <c r="BH735" s="298">
        <f t="shared" si="14"/>
        <v>1.2931034482758621E-3</v>
      </c>
      <c r="BI735" s="3"/>
      <c r="BJ735" s="3"/>
      <c r="BK735" s="3"/>
      <c r="BL735" s="3"/>
      <c r="BM735" s="3"/>
      <c r="BN735" s="3"/>
      <c r="BS735" s="294">
        <f t="shared" si="15"/>
        <v>1</v>
      </c>
      <c r="BT735" s="297">
        <f t="shared" si="16"/>
        <v>4.3103448275862068E-3</v>
      </c>
      <c r="BU735" s="298">
        <f t="shared" si="17"/>
        <v>1.2637184854527926E-3</v>
      </c>
      <c r="BV735" s="3"/>
      <c r="BW735" s="3"/>
      <c r="BX735" s="3"/>
      <c r="BY735" s="3"/>
      <c r="BZ735" s="3"/>
      <c r="CA735" s="3"/>
      <c r="CB735" s="3"/>
      <c r="CC735" s="3"/>
      <c r="CE735" s="3"/>
      <c r="CF735" s="3"/>
      <c r="CG735" s="1358">
        <f t="shared" si="39"/>
        <v>0</v>
      </c>
      <c r="CH735" s="1360"/>
      <c r="CI735" s="1343">
        <f t="shared" si="40"/>
        <v>0</v>
      </c>
      <c r="CJ735" s="1345"/>
      <c r="CK735" s="1358">
        <f t="shared" si="18"/>
        <v>1</v>
      </c>
      <c r="CL735" s="1360"/>
      <c r="CM735" s="1343">
        <f t="shared" si="19"/>
        <v>1</v>
      </c>
      <c r="CN735" s="1345"/>
      <c r="CO735" s="3"/>
      <c r="CP735" s="1340">
        <f t="shared" si="20"/>
        <v>0</v>
      </c>
      <c r="CQ735" s="1341"/>
      <c r="CR735" s="1341"/>
      <c r="CS735" s="1341"/>
      <c r="CT735" s="1342"/>
      <c r="CU735" s="1361">
        <f t="shared" si="21"/>
        <v>0</v>
      </c>
      <c r="CV735" s="1361"/>
      <c r="CW735" s="1361"/>
      <c r="CX735" s="1361"/>
      <c r="CY735" s="1361"/>
      <c r="CZ735" s="1361">
        <f t="shared" si="22"/>
        <v>0</v>
      </c>
      <c r="DA735" s="1361"/>
      <c r="DB735" s="1361"/>
      <c r="DC735" s="1361"/>
      <c r="DD735" s="1361"/>
      <c r="DE735" s="1361">
        <f t="shared" si="23"/>
        <v>1</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85">
        <f t="shared" si="26"/>
        <v>0</v>
      </c>
      <c r="DV735" s="1385"/>
      <c r="DW735" s="1385"/>
      <c r="DX735" s="1385"/>
      <c r="DY735" s="1385"/>
      <c r="DZ735" s="1385">
        <f t="shared" si="27"/>
        <v>0</v>
      </c>
      <c r="EA735" s="1385"/>
      <c r="EB735" s="1385"/>
      <c r="EC735" s="1385"/>
      <c r="ED735" s="1385"/>
      <c r="EE735" s="1385">
        <f t="shared" si="28"/>
        <v>0</v>
      </c>
      <c r="EF735" s="1385"/>
      <c r="EG735" s="1385"/>
      <c r="EH735" s="1385"/>
      <c r="EI735" s="1385"/>
      <c r="EJ735" s="1385">
        <f t="shared" si="29"/>
        <v>1</v>
      </c>
      <c r="EK735" s="1385"/>
      <c r="EL735" s="1385"/>
      <c r="EM735" s="1385"/>
      <c r="EN735" s="1385"/>
      <c r="EO735" s="1385">
        <f t="shared" si="30"/>
        <v>0</v>
      </c>
      <c r="EP735" s="1385"/>
      <c r="EQ735" s="1385"/>
      <c r="ER735" s="1385"/>
      <c r="ES735" s="1385"/>
      <c r="ET735" s="1385">
        <f t="shared" si="31"/>
        <v>0</v>
      </c>
      <c r="EU735" s="1385"/>
      <c r="EV735" s="1385"/>
      <c r="EW735" s="1385"/>
      <c r="EX735" s="1385"/>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f t="shared" si="35"/>
        <v>1430</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 customHeight="1">
      <c r="A736" s="4"/>
      <c r="B736" s="1362" t="s">
        <v>164</v>
      </c>
      <c r="C736" s="1363"/>
      <c r="D736" s="1363"/>
      <c r="E736" s="1363"/>
      <c r="F736" s="1364"/>
      <c r="G736" s="1371">
        <v>22</v>
      </c>
      <c r="H736" s="1372"/>
      <c r="I736" s="1372"/>
      <c r="J736" s="1373"/>
      <c r="K736" s="1374">
        <v>1042</v>
      </c>
      <c r="L736" s="1375"/>
      <c r="M736" s="1375"/>
      <c r="N736" s="1376"/>
      <c r="O736" s="1377">
        <v>2997</v>
      </c>
      <c r="P736" s="1378"/>
      <c r="Q736" s="1378"/>
      <c r="R736" s="1378"/>
      <c r="S736" s="1379"/>
      <c r="T736" s="1377">
        <v>101</v>
      </c>
      <c r="U736" s="1378"/>
      <c r="V736" s="1378"/>
      <c r="W736" s="1379"/>
      <c r="X736" s="1365">
        <f t="shared" si="10"/>
        <v>3098</v>
      </c>
      <c r="Y736" s="1366"/>
      <c r="Z736" s="1366"/>
      <c r="AA736" s="1366"/>
      <c r="AB736" s="1367"/>
      <c r="AC736" s="1380">
        <v>0.6</v>
      </c>
      <c r="AD736" s="1381"/>
      <c r="AE736" s="1381"/>
      <c r="AF736" s="1381"/>
      <c r="AG736" s="1382"/>
      <c r="AH736" s="1368">
        <f t="shared" si="38"/>
        <v>0.59325928762926083</v>
      </c>
      <c r="AI736" s="1369"/>
      <c r="AJ736" s="1370"/>
      <c r="AK736" s="1362" t="s">
        <v>590</v>
      </c>
      <c r="AL736" s="1363"/>
      <c r="AM736" s="1363"/>
      <c r="AN736" s="1363"/>
      <c r="AO736" s="1364"/>
      <c r="AP736" s="3"/>
      <c r="AQ736" s="3"/>
      <c r="AR736" s="3"/>
      <c r="AS736" s="3"/>
      <c r="AY736" s="1080"/>
      <c r="AZ736" s="118">
        <f t="shared" si="11"/>
        <v>5222</v>
      </c>
      <c r="BA736" s="3"/>
      <c r="BB736" s="3"/>
      <c r="BC736" s="3"/>
      <c r="BD736" s="3"/>
      <c r="BE736" s="204"/>
      <c r="BF736" s="294">
        <f t="shared" si="12"/>
        <v>22</v>
      </c>
      <c r="BG736" s="297">
        <f t="shared" si="13"/>
        <v>9.4827586206896547E-2</v>
      </c>
      <c r="BH736" s="298">
        <f t="shared" si="14"/>
        <v>5.6896551724137927E-2</v>
      </c>
      <c r="BI736" s="3"/>
      <c r="BJ736" s="3"/>
      <c r="BK736" s="3"/>
      <c r="BL736" s="3"/>
      <c r="BM736" s="3"/>
      <c r="BN736" s="3"/>
      <c r="BS736" s="294">
        <f t="shared" si="15"/>
        <v>22</v>
      </c>
      <c r="BT736" s="297">
        <f t="shared" si="16"/>
        <v>9.4827586206896547E-2</v>
      </c>
      <c r="BU736" s="298">
        <f t="shared" si="17"/>
        <v>5.6257346240705768E-2</v>
      </c>
      <c r="BV736" s="3"/>
      <c r="BW736" s="3"/>
      <c r="BX736" s="3"/>
      <c r="BY736" s="3"/>
      <c r="BZ736" s="3"/>
      <c r="CA736" s="3"/>
      <c r="CB736" s="3"/>
      <c r="CC736" s="3"/>
      <c r="CE736" s="3"/>
      <c r="CF736" s="3"/>
      <c r="CG736" s="1358">
        <f t="shared" si="39"/>
        <v>0</v>
      </c>
      <c r="CH736" s="1360"/>
      <c r="CI736" s="1343">
        <f t="shared" si="40"/>
        <v>0</v>
      </c>
      <c r="CJ736" s="1345"/>
      <c r="CK736" s="1358">
        <f t="shared" si="18"/>
        <v>0</v>
      </c>
      <c r="CL736" s="1360"/>
      <c r="CM736" s="1343">
        <f t="shared" si="19"/>
        <v>0</v>
      </c>
      <c r="CN736" s="1345"/>
      <c r="CO736" s="3"/>
      <c r="CP736" s="1340">
        <f t="shared" si="20"/>
        <v>0</v>
      </c>
      <c r="CQ736" s="1341"/>
      <c r="CR736" s="1341"/>
      <c r="CS736" s="1341"/>
      <c r="CT736" s="1342"/>
      <c r="CU736" s="1361">
        <f t="shared" si="21"/>
        <v>0</v>
      </c>
      <c r="CV736" s="1361"/>
      <c r="CW736" s="1361"/>
      <c r="CX736" s="1361"/>
      <c r="CY736" s="1361"/>
      <c r="CZ736" s="1361">
        <f t="shared" si="22"/>
        <v>0</v>
      </c>
      <c r="DA736" s="1361"/>
      <c r="DB736" s="1361"/>
      <c r="DC736" s="1361"/>
      <c r="DD736" s="1361"/>
      <c r="DE736" s="1361">
        <f t="shared" si="23"/>
        <v>22</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85">
        <f t="shared" si="26"/>
        <v>0</v>
      </c>
      <c r="DV736" s="1385"/>
      <c r="DW736" s="1385"/>
      <c r="DX736" s="1385"/>
      <c r="DY736" s="1385"/>
      <c r="DZ736" s="1385">
        <f t="shared" si="27"/>
        <v>0</v>
      </c>
      <c r="EA736" s="1385"/>
      <c r="EB736" s="1385"/>
      <c r="EC736" s="1385"/>
      <c r="ED736" s="1385"/>
      <c r="EE736" s="1385">
        <f t="shared" si="28"/>
        <v>0</v>
      </c>
      <c r="EF736" s="1385"/>
      <c r="EG736" s="1385"/>
      <c r="EH736" s="1385"/>
      <c r="EI736" s="1385"/>
      <c r="EJ736" s="1385">
        <f t="shared" si="29"/>
        <v>0</v>
      </c>
      <c r="EK736" s="1385"/>
      <c r="EL736" s="1385"/>
      <c r="EM736" s="1385"/>
      <c r="EN736" s="1385"/>
      <c r="EO736" s="1385">
        <f t="shared" si="30"/>
        <v>0</v>
      </c>
      <c r="EP736" s="1385"/>
      <c r="EQ736" s="1385"/>
      <c r="ER736" s="1385"/>
      <c r="ES736" s="1385"/>
      <c r="ET736" s="1385">
        <f t="shared" si="31"/>
        <v>0</v>
      </c>
      <c r="EU736" s="1385"/>
      <c r="EV736" s="1385"/>
      <c r="EW736" s="1385"/>
      <c r="EX736" s="1385"/>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f t="shared" si="35"/>
        <v>2997</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 customHeight="1">
      <c r="A737" s="4"/>
      <c r="B737" s="1362" t="s">
        <v>164</v>
      </c>
      <c r="C737" s="1363"/>
      <c r="D737" s="1363"/>
      <c r="E737" s="1363"/>
      <c r="F737" s="1364"/>
      <c r="G737" s="1371">
        <v>37</v>
      </c>
      <c r="H737" s="1372"/>
      <c r="I737" s="1372"/>
      <c r="J737" s="1373"/>
      <c r="K737" s="1374">
        <v>1042</v>
      </c>
      <c r="L737" s="1375"/>
      <c r="M737" s="1375"/>
      <c r="N737" s="1376"/>
      <c r="O737" s="1377">
        <v>2997</v>
      </c>
      <c r="P737" s="1378"/>
      <c r="Q737" s="1378"/>
      <c r="R737" s="1378"/>
      <c r="S737" s="1379"/>
      <c r="T737" s="1377">
        <v>101</v>
      </c>
      <c r="U737" s="1378"/>
      <c r="V737" s="1378"/>
      <c r="W737" s="1379"/>
      <c r="X737" s="1365">
        <f t="shared" si="10"/>
        <v>3098</v>
      </c>
      <c r="Y737" s="1366"/>
      <c r="Z737" s="1366"/>
      <c r="AA737" s="1366"/>
      <c r="AB737" s="1367"/>
      <c r="AC737" s="1380">
        <v>0.7</v>
      </c>
      <c r="AD737" s="1381"/>
      <c r="AE737" s="1381"/>
      <c r="AF737" s="1381"/>
      <c r="AG737" s="1382"/>
      <c r="AH737" s="1368">
        <f t="shared" si="38"/>
        <v>0.59325928762926083</v>
      </c>
      <c r="AI737" s="1369"/>
      <c r="AJ737" s="1370"/>
      <c r="AK737" s="1362" t="s">
        <v>590</v>
      </c>
      <c r="AL737" s="1363"/>
      <c r="AM737" s="1363"/>
      <c r="AN737" s="1363"/>
      <c r="AO737" s="1364"/>
      <c r="AP737" s="3"/>
      <c r="AQ737" s="3"/>
      <c r="AR737" s="3"/>
      <c r="AS737" s="3"/>
      <c r="AY737" s="1080"/>
      <c r="AZ737" s="118">
        <f t="shared" si="11"/>
        <v>5222</v>
      </c>
      <c r="BA737" s="3"/>
      <c r="BB737" s="3"/>
      <c r="BC737" s="3"/>
      <c r="BD737" s="3"/>
      <c r="BE737" s="204"/>
      <c r="BF737" s="294">
        <f t="shared" si="12"/>
        <v>37</v>
      </c>
      <c r="BG737" s="297">
        <f t="shared" si="13"/>
        <v>0.15948275862068967</v>
      </c>
      <c r="BH737" s="298">
        <f t="shared" si="14"/>
        <v>0.11163793103448276</v>
      </c>
      <c r="BI737" s="3"/>
      <c r="BJ737" s="3"/>
      <c r="BK737" s="3"/>
      <c r="BL737" s="3"/>
      <c r="BM737" s="3"/>
      <c r="BN737" s="3"/>
      <c r="BS737" s="294">
        <f t="shared" si="15"/>
        <v>37</v>
      </c>
      <c r="BT737" s="297">
        <f t="shared" si="16"/>
        <v>0.15948275862068967</v>
      </c>
      <c r="BU737" s="298">
        <f t="shared" si="17"/>
        <v>9.4614627768459705E-2</v>
      </c>
      <c r="BV737" s="3"/>
      <c r="BW737" s="3"/>
      <c r="BX737" s="3"/>
      <c r="BY737" s="3"/>
      <c r="BZ737" s="3"/>
      <c r="CA737" s="3"/>
      <c r="CB737" s="3"/>
      <c r="CC737" s="3"/>
      <c r="CE737" s="3"/>
      <c r="CF737" s="3"/>
      <c r="CG737" s="1358">
        <f t="shared" si="39"/>
        <v>0</v>
      </c>
      <c r="CH737" s="1360"/>
      <c r="CI737" s="1343">
        <f t="shared" si="40"/>
        <v>0</v>
      </c>
      <c r="CJ737" s="1345"/>
      <c r="CK737" s="1358">
        <f t="shared" si="18"/>
        <v>0</v>
      </c>
      <c r="CL737" s="1360"/>
      <c r="CM737" s="1343">
        <f t="shared" si="19"/>
        <v>0</v>
      </c>
      <c r="CN737" s="1345"/>
      <c r="CO737" s="3"/>
      <c r="CP737" s="1340">
        <f t="shared" si="20"/>
        <v>0</v>
      </c>
      <c r="CQ737" s="1341"/>
      <c r="CR737" s="1341"/>
      <c r="CS737" s="1341"/>
      <c r="CT737" s="1342"/>
      <c r="CU737" s="1361">
        <f t="shared" si="21"/>
        <v>0</v>
      </c>
      <c r="CV737" s="1361"/>
      <c r="CW737" s="1361"/>
      <c r="CX737" s="1361"/>
      <c r="CY737" s="1361"/>
      <c r="CZ737" s="1361">
        <f t="shared" si="22"/>
        <v>0</v>
      </c>
      <c r="DA737" s="1361"/>
      <c r="DB737" s="1361"/>
      <c r="DC737" s="1361"/>
      <c r="DD737" s="1361"/>
      <c r="DE737" s="1361">
        <f t="shared" si="23"/>
        <v>37</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85">
        <f t="shared" si="26"/>
        <v>0</v>
      </c>
      <c r="DV737" s="1385"/>
      <c r="DW737" s="1385"/>
      <c r="DX737" s="1385"/>
      <c r="DY737" s="1385"/>
      <c r="DZ737" s="1385">
        <f t="shared" si="27"/>
        <v>0</v>
      </c>
      <c r="EA737" s="1385"/>
      <c r="EB737" s="1385"/>
      <c r="EC737" s="1385"/>
      <c r="ED737" s="1385"/>
      <c r="EE737" s="1385">
        <f t="shared" si="28"/>
        <v>0</v>
      </c>
      <c r="EF737" s="1385"/>
      <c r="EG737" s="1385"/>
      <c r="EH737" s="1385"/>
      <c r="EI737" s="1385"/>
      <c r="EJ737" s="1385">
        <f t="shared" si="29"/>
        <v>0</v>
      </c>
      <c r="EK737" s="1385"/>
      <c r="EL737" s="1385"/>
      <c r="EM737" s="1385"/>
      <c r="EN737" s="1385"/>
      <c r="EO737" s="1385">
        <f t="shared" si="30"/>
        <v>0</v>
      </c>
      <c r="EP737" s="1385"/>
      <c r="EQ737" s="1385"/>
      <c r="ER737" s="1385"/>
      <c r="ES737" s="1385"/>
      <c r="ET737" s="1385">
        <f t="shared" si="31"/>
        <v>0</v>
      </c>
      <c r="EU737" s="1385"/>
      <c r="EV737" s="1385"/>
      <c r="EW737" s="1385"/>
      <c r="EX737" s="1385"/>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f t="shared" si="35"/>
        <v>2997</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 customHeight="1">
      <c r="B738" s="1362"/>
      <c r="C738" s="1363"/>
      <c r="D738" s="1363"/>
      <c r="E738" s="1363"/>
      <c r="F738" s="1364"/>
      <c r="G738" s="1371"/>
      <c r="H738" s="1372"/>
      <c r="I738" s="1372"/>
      <c r="J738" s="1373"/>
      <c r="K738" s="1374"/>
      <c r="L738" s="1375"/>
      <c r="M738" s="1375"/>
      <c r="N738" s="1376"/>
      <c r="O738" s="1377"/>
      <c r="P738" s="1378"/>
      <c r="Q738" s="1378"/>
      <c r="R738" s="1378"/>
      <c r="S738" s="1379"/>
      <c r="T738" s="1377"/>
      <c r="U738" s="1378"/>
      <c r="V738" s="1378"/>
      <c r="W738" s="1379"/>
      <c r="X738" s="1365">
        <f t="shared" si="10"/>
        <v>0</v>
      </c>
      <c r="Y738" s="1366"/>
      <c r="Z738" s="1366"/>
      <c r="AA738" s="1366"/>
      <c r="AB738" s="1367"/>
      <c r="AC738" s="1380"/>
      <c r="AD738" s="1381"/>
      <c r="AE738" s="1381"/>
      <c r="AF738" s="1381"/>
      <c r="AG738" s="1382"/>
      <c r="AH738" s="1368" t="str">
        <f t="shared" si="38"/>
        <v/>
      </c>
      <c r="AI738" s="1369"/>
      <c r="AJ738" s="1370"/>
      <c r="AK738" s="1362" t="s">
        <v>590</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3">
        <f t="shared" si="40"/>
        <v>0</v>
      </c>
      <c r="CJ738" s="1345"/>
      <c r="CK738" s="1358">
        <f t="shared" si="18"/>
        <v>0</v>
      </c>
      <c r="CL738" s="1360"/>
      <c r="CM738" s="1343">
        <f t="shared" si="19"/>
        <v>0</v>
      </c>
      <c r="CN738" s="1345"/>
      <c r="CO738" s="3"/>
      <c r="CP738" s="1340">
        <f t="shared" si="20"/>
        <v>0</v>
      </c>
      <c r="CQ738" s="1341"/>
      <c r="CR738" s="1341"/>
      <c r="CS738" s="1341"/>
      <c r="CT738" s="1342"/>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85">
        <f t="shared" si="26"/>
        <v>0</v>
      </c>
      <c r="DV738" s="1385"/>
      <c r="DW738" s="1385"/>
      <c r="DX738" s="1385"/>
      <c r="DY738" s="1385"/>
      <c r="DZ738" s="1385">
        <f t="shared" si="27"/>
        <v>0</v>
      </c>
      <c r="EA738" s="1385"/>
      <c r="EB738" s="1385"/>
      <c r="EC738" s="1385"/>
      <c r="ED738" s="1385"/>
      <c r="EE738" s="1385">
        <f t="shared" si="28"/>
        <v>0</v>
      </c>
      <c r="EF738" s="1385"/>
      <c r="EG738" s="1385"/>
      <c r="EH738" s="1385"/>
      <c r="EI738" s="1385"/>
      <c r="EJ738" s="1385">
        <f t="shared" si="29"/>
        <v>0</v>
      </c>
      <c r="EK738" s="1385"/>
      <c r="EL738" s="1385"/>
      <c r="EM738" s="1385"/>
      <c r="EN738" s="1385"/>
      <c r="EO738" s="1385">
        <f t="shared" si="30"/>
        <v>0</v>
      </c>
      <c r="EP738" s="1385"/>
      <c r="EQ738" s="1385"/>
      <c r="ER738" s="1385"/>
      <c r="ES738" s="1385"/>
      <c r="ET738" s="1385">
        <f t="shared" si="31"/>
        <v>0</v>
      </c>
      <c r="EU738" s="1385"/>
      <c r="EV738" s="1385"/>
      <c r="EW738" s="1385"/>
      <c r="EX738" s="1385"/>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 customHeight="1">
      <c r="B739" s="1362"/>
      <c r="C739" s="1363"/>
      <c r="D739" s="1363"/>
      <c r="E739" s="1363"/>
      <c r="F739" s="1364"/>
      <c r="G739" s="1371"/>
      <c r="H739" s="1372"/>
      <c r="I739" s="1372"/>
      <c r="J739" s="1373"/>
      <c r="K739" s="1374"/>
      <c r="L739" s="1375"/>
      <c r="M739" s="1375"/>
      <c r="N739" s="1376"/>
      <c r="O739" s="1377"/>
      <c r="P739" s="1378"/>
      <c r="Q739" s="1378"/>
      <c r="R739" s="1378"/>
      <c r="S739" s="1379"/>
      <c r="T739" s="1377"/>
      <c r="U739" s="1378"/>
      <c r="V739" s="1378"/>
      <c r="W739" s="1379"/>
      <c r="X739" s="1365">
        <f t="shared" si="10"/>
        <v>0</v>
      </c>
      <c r="Y739" s="1366"/>
      <c r="Z739" s="1366"/>
      <c r="AA739" s="1366"/>
      <c r="AB739" s="1367"/>
      <c r="AC739" s="1380"/>
      <c r="AD739" s="1381"/>
      <c r="AE739" s="1381"/>
      <c r="AF739" s="1381"/>
      <c r="AG739" s="1382"/>
      <c r="AH739" s="1368" t="str">
        <f t="shared" si="38"/>
        <v/>
      </c>
      <c r="AI739" s="1369"/>
      <c r="AJ739" s="1370"/>
      <c r="AK739" s="1362" t="s">
        <v>590</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3">
        <f t="shared" si="40"/>
        <v>0</v>
      </c>
      <c r="CJ739" s="1345"/>
      <c r="CK739" s="1358">
        <f t="shared" si="18"/>
        <v>0</v>
      </c>
      <c r="CL739" s="1360"/>
      <c r="CM739" s="1343">
        <f t="shared" si="19"/>
        <v>0</v>
      </c>
      <c r="CN739" s="1345"/>
      <c r="CO739" s="3"/>
      <c r="CP739" s="1340">
        <f t="shared" si="20"/>
        <v>0</v>
      </c>
      <c r="CQ739" s="1341"/>
      <c r="CR739" s="1341"/>
      <c r="CS739" s="1341"/>
      <c r="CT739" s="1342"/>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85">
        <f t="shared" si="26"/>
        <v>0</v>
      </c>
      <c r="DV739" s="1385"/>
      <c r="DW739" s="1385"/>
      <c r="DX739" s="1385"/>
      <c r="DY739" s="1385"/>
      <c r="DZ739" s="1385">
        <f t="shared" si="27"/>
        <v>0</v>
      </c>
      <c r="EA739" s="1385"/>
      <c r="EB739" s="1385"/>
      <c r="EC739" s="1385"/>
      <c r="ED739" s="1385"/>
      <c r="EE739" s="1385">
        <f t="shared" si="28"/>
        <v>0</v>
      </c>
      <c r="EF739" s="1385"/>
      <c r="EG739" s="1385"/>
      <c r="EH739" s="1385"/>
      <c r="EI739" s="1385"/>
      <c r="EJ739" s="1385">
        <f t="shared" si="29"/>
        <v>0</v>
      </c>
      <c r="EK739" s="1385"/>
      <c r="EL739" s="1385"/>
      <c r="EM739" s="1385"/>
      <c r="EN739" s="1385"/>
      <c r="EO739" s="1385">
        <f t="shared" si="30"/>
        <v>0</v>
      </c>
      <c r="EP739" s="1385"/>
      <c r="EQ739" s="1385"/>
      <c r="ER739" s="1385"/>
      <c r="ES739" s="1385"/>
      <c r="ET739" s="1385">
        <f t="shared" si="31"/>
        <v>0</v>
      </c>
      <c r="EU739" s="1385"/>
      <c r="EV739" s="1385"/>
      <c r="EW739" s="1385"/>
      <c r="EX739" s="1385"/>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 customHeight="1">
      <c r="B740" s="1362"/>
      <c r="C740" s="1363"/>
      <c r="D740" s="1363"/>
      <c r="E740" s="1363"/>
      <c r="F740" s="1364"/>
      <c r="G740" s="1371"/>
      <c r="H740" s="1372"/>
      <c r="I740" s="1372"/>
      <c r="J740" s="1373"/>
      <c r="K740" s="1374"/>
      <c r="L740" s="1375"/>
      <c r="M740" s="1375"/>
      <c r="N740" s="1376"/>
      <c r="O740" s="1377"/>
      <c r="P740" s="1378"/>
      <c r="Q740" s="1378"/>
      <c r="R740" s="1378"/>
      <c r="S740" s="1379"/>
      <c r="T740" s="1377"/>
      <c r="U740" s="1378"/>
      <c r="V740" s="1378"/>
      <c r="W740" s="1379"/>
      <c r="X740" s="1365">
        <f t="shared" si="10"/>
        <v>0</v>
      </c>
      <c r="Y740" s="1366"/>
      <c r="Z740" s="1366"/>
      <c r="AA740" s="1366"/>
      <c r="AB740" s="1367"/>
      <c r="AC740" s="1380"/>
      <c r="AD740" s="1381"/>
      <c r="AE740" s="1381"/>
      <c r="AF740" s="1381"/>
      <c r="AG740" s="1382"/>
      <c r="AH740" s="1368" t="str">
        <f t="shared" si="38"/>
        <v/>
      </c>
      <c r="AI740" s="1369"/>
      <c r="AJ740" s="1370"/>
      <c r="AK740" s="1362" t="s">
        <v>590</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3">
        <f t="shared" si="40"/>
        <v>0</v>
      </c>
      <c r="CJ740" s="1345"/>
      <c r="CK740" s="1358">
        <f t="shared" si="18"/>
        <v>0</v>
      </c>
      <c r="CL740" s="1360"/>
      <c r="CM740" s="1343">
        <f t="shared" si="19"/>
        <v>0</v>
      </c>
      <c r="CN740" s="1345"/>
      <c r="CO740" s="3"/>
      <c r="CP740" s="1340">
        <f t="shared" si="20"/>
        <v>0</v>
      </c>
      <c r="CQ740" s="1341"/>
      <c r="CR740" s="1341"/>
      <c r="CS740" s="1341"/>
      <c r="CT740" s="1342"/>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85">
        <f t="shared" si="26"/>
        <v>0</v>
      </c>
      <c r="DV740" s="1385"/>
      <c r="DW740" s="1385"/>
      <c r="DX740" s="1385"/>
      <c r="DY740" s="1385"/>
      <c r="DZ740" s="1385">
        <f t="shared" si="27"/>
        <v>0</v>
      </c>
      <c r="EA740" s="1385"/>
      <c r="EB740" s="1385"/>
      <c r="EC740" s="1385"/>
      <c r="ED740" s="1385"/>
      <c r="EE740" s="1385">
        <f t="shared" si="28"/>
        <v>0</v>
      </c>
      <c r="EF740" s="1385"/>
      <c r="EG740" s="1385"/>
      <c r="EH740" s="1385"/>
      <c r="EI740" s="1385"/>
      <c r="EJ740" s="1385">
        <f t="shared" si="29"/>
        <v>0</v>
      </c>
      <c r="EK740" s="1385"/>
      <c r="EL740" s="1385"/>
      <c r="EM740" s="1385"/>
      <c r="EN740" s="1385"/>
      <c r="EO740" s="1385">
        <f t="shared" si="30"/>
        <v>0</v>
      </c>
      <c r="EP740" s="1385"/>
      <c r="EQ740" s="1385"/>
      <c r="ER740" s="1385"/>
      <c r="ES740" s="1385"/>
      <c r="ET740" s="1385">
        <f t="shared" si="31"/>
        <v>0</v>
      </c>
      <c r="EU740" s="1385"/>
      <c r="EV740" s="1385"/>
      <c r="EW740" s="1385"/>
      <c r="EX740" s="1385"/>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 customHeight="1">
      <c r="B741" s="1362"/>
      <c r="C741" s="1363"/>
      <c r="D741" s="1363"/>
      <c r="E741" s="1363"/>
      <c r="F741" s="1364"/>
      <c r="G741" s="1371"/>
      <c r="H741" s="1372"/>
      <c r="I741" s="1372"/>
      <c r="J741" s="1373"/>
      <c r="K741" s="1374"/>
      <c r="L741" s="1375"/>
      <c r="M741" s="1375"/>
      <c r="N741" s="1376"/>
      <c r="O741" s="1377"/>
      <c r="P741" s="1378"/>
      <c r="Q741" s="1378"/>
      <c r="R741" s="1378"/>
      <c r="S741" s="1379"/>
      <c r="T741" s="1377"/>
      <c r="U741" s="1378"/>
      <c r="V741" s="1378"/>
      <c r="W741" s="1379"/>
      <c r="X741" s="1365">
        <f t="shared" si="10"/>
        <v>0</v>
      </c>
      <c r="Y741" s="1366"/>
      <c r="Z741" s="1366"/>
      <c r="AA741" s="1366"/>
      <c r="AB741" s="1367"/>
      <c r="AC741" s="1380"/>
      <c r="AD741" s="1381"/>
      <c r="AE741" s="1381"/>
      <c r="AF741" s="1381"/>
      <c r="AG741" s="1382"/>
      <c r="AH741" s="1368" t="str">
        <f t="shared" si="38"/>
        <v/>
      </c>
      <c r="AI741" s="1369"/>
      <c r="AJ741" s="1370"/>
      <c r="AK741" s="1362" t="s">
        <v>590</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3">
        <f t="shared" si="40"/>
        <v>0</v>
      </c>
      <c r="CJ741" s="1345"/>
      <c r="CK741" s="1358">
        <f t="shared" si="18"/>
        <v>0</v>
      </c>
      <c r="CL741" s="1360"/>
      <c r="CM741" s="1343">
        <f t="shared" si="19"/>
        <v>0</v>
      </c>
      <c r="CN741" s="1345"/>
      <c r="CO741" s="3"/>
      <c r="CP741" s="1340">
        <f t="shared" si="20"/>
        <v>0</v>
      </c>
      <c r="CQ741" s="1341"/>
      <c r="CR741" s="1341"/>
      <c r="CS741" s="1341"/>
      <c r="CT741" s="1342"/>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5">
        <f t="shared" si="26"/>
        <v>0</v>
      </c>
      <c r="DV741" s="1385"/>
      <c r="DW741" s="1385"/>
      <c r="DX741" s="1385"/>
      <c r="DY741" s="1385"/>
      <c r="DZ741" s="1385">
        <f t="shared" si="27"/>
        <v>0</v>
      </c>
      <c r="EA741" s="1385"/>
      <c r="EB741" s="1385"/>
      <c r="EC741" s="1385"/>
      <c r="ED741" s="1385"/>
      <c r="EE741" s="1385">
        <f t="shared" si="28"/>
        <v>0</v>
      </c>
      <c r="EF741" s="1385"/>
      <c r="EG741" s="1385"/>
      <c r="EH741" s="1385"/>
      <c r="EI741" s="1385"/>
      <c r="EJ741" s="1385">
        <f t="shared" si="29"/>
        <v>0</v>
      </c>
      <c r="EK741" s="1385"/>
      <c r="EL741" s="1385"/>
      <c r="EM741" s="1385"/>
      <c r="EN741" s="1385"/>
      <c r="EO741" s="1385">
        <f t="shared" si="30"/>
        <v>0</v>
      </c>
      <c r="EP741" s="1385"/>
      <c r="EQ741" s="1385"/>
      <c r="ER741" s="1385"/>
      <c r="ES741" s="1385"/>
      <c r="ET741" s="1385">
        <f t="shared" si="31"/>
        <v>0</v>
      </c>
      <c r="EU741" s="1385"/>
      <c r="EV741" s="1385"/>
      <c r="EW741" s="1385"/>
      <c r="EX741" s="1385"/>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 customHeight="1">
      <c r="B742" s="1362"/>
      <c r="C742" s="1363"/>
      <c r="D742" s="1363"/>
      <c r="E742" s="1363"/>
      <c r="F742" s="1364"/>
      <c r="G742" s="1371"/>
      <c r="H742" s="1372"/>
      <c r="I742" s="1372"/>
      <c r="J742" s="1373"/>
      <c r="K742" s="1374"/>
      <c r="L742" s="1375"/>
      <c r="M742" s="1375"/>
      <c r="N742" s="1376"/>
      <c r="O742" s="1377"/>
      <c r="P742" s="1378"/>
      <c r="Q742" s="1378"/>
      <c r="R742" s="1378"/>
      <c r="S742" s="1379"/>
      <c r="T742" s="1377"/>
      <c r="U742" s="1378"/>
      <c r="V742" s="1378"/>
      <c r="W742" s="1379"/>
      <c r="X742" s="1365">
        <f t="shared" si="10"/>
        <v>0</v>
      </c>
      <c r="Y742" s="1366"/>
      <c r="Z742" s="1366"/>
      <c r="AA742" s="1366"/>
      <c r="AB742" s="1367"/>
      <c r="AC742" s="1380"/>
      <c r="AD742" s="1381"/>
      <c r="AE742" s="1381"/>
      <c r="AF742" s="1381"/>
      <c r="AG742" s="1382"/>
      <c r="AH742" s="1368" t="str">
        <f t="shared" si="38"/>
        <v/>
      </c>
      <c r="AI742" s="1369"/>
      <c r="AJ742" s="1370"/>
      <c r="AK742" s="1362" t="s">
        <v>590</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3">
        <f t="shared" si="40"/>
        <v>0</v>
      </c>
      <c r="CJ742" s="1345"/>
      <c r="CK742" s="1358">
        <f t="shared" si="18"/>
        <v>0</v>
      </c>
      <c r="CL742" s="1360"/>
      <c r="CM742" s="1343">
        <f t="shared" si="19"/>
        <v>0</v>
      </c>
      <c r="CN742" s="1345"/>
      <c r="CO742" s="3"/>
      <c r="CP742" s="1340">
        <f t="shared" si="20"/>
        <v>0</v>
      </c>
      <c r="CQ742" s="1341"/>
      <c r="CR742" s="1341"/>
      <c r="CS742" s="1341"/>
      <c r="CT742" s="1342"/>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5">
        <f t="shared" si="26"/>
        <v>0</v>
      </c>
      <c r="DV742" s="1385"/>
      <c r="DW742" s="1385"/>
      <c r="DX742" s="1385"/>
      <c r="DY742" s="1385"/>
      <c r="DZ742" s="1385">
        <f t="shared" si="27"/>
        <v>0</v>
      </c>
      <c r="EA742" s="1385"/>
      <c r="EB742" s="1385"/>
      <c r="EC742" s="1385"/>
      <c r="ED742" s="1385"/>
      <c r="EE742" s="1385">
        <f t="shared" si="28"/>
        <v>0</v>
      </c>
      <c r="EF742" s="1385"/>
      <c r="EG742" s="1385"/>
      <c r="EH742" s="1385"/>
      <c r="EI742" s="1385"/>
      <c r="EJ742" s="1385">
        <f t="shared" si="29"/>
        <v>0</v>
      </c>
      <c r="EK742" s="1385"/>
      <c r="EL742" s="1385"/>
      <c r="EM742" s="1385"/>
      <c r="EN742" s="1385"/>
      <c r="EO742" s="1385">
        <f t="shared" si="30"/>
        <v>0</v>
      </c>
      <c r="EP742" s="1385"/>
      <c r="EQ742" s="1385"/>
      <c r="ER742" s="1385"/>
      <c r="ES742" s="1385"/>
      <c r="ET742" s="1385">
        <f t="shared" si="31"/>
        <v>0</v>
      </c>
      <c r="EU742" s="1385"/>
      <c r="EV742" s="1385"/>
      <c r="EW742" s="1385"/>
      <c r="EX742" s="1385"/>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 customHeight="1">
      <c r="B743" s="1362"/>
      <c r="C743" s="1363"/>
      <c r="D743" s="1363"/>
      <c r="E743" s="1363"/>
      <c r="F743" s="1364"/>
      <c r="G743" s="1371"/>
      <c r="H743" s="1372"/>
      <c r="I743" s="1372"/>
      <c r="J743" s="1373"/>
      <c r="K743" s="1374"/>
      <c r="L743" s="1375"/>
      <c r="M743" s="1375"/>
      <c r="N743" s="1376"/>
      <c r="O743" s="1377"/>
      <c r="P743" s="1378"/>
      <c r="Q743" s="1378"/>
      <c r="R743" s="1378"/>
      <c r="S743" s="1379"/>
      <c r="T743" s="1377"/>
      <c r="U743" s="1378"/>
      <c r="V743" s="1378"/>
      <c r="W743" s="1379"/>
      <c r="X743" s="1365">
        <f t="shared" si="10"/>
        <v>0</v>
      </c>
      <c r="Y743" s="1366"/>
      <c r="Z743" s="1366"/>
      <c r="AA743" s="1366"/>
      <c r="AB743" s="1367"/>
      <c r="AC743" s="1380"/>
      <c r="AD743" s="1381"/>
      <c r="AE743" s="1381"/>
      <c r="AF743" s="1381"/>
      <c r="AG743" s="1382"/>
      <c r="AH743" s="1368" t="str">
        <f t="shared" si="38"/>
        <v/>
      </c>
      <c r="AI743" s="1369"/>
      <c r="AJ743" s="1370"/>
      <c r="AK743" s="1362" t="s">
        <v>590</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3">
        <f t="shared" si="40"/>
        <v>0</v>
      </c>
      <c r="CJ743" s="1345"/>
      <c r="CK743" s="1358">
        <f t="shared" si="18"/>
        <v>0</v>
      </c>
      <c r="CL743" s="1360"/>
      <c r="CM743" s="1343">
        <f t="shared" si="19"/>
        <v>0</v>
      </c>
      <c r="CN743" s="1345"/>
      <c r="CO743" s="3"/>
      <c r="CP743" s="1340">
        <f t="shared" si="20"/>
        <v>0</v>
      </c>
      <c r="CQ743" s="1341"/>
      <c r="CR743" s="1341"/>
      <c r="CS743" s="1341"/>
      <c r="CT743" s="1342"/>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5">
        <f t="shared" si="26"/>
        <v>0</v>
      </c>
      <c r="DV743" s="1385"/>
      <c r="DW743" s="1385"/>
      <c r="DX743" s="1385"/>
      <c r="DY743" s="1385"/>
      <c r="DZ743" s="1385">
        <f t="shared" si="27"/>
        <v>0</v>
      </c>
      <c r="EA743" s="1385"/>
      <c r="EB743" s="1385"/>
      <c r="EC743" s="1385"/>
      <c r="ED743" s="1385"/>
      <c r="EE743" s="1385">
        <f t="shared" si="28"/>
        <v>0</v>
      </c>
      <c r="EF743" s="1385"/>
      <c r="EG743" s="1385"/>
      <c r="EH743" s="1385"/>
      <c r="EI743" s="1385"/>
      <c r="EJ743" s="1385">
        <f t="shared" si="29"/>
        <v>0</v>
      </c>
      <c r="EK743" s="1385"/>
      <c r="EL743" s="1385"/>
      <c r="EM743" s="1385"/>
      <c r="EN743" s="1385"/>
      <c r="EO743" s="1385">
        <f t="shared" si="30"/>
        <v>0</v>
      </c>
      <c r="EP743" s="1385"/>
      <c r="EQ743" s="1385"/>
      <c r="ER743" s="1385"/>
      <c r="ES743" s="1385"/>
      <c r="ET743" s="1385">
        <f t="shared" si="31"/>
        <v>0</v>
      </c>
      <c r="EU743" s="1385"/>
      <c r="EV743" s="1385"/>
      <c r="EW743" s="1385"/>
      <c r="EX743" s="1385"/>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 customHeight="1">
      <c r="B744" s="1362"/>
      <c r="C744" s="1363"/>
      <c r="D744" s="1363"/>
      <c r="E744" s="1363"/>
      <c r="F744" s="1364"/>
      <c r="G744" s="1371"/>
      <c r="H744" s="1372"/>
      <c r="I744" s="1372"/>
      <c r="J744" s="1373"/>
      <c r="K744" s="1374"/>
      <c r="L744" s="1375"/>
      <c r="M744" s="1375"/>
      <c r="N744" s="1376"/>
      <c r="O744" s="1377"/>
      <c r="P744" s="1378"/>
      <c r="Q744" s="1378"/>
      <c r="R744" s="1378"/>
      <c r="S744" s="1379"/>
      <c r="T744" s="1377"/>
      <c r="U744" s="1378"/>
      <c r="V744" s="1378"/>
      <c r="W744" s="1379"/>
      <c r="X744" s="1365">
        <f t="shared" si="10"/>
        <v>0</v>
      </c>
      <c r="Y744" s="1366"/>
      <c r="Z744" s="1366"/>
      <c r="AA744" s="1366"/>
      <c r="AB744" s="1367"/>
      <c r="AC744" s="1380"/>
      <c r="AD744" s="1381"/>
      <c r="AE744" s="1381"/>
      <c r="AF744" s="1381"/>
      <c r="AG744" s="1382"/>
      <c r="AH744" s="1368" t="str">
        <f t="shared" si="38"/>
        <v/>
      </c>
      <c r="AI744" s="1369"/>
      <c r="AJ744" s="1370"/>
      <c r="AK744" s="1362" t="s">
        <v>590</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3">
        <f t="shared" si="40"/>
        <v>0</v>
      </c>
      <c r="CJ744" s="1345"/>
      <c r="CK744" s="1358">
        <f t="shared" si="18"/>
        <v>0</v>
      </c>
      <c r="CL744" s="1360"/>
      <c r="CM744" s="1343">
        <f t="shared" si="19"/>
        <v>0</v>
      </c>
      <c r="CN744" s="1345"/>
      <c r="CO744" s="3"/>
      <c r="CP744" s="1340">
        <f t="shared" si="20"/>
        <v>0</v>
      </c>
      <c r="CQ744" s="1341"/>
      <c r="CR744" s="1341"/>
      <c r="CS744" s="1341"/>
      <c r="CT744" s="1342"/>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5">
        <f t="shared" si="26"/>
        <v>0</v>
      </c>
      <c r="DV744" s="1385"/>
      <c r="DW744" s="1385"/>
      <c r="DX744" s="1385"/>
      <c r="DY744" s="1385"/>
      <c r="DZ744" s="1385">
        <f t="shared" si="27"/>
        <v>0</v>
      </c>
      <c r="EA744" s="1385"/>
      <c r="EB744" s="1385"/>
      <c r="EC744" s="1385"/>
      <c r="ED744" s="1385"/>
      <c r="EE744" s="1385">
        <f t="shared" si="28"/>
        <v>0</v>
      </c>
      <c r="EF744" s="1385"/>
      <c r="EG744" s="1385"/>
      <c r="EH744" s="1385"/>
      <c r="EI744" s="1385"/>
      <c r="EJ744" s="1385">
        <f t="shared" si="29"/>
        <v>0</v>
      </c>
      <c r="EK744" s="1385"/>
      <c r="EL744" s="1385"/>
      <c r="EM744" s="1385"/>
      <c r="EN744" s="1385"/>
      <c r="EO744" s="1385">
        <f t="shared" si="30"/>
        <v>0</v>
      </c>
      <c r="EP744" s="1385"/>
      <c r="EQ744" s="1385"/>
      <c r="ER744" s="1385"/>
      <c r="ES744" s="1385"/>
      <c r="ET744" s="1385">
        <f t="shared" si="31"/>
        <v>0</v>
      </c>
      <c r="EU744" s="1385"/>
      <c r="EV744" s="1385"/>
      <c r="EW744" s="1385"/>
      <c r="EX744" s="1385"/>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 customHeight="1">
      <c r="B745" s="1362"/>
      <c r="C745" s="1363"/>
      <c r="D745" s="1363"/>
      <c r="E745" s="1363"/>
      <c r="F745" s="1364"/>
      <c r="G745" s="1371"/>
      <c r="H745" s="1372"/>
      <c r="I745" s="1372"/>
      <c r="J745" s="1373"/>
      <c r="K745" s="1374"/>
      <c r="L745" s="1375"/>
      <c r="M745" s="1375"/>
      <c r="N745" s="1376"/>
      <c r="O745" s="1377"/>
      <c r="P745" s="1378"/>
      <c r="Q745" s="1378"/>
      <c r="R745" s="1378"/>
      <c r="S745" s="1379"/>
      <c r="T745" s="1377"/>
      <c r="U745" s="1378"/>
      <c r="V745" s="1378"/>
      <c r="W745" s="1379"/>
      <c r="X745" s="1365">
        <f t="shared" si="10"/>
        <v>0</v>
      </c>
      <c r="Y745" s="1366"/>
      <c r="Z745" s="1366"/>
      <c r="AA745" s="1366"/>
      <c r="AB745" s="1367"/>
      <c r="AC745" s="1380"/>
      <c r="AD745" s="1381"/>
      <c r="AE745" s="1381"/>
      <c r="AF745" s="1381"/>
      <c r="AG745" s="1382"/>
      <c r="AH745" s="1368" t="str">
        <f t="shared" si="38"/>
        <v/>
      </c>
      <c r="AI745" s="1369"/>
      <c r="AJ745" s="1370"/>
      <c r="AK745" s="1362" t="s">
        <v>590</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3">
        <f t="shared" si="40"/>
        <v>0</v>
      </c>
      <c r="CJ745" s="1345"/>
      <c r="CK745" s="1358">
        <f t="shared" si="18"/>
        <v>0</v>
      </c>
      <c r="CL745" s="1360"/>
      <c r="CM745" s="1343">
        <f t="shared" si="19"/>
        <v>0</v>
      </c>
      <c r="CN745" s="1345"/>
      <c r="CO745" s="3"/>
      <c r="CP745" s="1340">
        <f t="shared" si="20"/>
        <v>0</v>
      </c>
      <c r="CQ745" s="1341"/>
      <c r="CR745" s="1341"/>
      <c r="CS745" s="1341"/>
      <c r="CT745" s="1342"/>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5">
        <f t="shared" si="26"/>
        <v>0</v>
      </c>
      <c r="DV745" s="1385"/>
      <c r="DW745" s="1385"/>
      <c r="DX745" s="1385"/>
      <c r="DY745" s="1385"/>
      <c r="DZ745" s="1385">
        <f t="shared" si="27"/>
        <v>0</v>
      </c>
      <c r="EA745" s="1385"/>
      <c r="EB745" s="1385"/>
      <c r="EC745" s="1385"/>
      <c r="ED745" s="1385"/>
      <c r="EE745" s="1385">
        <f t="shared" si="28"/>
        <v>0</v>
      </c>
      <c r="EF745" s="1385"/>
      <c r="EG745" s="1385"/>
      <c r="EH745" s="1385"/>
      <c r="EI745" s="1385"/>
      <c r="EJ745" s="1385">
        <f t="shared" si="29"/>
        <v>0</v>
      </c>
      <c r="EK745" s="1385"/>
      <c r="EL745" s="1385"/>
      <c r="EM745" s="1385"/>
      <c r="EN745" s="1385"/>
      <c r="EO745" s="1385">
        <f t="shared" si="30"/>
        <v>0</v>
      </c>
      <c r="EP745" s="1385"/>
      <c r="EQ745" s="1385"/>
      <c r="ER745" s="1385"/>
      <c r="ES745" s="1385"/>
      <c r="ET745" s="1385">
        <f t="shared" si="31"/>
        <v>0</v>
      </c>
      <c r="EU745" s="1385"/>
      <c r="EV745" s="1385"/>
      <c r="EW745" s="1385"/>
      <c r="EX745" s="1385"/>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 customHeight="1">
      <c r="B746" s="1362"/>
      <c r="C746" s="1363"/>
      <c r="D746" s="1363"/>
      <c r="E746" s="1363"/>
      <c r="F746" s="1364"/>
      <c r="G746" s="1371"/>
      <c r="H746" s="1372"/>
      <c r="I746" s="1372"/>
      <c r="J746" s="1373"/>
      <c r="K746" s="1374"/>
      <c r="L746" s="1375"/>
      <c r="M746" s="1375"/>
      <c r="N746" s="1376"/>
      <c r="O746" s="1377"/>
      <c r="P746" s="1378"/>
      <c r="Q746" s="1378"/>
      <c r="R746" s="1378"/>
      <c r="S746" s="1379"/>
      <c r="T746" s="1377"/>
      <c r="U746" s="1378"/>
      <c r="V746" s="1378"/>
      <c r="W746" s="1379"/>
      <c r="X746" s="1365">
        <f t="shared" si="10"/>
        <v>0</v>
      </c>
      <c r="Y746" s="1366"/>
      <c r="Z746" s="1366"/>
      <c r="AA746" s="1366"/>
      <c r="AB746" s="1367"/>
      <c r="AC746" s="1380"/>
      <c r="AD746" s="1381"/>
      <c r="AE746" s="1381"/>
      <c r="AF746" s="1381"/>
      <c r="AG746" s="1382"/>
      <c r="AH746" s="1368" t="str">
        <f t="shared" si="38"/>
        <v/>
      </c>
      <c r="AI746" s="1369"/>
      <c r="AJ746" s="1370"/>
      <c r="AK746" s="1362" t="s">
        <v>590</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3">
        <f t="shared" si="40"/>
        <v>0</v>
      </c>
      <c r="CJ746" s="1345"/>
      <c r="CK746" s="1358">
        <f t="shared" si="18"/>
        <v>0</v>
      </c>
      <c r="CL746" s="1360"/>
      <c r="CM746" s="1343">
        <f t="shared" si="19"/>
        <v>0</v>
      </c>
      <c r="CN746" s="1345"/>
      <c r="CO746" s="3"/>
      <c r="CP746" s="1340">
        <f t="shared" si="20"/>
        <v>0</v>
      </c>
      <c r="CQ746" s="1341"/>
      <c r="CR746" s="1341"/>
      <c r="CS746" s="1341"/>
      <c r="CT746" s="1342"/>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5">
        <f t="shared" si="26"/>
        <v>0</v>
      </c>
      <c r="DV746" s="1385"/>
      <c r="DW746" s="1385"/>
      <c r="DX746" s="1385"/>
      <c r="DY746" s="1385"/>
      <c r="DZ746" s="1385">
        <f t="shared" si="27"/>
        <v>0</v>
      </c>
      <c r="EA746" s="1385"/>
      <c r="EB746" s="1385"/>
      <c r="EC746" s="1385"/>
      <c r="ED746" s="1385"/>
      <c r="EE746" s="1385">
        <f t="shared" si="28"/>
        <v>0</v>
      </c>
      <c r="EF746" s="1385"/>
      <c r="EG746" s="1385"/>
      <c r="EH746" s="1385"/>
      <c r="EI746" s="1385"/>
      <c r="EJ746" s="1385">
        <f t="shared" si="29"/>
        <v>0</v>
      </c>
      <c r="EK746" s="1385"/>
      <c r="EL746" s="1385"/>
      <c r="EM746" s="1385"/>
      <c r="EN746" s="1385"/>
      <c r="EO746" s="1385">
        <f t="shared" si="30"/>
        <v>0</v>
      </c>
      <c r="EP746" s="1385"/>
      <c r="EQ746" s="1385"/>
      <c r="ER746" s="1385"/>
      <c r="ES746" s="1385"/>
      <c r="ET746" s="1385">
        <f t="shared" si="31"/>
        <v>0</v>
      </c>
      <c r="EU746" s="1385"/>
      <c r="EV746" s="1385"/>
      <c r="EW746" s="1385"/>
      <c r="EX746" s="1385"/>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 customHeight="1">
      <c r="B747" s="1362"/>
      <c r="C747" s="1363"/>
      <c r="D747" s="1363"/>
      <c r="E747" s="1363"/>
      <c r="F747" s="1364"/>
      <c r="G747" s="1371"/>
      <c r="H747" s="1372"/>
      <c r="I747" s="1372"/>
      <c r="J747" s="1373"/>
      <c r="K747" s="1374"/>
      <c r="L747" s="1375"/>
      <c r="M747" s="1375"/>
      <c r="N747" s="1376"/>
      <c r="O747" s="1377"/>
      <c r="P747" s="1378"/>
      <c r="Q747" s="1378"/>
      <c r="R747" s="1378"/>
      <c r="S747" s="1379"/>
      <c r="T747" s="1377"/>
      <c r="U747" s="1378"/>
      <c r="V747" s="1378"/>
      <c r="W747" s="1379"/>
      <c r="X747" s="1365">
        <f t="shared" si="10"/>
        <v>0</v>
      </c>
      <c r="Y747" s="1366"/>
      <c r="Z747" s="1366"/>
      <c r="AA747" s="1366"/>
      <c r="AB747" s="1367"/>
      <c r="AC747" s="1380"/>
      <c r="AD747" s="1381"/>
      <c r="AE747" s="1381"/>
      <c r="AF747" s="1381"/>
      <c r="AG747" s="1382"/>
      <c r="AH747" s="1368" t="str">
        <f t="shared" si="38"/>
        <v/>
      </c>
      <c r="AI747" s="1369"/>
      <c r="AJ747" s="1370"/>
      <c r="AK747" s="1362" t="s">
        <v>590</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3">
        <f t="shared" si="40"/>
        <v>0</v>
      </c>
      <c r="CJ747" s="1345"/>
      <c r="CK747" s="1358">
        <f t="shared" si="18"/>
        <v>0</v>
      </c>
      <c r="CL747" s="1360"/>
      <c r="CM747" s="1343">
        <f t="shared" si="19"/>
        <v>0</v>
      </c>
      <c r="CN747" s="1345"/>
      <c r="CO747" s="3"/>
      <c r="CP747" s="1340">
        <f t="shared" si="20"/>
        <v>0</v>
      </c>
      <c r="CQ747" s="1341"/>
      <c r="CR747" s="1341"/>
      <c r="CS747" s="1341"/>
      <c r="CT747" s="1342"/>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5">
        <f t="shared" si="26"/>
        <v>0</v>
      </c>
      <c r="DV747" s="1385"/>
      <c r="DW747" s="1385"/>
      <c r="DX747" s="1385"/>
      <c r="DY747" s="1385"/>
      <c r="DZ747" s="1385">
        <f t="shared" si="27"/>
        <v>0</v>
      </c>
      <c r="EA747" s="1385"/>
      <c r="EB747" s="1385"/>
      <c r="EC747" s="1385"/>
      <c r="ED747" s="1385"/>
      <c r="EE747" s="1385">
        <f t="shared" si="28"/>
        <v>0</v>
      </c>
      <c r="EF747" s="1385"/>
      <c r="EG747" s="1385"/>
      <c r="EH747" s="1385"/>
      <c r="EI747" s="1385"/>
      <c r="EJ747" s="1385">
        <f t="shared" si="29"/>
        <v>0</v>
      </c>
      <c r="EK747" s="1385"/>
      <c r="EL747" s="1385"/>
      <c r="EM747" s="1385"/>
      <c r="EN747" s="1385"/>
      <c r="EO747" s="1385">
        <f t="shared" si="30"/>
        <v>0</v>
      </c>
      <c r="EP747" s="1385"/>
      <c r="EQ747" s="1385"/>
      <c r="ER747" s="1385"/>
      <c r="ES747" s="1385"/>
      <c r="ET747" s="1385">
        <f t="shared" si="31"/>
        <v>0</v>
      </c>
      <c r="EU747" s="1385"/>
      <c r="EV747" s="1385"/>
      <c r="EW747" s="1385"/>
      <c r="EX747" s="1385"/>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 customHeight="1">
      <c r="B748" s="1362"/>
      <c r="C748" s="1363"/>
      <c r="D748" s="1363"/>
      <c r="E748" s="1363"/>
      <c r="F748" s="1364"/>
      <c r="G748" s="1371"/>
      <c r="H748" s="1372"/>
      <c r="I748" s="1372"/>
      <c r="J748" s="1373"/>
      <c r="K748" s="1374"/>
      <c r="L748" s="1375"/>
      <c r="M748" s="1375"/>
      <c r="N748" s="1376"/>
      <c r="O748" s="1377"/>
      <c r="P748" s="1378"/>
      <c r="Q748" s="1378"/>
      <c r="R748" s="1378"/>
      <c r="S748" s="1379"/>
      <c r="T748" s="1377"/>
      <c r="U748" s="1378"/>
      <c r="V748" s="1378"/>
      <c r="W748" s="1379"/>
      <c r="X748" s="1365">
        <f t="shared" si="10"/>
        <v>0</v>
      </c>
      <c r="Y748" s="1366"/>
      <c r="Z748" s="1366"/>
      <c r="AA748" s="1366"/>
      <c r="AB748" s="1367"/>
      <c r="AC748" s="1380"/>
      <c r="AD748" s="1381"/>
      <c r="AE748" s="1381"/>
      <c r="AF748" s="1381"/>
      <c r="AG748" s="1382"/>
      <c r="AH748" s="1368" t="str">
        <f t="shared" si="38"/>
        <v/>
      </c>
      <c r="AI748" s="1369"/>
      <c r="AJ748" s="1370"/>
      <c r="AK748" s="1362" t="s">
        <v>590</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3">
        <f t="shared" si="40"/>
        <v>0</v>
      </c>
      <c r="CJ748" s="1345"/>
      <c r="CK748" s="1358">
        <f t="shared" si="18"/>
        <v>0</v>
      </c>
      <c r="CL748" s="1360"/>
      <c r="CM748" s="1343">
        <f t="shared" si="19"/>
        <v>0</v>
      </c>
      <c r="CN748" s="1345"/>
      <c r="CO748" s="3"/>
      <c r="CP748" s="1340">
        <f t="shared" si="20"/>
        <v>0</v>
      </c>
      <c r="CQ748" s="1341"/>
      <c r="CR748" s="1341"/>
      <c r="CS748" s="1341"/>
      <c r="CT748" s="1342"/>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5">
        <f t="shared" si="26"/>
        <v>0</v>
      </c>
      <c r="DV748" s="1385"/>
      <c r="DW748" s="1385"/>
      <c r="DX748" s="1385"/>
      <c r="DY748" s="1385"/>
      <c r="DZ748" s="1385">
        <f t="shared" si="27"/>
        <v>0</v>
      </c>
      <c r="EA748" s="1385"/>
      <c r="EB748" s="1385"/>
      <c r="EC748" s="1385"/>
      <c r="ED748" s="1385"/>
      <c r="EE748" s="1385">
        <f t="shared" si="28"/>
        <v>0</v>
      </c>
      <c r="EF748" s="1385"/>
      <c r="EG748" s="1385"/>
      <c r="EH748" s="1385"/>
      <c r="EI748" s="1385"/>
      <c r="EJ748" s="1385">
        <f t="shared" si="29"/>
        <v>0</v>
      </c>
      <c r="EK748" s="1385"/>
      <c r="EL748" s="1385"/>
      <c r="EM748" s="1385"/>
      <c r="EN748" s="1385"/>
      <c r="EO748" s="1385">
        <f t="shared" si="30"/>
        <v>0</v>
      </c>
      <c r="EP748" s="1385"/>
      <c r="EQ748" s="1385"/>
      <c r="ER748" s="1385"/>
      <c r="ES748" s="1385"/>
      <c r="ET748" s="1385">
        <f t="shared" si="31"/>
        <v>0</v>
      </c>
      <c r="EU748" s="1385"/>
      <c r="EV748" s="1385"/>
      <c r="EW748" s="1385"/>
      <c r="EX748" s="1385"/>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 customHeight="1">
      <c r="B749" s="1362"/>
      <c r="C749" s="1363"/>
      <c r="D749" s="1363"/>
      <c r="E749" s="1363"/>
      <c r="F749" s="1364"/>
      <c r="G749" s="1371"/>
      <c r="H749" s="1372"/>
      <c r="I749" s="1372"/>
      <c r="J749" s="1373"/>
      <c r="K749" s="1374"/>
      <c r="L749" s="1375"/>
      <c r="M749" s="1375"/>
      <c r="N749" s="1376"/>
      <c r="O749" s="1377"/>
      <c r="P749" s="1378"/>
      <c r="Q749" s="1378"/>
      <c r="R749" s="1378"/>
      <c r="S749" s="1379"/>
      <c r="T749" s="1377"/>
      <c r="U749" s="1378"/>
      <c r="V749" s="1378"/>
      <c r="W749" s="1379"/>
      <c r="X749" s="1365">
        <f t="shared" si="10"/>
        <v>0</v>
      </c>
      <c r="Y749" s="1366"/>
      <c r="Z749" s="1366"/>
      <c r="AA749" s="1366"/>
      <c r="AB749" s="1367"/>
      <c r="AC749" s="1380"/>
      <c r="AD749" s="1381"/>
      <c r="AE749" s="1381"/>
      <c r="AF749" s="1381"/>
      <c r="AG749" s="1382"/>
      <c r="AH749" s="1368" t="str">
        <f t="shared" si="38"/>
        <v/>
      </c>
      <c r="AI749" s="1369"/>
      <c r="AJ749" s="1370"/>
      <c r="AK749" s="1362" t="s">
        <v>590</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3">
        <f t="shared" si="40"/>
        <v>0</v>
      </c>
      <c r="CJ749" s="1345"/>
      <c r="CK749" s="1358">
        <f t="shared" si="18"/>
        <v>0</v>
      </c>
      <c r="CL749" s="1360"/>
      <c r="CM749" s="1343">
        <f t="shared" si="19"/>
        <v>0</v>
      </c>
      <c r="CN749" s="1345"/>
      <c r="CO749" s="3"/>
      <c r="CP749" s="1340">
        <f t="shared" si="20"/>
        <v>0</v>
      </c>
      <c r="CQ749" s="1341"/>
      <c r="CR749" s="1341"/>
      <c r="CS749" s="1341"/>
      <c r="CT749" s="1342"/>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5">
        <f t="shared" si="26"/>
        <v>0</v>
      </c>
      <c r="DV749" s="1385"/>
      <c r="DW749" s="1385"/>
      <c r="DX749" s="1385"/>
      <c r="DY749" s="1385"/>
      <c r="DZ749" s="1385">
        <f t="shared" si="27"/>
        <v>0</v>
      </c>
      <c r="EA749" s="1385"/>
      <c r="EB749" s="1385"/>
      <c r="EC749" s="1385"/>
      <c r="ED749" s="1385"/>
      <c r="EE749" s="1385">
        <f t="shared" si="28"/>
        <v>0</v>
      </c>
      <c r="EF749" s="1385"/>
      <c r="EG749" s="1385"/>
      <c r="EH749" s="1385"/>
      <c r="EI749" s="1385"/>
      <c r="EJ749" s="1385">
        <f t="shared" si="29"/>
        <v>0</v>
      </c>
      <c r="EK749" s="1385"/>
      <c r="EL749" s="1385"/>
      <c r="EM749" s="1385"/>
      <c r="EN749" s="1385"/>
      <c r="EO749" s="1385">
        <f t="shared" si="30"/>
        <v>0</v>
      </c>
      <c r="EP749" s="1385"/>
      <c r="EQ749" s="1385"/>
      <c r="ER749" s="1385"/>
      <c r="ES749" s="1385"/>
      <c r="ET749" s="1385">
        <f t="shared" si="31"/>
        <v>0</v>
      </c>
      <c r="EU749" s="1385"/>
      <c r="EV749" s="1385"/>
      <c r="EW749" s="1385"/>
      <c r="EX749" s="1385"/>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 customHeight="1">
      <c r="B750" s="1362"/>
      <c r="C750" s="1363"/>
      <c r="D750" s="1363"/>
      <c r="E750" s="1363"/>
      <c r="F750" s="1364"/>
      <c r="G750" s="1371"/>
      <c r="H750" s="1372"/>
      <c r="I750" s="1372"/>
      <c r="J750" s="1373"/>
      <c r="K750" s="1374"/>
      <c r="L750" s="1375"/>
      <c r="M750" s="1375"/>
      <c r="N750" s="1376"/>
      <c r="O750" s="1377"/>
      <c r="P750" s="1378"/>
      <c r="Q750" s="1378"/>
      <c r="R750" s="1378"/>
      <c r="S750" s="1379"/>
      <c r="T750" s="1377"/>
      <c r="U750" s="1378"/>
      <c r="V750" s="1378"/>
      <c r="W750" s="1379"/>
      <c r="X750" s="1365">
        <f t="shared" ref="X750:X759" si="41">O750+T750</f>
        <v>0</v>
      </c>
      <c r="Y750" s="1366"/>
      <c r="Z750" s="1366"/>
      <c r="AA750" s="1366"/>
      <c r="AB750" s="1367"/>
      <c r="AC750" s="1380"/>
      <c r="AD750" s="1381"/>
      <c r="AE750" s="1381"/>
      <c r="AF750" s="1381"/>
      <c r="AG750" s="1382"/>
      <c r="AH750" s="1368" t="str">
        <f t="shared" si="38"/>
        <v/>
      </c>
      <c r="AI750" s="1369"/>
      <c r="AJ750" s="1370"/>
      <c r="AK750" s="1362" t="s">
        <v>590</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3">
        <f t="shared" si="40"/>
        <v>0</v>
      </c>
      <c r="CJ750" s="1345"/>
      <c r="CK750" s="1358">
        <f t="shared" si="18"/>
        <v>0</v>
      </c>
      <c r="CL750" s="1360"/>
      <c r="CM750" s="1343">
        <f t="shared" si="19"/>
        <v>0</v>
      </c>
      <c r="CN750" s="1345"/>
      <c r="CO750" s="3"/>
      <c r="CP750" s="1340">
        <f t="shared" si="20"/>
        <v>0</v>
      </c>
      <c r="CQ750" s="1341"/>
      <c r="CR750" s="1341"/>
      <c r="CS750" s="1341"/>
      <c r="CT750" s="1342"/>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5">
        <f t="shared" si="26"/>
        <v>0</v>
      </c>
      <c r="DV750" s="1385"/>
      <c r="DW750" s="1385"/>
      <c r="DX750" s="1385"/>
      <c r="DY750" s="1385"/>
      <c r="DZ750" s="1385">
        <f t="shared" si="27"/>
        <v>0</v>
      </c>
      <c r="EA750" s="1385"/>
      <c r="EB750" s="1385"/>
      <c r="EC750" s="1385"/>
      <c r="ED750" s="1385"/>
      <c r="EE750" s="1385">
        <f t="shared" si="28"/>
        <v>0</v>
      </c>
      <c r="EF750" s="1385"/>
      <c r="EG750" s="1385"/>
      <c r="EH750" s="1385"/>
      <c r="EI750" s="1385"/>
      <c r="EJ750" s="1385">
        <f t="shared" si="29"/>
        <v>0</v>
      </c>
      <c r="EK750" s="1385"/>
      <c r="EL750" s="1385"/>
      <c r="EM750" s="1385"/>
      <c r="EN750" s="1385"/>
      <c r="EO750" s="1385">
        <f t="shared" si="30"/>
        <v>0</v>
      </c>
      <c r="EP750" s="1385"/>
      <c r="EQ750" s="1385"/>
      <c r="ER750" s="1385"/>
      <c r="ES750" s="1385"/>
      <c r="ET750" s="1385">
        <f t="shared" si="31"/>
        <v>0</v>
      </c>
      <c r="EU750" s="1385"/>
      <c r="EV750" s="1385"/>
      <c r="EW750" s="1385"/>
      <c r="EX750" s="1385"/>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 customHeight="1">
      <c r="A751"/>
      <c r="B751" s="1362"/>
      <c r="C751" s="1363"/>
      <c r="D751" s="1363"/>
      <c r="E751" s="1363"/>
      <c r="F751" s="1364"/>
      <c r="G751" s="1371"/>
      <c r="H751" s="1372"/>
      <c r="I751" s="1372"/>
      <c r="J751" s="1373"/>
      <c r="K751" s="1374"/>
      <c r="L751" s="1375"/>
      <c r="M751" s="1375"/>
      <c r="N751" s="1376"/>
      <c r="O751" s="1377"/>
      <c r="P751" s="1378"/>
      <c r="Q751" s="1378"/>
      <c r="R751" s="1378"/>
      <c r="S751" s="1379"/>
      <c r="T751" s="1377"/>
      <c r="U751" s="1378"/>
      <c r="V751" s="1378"/>
      <c r="W751" s="1379"/>
      <c r="X751" s="1365">
        <f t="shared" si="41"/>
        <v>0</v>
      </c>
      <c r="Y751" s="1366"/>
      <c r="Z751" s="1366"/>
      <c r="AA751" s="1366"/>
      <c r="AB751" s="1367"/>
      <c r="AC751" s="1380"/>
      <c r="AD751" s="1381"/>
      <c r="AE751" s="1381"/>
      <c r="AF751" s="1381"/>
      <c r="AG751" s="1382"/>
      <c r="AH751" s="1368" t="str">
        <f t="shared" si="38"/>
        <v/>
      </c>
      <c r="AI751" s="1369"/>
      <c r="AJ751" s="1370"/>
      <c r="AK751" s="1362" t="s">
        <v>590</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3">
        <f t="shared" si="40"/>
        <v>0</v>
      </c>
      <c r="CJ751" s="1345"/>
      <c r="CK751" s="1358">
        <f t="shared" si="18"/>
        <v>0</v>
      </c>
      <c r="CL751" s="1360"/>
      <c r="CM751" s="1343">
        <f t="shared" si="19"/>
        <v>0</v>
      </c>
      <c r="CN751" s="1345"/>
      <c r="CP751" s="1340">
        <f t="shared" si="20"/>
        <v>0</v>
      </c>
      <c r="CQ751" s="1341"/>
      <c r="CR751" s="1341"/>
      <c r="CS751" s="1341"/>
      <c r="CT751" s="1342"/>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5">
        <f t="shared" si="26"/>
        <v>0</v>
      </c>
      <c r="DV751" s="1385"/>
      <c r="DW751" s="1385"/>
      <c r="DX751" s="1385"/>
      <c r="DY751" s="1385"/>
      <c r="DZ751" s="1385">
        <f t="shared" si="27"/>
        <v>0</v>
      </c>
      <c r="EA751" s="1385"/>
      <c r="EB751" s="1385"/>
      <c r="EC751" s="1385"/>
      <c r="ED751" s="1385"/>
      <c r="EE751" s="1385">
        <f t="shared" si="28"/>
        <v>0</v>
      </c>
      <c r="EF751" s="1385"/>
      <c r="EG751" s="1385"/>
      <c r="EH751" s="1385"/>
      <c r="EI751" s="1385"/>
      <c r="EJ751" s="1385">
        <f t="shared" si="29"/>
        <v>0</v>
      </c>
      <c r="EK751" s="1385"/>
      <c r="EL751" s="1385"/>
      <c r="EM751" s="1385"/>
      <c r="EN751" s="1385"/>
      <c r="EO751" s="1385">
        <f t="shared" si="30"/>
        <v>0</v>
      </c>
      <c r="EP751" s="1385"/>
      <c r="EQ751" s="1385"/>
      <c r="ER751" s="1385"/>
      <c r="ES751" s="1385"/>
      <c r="ET751" s="1385">
        <f t="shared" si="31"/>
        <v>0</v>
      </c>
      <c r="EU751" s="1385"/>
      <c r="EV751" s="1385"/>
      <c r="EW751" s="1385"/>
      <c r="EX751" s="1385"/>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 customHeight="1">
      <c r="B752" s="1362"/>
      <c r="C752" s="1363"/>
      <c r="D752" s="1363"/>
      <c r="E752" s="1363"/>
      <c r="F752" s="1364"/>
      <c r="G752" s="1371"/>
      <c r="H752" s="1372"/>
      <c r="I752" s="1372"/>
      <c r="J752" s="1373"/>
      <c r="K752" s="1374"/>
      <c r="L752" s="1375"/>
      <c r="M752" s="1375"/>
      <c r="N752" s="1376"/>
      <c r="O752" s="1377"/>
      <c r="P752" s="1378"/>
      <c r="Q752" s="1378"/>
      <c r="R752" s="1378"/>
      <c r="S752" s="1379"/>
      <c r="T752" s="1377"/>
      <c r="U752" s="1378"/>
      <c r="V752" s="1378"/>
      <c r="W752" s="1379"/>
      <c r="X752" s="1365">
        <f t="shared" si="41"/>
        <v>0</v>
      </c>
      <c r="Y752" s="1366"/>
      <c r="Z752" s="1366"/>
      <c r="AA752" s="1366"/>
      <c r="AB752" s="1367"/>
      <c r="AC752" s="1380"/>
      <c r="AD752" s="1381"/>
      <c r="AE752" s="1381"/>
      <c r="AF752" s="1381"/>
      <c r="AG752" s="1382"/>
      <c r="AH752" s="1368" t="str">
        <f t="shared" si="38"/>
        <v/>
      </c>
      <c r="AI752" s="1369"/>
      <c r="AJ752" s="1370"/>
      <c r="AK752" s="1362" t="s">
        <v>590</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3">
        <f t="shared" si="40"/>
        <v>0</v>
      </c>
      <c r="CJ752" s="1345"/>
      <c r="CK752" s="1358">
        <f t="shared" si="18"/>
        <v>0</v>
      </c>
      <c r="CL752" s="1360"/>
      <c r="CM752" s="1343">
        <f t="shared" si="19"/>
        <v>0</v>
      </c>
      <c r="CN752" s="1345"/>
      <c r="CO752" s="3"/>
      <c r="CP752" s="1340">
        <f t="shared" si="20"/>
        <v>0</v>
      </c>
      <c r="CQ752" s="1341"/>
      <c r="CR752" s="1341"/>
      <c r="CS752" s="1341"/>
      <c r="CT752" s="1342"/>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5">
        <f t="shared" si="26"/>
        <v>0</v>
      </c>
      <c r="DV752" s="1385"/>
      <c r="DW752" s="1385"/>
      <c r="DX752" s="1385"/>
      <c r="DY752" s="1385"/>
      <c r="DZ752" s="1385">
        <f t="shared" si="27"/>
        <v>0</v>
      </c>
      <c r="EA752" s="1385"/>
      <c r="EB752" s="1385"/>
      <c r="EC752" s="1385"/>
      <c r="ED752" s="1385"/>
      <c r="EE752" s="1385">
        <f t="shared" si="28"/>
        <v>0</v>
      </c>
      <c r="EF752" s="1385"/>
      <c r="EG752" s="1385"/>
      <c r="EH752" s="1385"/>
      <c r="EI752" s="1385"/>
      <c r="EJ752" s="1385">
        <f t="shared" si="29"/>
        <v>0</v>
      </c>
      <c r="EK752" s="1385"/>
      <c r="EL752" s="1385"/>
      <c r="EM752" s="1385"/>
      <c r="EN752" s="1385"/>
      <c r="EO752" s="1385">
        <f t="shared" si="30"/>
        <v>0</v>
      </c>
      <c r="EP752" s="1385"/>
      <c r="EQ752" s="1385"/>
      <c r="ER752" s="1385"/>
      <c r="ES752" s="1385"/>
      <c r="ET752" s="1385">
        <f t="shared" si="31"/>
        <v>0</v>
      </c>
      <c r="EU752" s="1385"/>
      <c r="EV752" s="1385"/>
      <c r="EW752" s="1385"/>
      <c r="EX752" s="1385"/>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 customHeight="1">
      <c r="B753" s="1362"/>
      <c r="C753" s="1363"/>
      <c r="D753" s="1363"/>
      <c r="E753" s="1363"/>
      <c r="F753" s="1364"/>
      <c r="G753" s="1371"/>
      <c r="H753" s="1372"/>
      <c r="I753" s="1372"/>
      <c r="J753" s="1373"/>
      <c r="K753" s="1374"/>
      <c r="L753" s="1375"/>
      <c r="M753" s="1375"/>
      <c r="N753" s="1376"/>
      <c r="O753" s="1377"/>
      <c r="P753" s="1378"/>
      <c r="Q753" s="1378"/>
      <c r="R753" s="1378"/>
      <c r="S753" s="1379"/>
      <c r="T753" s="1377"/>
      <c r="U753" s="1378"/>
      <c r="V753" s="1378"/>
      <c r="W753" s="1379"/>
      <c r="X753" s="1365">
        <f t="shared" si="41"/>
        <v>0</v>
      </c>
      <c r="Y753" s="1366"/>
      <c r="Z753" s="1366"/>
      <c r="AA753" s="1366"/>
      <c r="AB753" s="1367"/>
      <c r="AC753" s="1380"/>
      <c r="AD753" s="1381"/>
      <c r="AE753" s="1381"/>
      <c r="AF753" s="1381"/>
      <c r="AG753" s="1382"/>
      <c r="AH753" s="1368" t="str">
        <f t="shared" si="38"/>
        <v/>
      </c>
      <c r="AI753" s="1369"/>
      <c r="AJ753" s="1370"/>
      <c r="AK753" s="1362" t="s">
        <v>590</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3">
        <f t="shared" si="40"/>
        <v>0</v>
      </c>
      <c r="CJ753" s="1345"/>
      <c r="CK753" s="1358">
        <f t="shared" si="18"/>
        <v>0</v>
      </c>
      <c r="CL753" s="1360"/>
      <c r="CM753" s="1343">
        <f t="shared" si="19"/>
        <v>0</v>
      </c>
      <c r="CN753" s="1345"/>
      <c r="CO753" s="3"/>
      <c r="CP753" s="1340">
        <f t="shared" si="20"/>
        <v>0</v>
      </c>
      <c r="CQ753" s="1341"/>
      <c r="CR753" s="1341"/>
      <c r="CS753" s="1341"/>
      <c r="CT753" s="1342"/>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5">
        <f t="shared" si="26"/>
        <v>0</v>
      </c>
      <c r="DV753" s="1385"/>
      <c r="DW753" s="1385"/>
      <c r="DX753" s="1385"/>
      <c r="DY753" s="1385"/>
      <c r="DZ753" s="1385">
        <f t="shared" si="27"/>
        <v>0</v>
      </c>
      <c r="EA753" s="1385"/>
      <c r="EB753" s="1385"/>
      <c r="EC753" s="1385"/>
      <c r="ED753" s="1385"/>
      <c r="EE753" s="1385">
        <f t="shared" si="28"/>
        <v>0</v>
      </c>
      <c r="EF753" s="1385"/>
      <c r="EG753" s="1385"/>
      <c r="EH753" s="1385"/>
      <c r="EI753" s="1385"/>
      <c r="EJ753" s="1385">
        <f t="shared" si="29"/>
        <v>0</v>
      </c>
      <c r="EK753" s="1385"/>
      <c r="EL753" s="1385"/>
      <c r="EM753" s="1385"/>
      <c r="EN753" s="1385"/>
      <c r="EO753" s="1385">
        <f t="shared" si="30"/>
        <v>0</v>
      </c>
      <c r="EP753" s="1385"/>
      <c r="EQ753" s="1385"/>
      <c r="ER753" s="1385"/>
      <c r="ES753" s="1385"/>
      <c r="ET753" s="1385">
        <f t="shared" si="31"/>
        <v>0</v>
      </c>
      <c r="EU753" s="1385"/>
      <c r="EV753" s="1385"/>
      <c r="EW753" s="1385"/>
      <c r="EX753" s="1385"/>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 customHeight="1">
      <c r="B754" s="1362"/>
      <c r="C754" s="1363"/>
      <c r="D754" s="1363"/>
      <c r="E754" s="1363"/>
      <c r="F754" s="1364"/>
      <c r="G754" s="1371"/>
      <c r="H754" s="1372"/>
      <c r="I754" s="1372"/>
      <c r="J754" s="1373"/>
      <c r="K754" s="1374"/>
      <c r="L754" s="1375"/>
      <c r="M754" s="1375"/>
      <c r="N754" s="1376"/>
      <c r="O754" s="1377"/>
      <c r="P754" s="1378"/>
      <c r="Q754" s="1378"/>
      <c r="R754" s="1378"/>
      <c r="S754" s="1379"/>
      <c r="T754" s="1377"/>
      <c r="U754" s="1378"/>
      <c r="V754" s="1378"/>
      <c r="W754" s="1379"/>
      <c r="X754" s="1365">
        <f t="shared" si="41"/>
        <v>0</v>
      </c>
      <c r="Y754" s="1366"/>
      <c r="Z754" s="1366"/>
      <c r="AA754" s="1366"/>
      <c r="AB754" s="1367"/>
      <c r="AC754" s="1380"/>
      <c r="AD754" s="1381"/>
      <c r="AE754" s="1381"/>
      <c r="AF754" s="1381"/>
      <c r="AG754" s="1382"/>
      <c r="AH754" s="1368" t="str">
        <f t="shared" si="38"/>
        <v/>
      </c>
      <c r="AI754" s="1369"/>
      <c r="AJ754" s="1370"/>
      <c r="AK754" s="1362" t="s">
        <v>590</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3">
        <f t="shared" si="40"/>
        <v>0</v>
      </c>
      <c r="CJ754" s="1345"/>
      <c r="CK754" s="1358">
        <f t="shared" si="18"/>
        <v>0</v>
      </c>
      <c r="CL754" s="1360"/>
      <c r="CM754" s="1343">
        <f t="shared" si="19"/>
        <v>0</v>
      </c>
      <c r="CN754" s="1345"/>
      <c r="CO754" s="3"/>
      <c r="CP754" s="1340">
        <f t="shared" si="20"/>
        <v>0</v>
      </c>
      <c r="CQ754" s="1341"/>
      <c r="CR754" s="1341"/>
      <c r="CS754" s="1341"/>
      <c r="CT754" s="1342"/>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5">
        <f t="shared" si="26"/>
        <v>0</v>
      </c>
      <c r="DV754" s="1385"/>
      <c r="DW754" s="1385"/>
      <c r="DX754" s="1385"/>
      <c r="DY754" s="1385"/>
      <c r="DZ754" s="1385">
        <f t="shared" si="27"/>
        <v>0</v>
      </c>
      <c r="EA754" s="1385"/>
      <c r="EB754" s="1385"/>
      <c r="EC754" s="1385"/>
      <c r="ED754" s="1385"/>
      <c r="EE754" s="1385">
        <f t="shared" si="28"/>
        <v>0</v>
      </c>
      <c r="EF754" s="1385"/>
      <c r="EG754" s="1385"/>
      <c r="EH754" s="1385"/>
      <c r="EI754" s="1385"/>
      <c r="EJ754" s="1385">
        <f t="shared" si="29"/>
        <v>0</v>
      </c>
      <c r="EK754" s="1385"/>
      <c r="EL754" s="1385"/>
      <c r="EM754" s="1385"/>
      <c r="EN754" s="1385"/>
      <c r="EO754" s="1385">
        <f t="shared" si="30"/>
        <v>0</v>
      </c>
      <c r="EP754" s="1385"/>
      <c r="EQ754" s="1385"/>
      <c r="ER754" s="1385"/>
      <c r="ES754" s="1385"/>
      <c r="ET754" s="1385">
        <f t="shared" si="31"/>
        <v>0</v>
      </c>
      <c r="EU754" s="1385"/>
      <c r="EV754" s="1385"/>
      <c r="EW754" s="1385"/>
      <c r="EX754" s="1385"/>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 customHeight="1">
      <c r="B755" s="1362"/>
      <c r="C755" s="1363"/>
      <c r="D755" s="1363"/>
      <c r="E755" s="1363"/>
      <c r="F755" s="1364"/>
      <c r="G755" s="1371"/>
      <c r="H755" s="1372"/>
      <c r="I755" s="1372"/>
      <c r="J755" s="1373"/>
      <c r="K755" s="1374"/>
      <c r="L755" s="1375"/>
      <c r="M755" s="1375"/>
      <c r="N755" s="1376"/>
      <c r="O755" s="1377"/>
      <c r="P755" s="1378"/>
      <c r="Q755" s="1378"/>
      <c r="R755" s="1378"/>
      <c r="S755" s="1379"/>
      <c r="T755" s="1377"/>
      <c r="U755" s="1378"/>
      <c r="V755" s="1378"/>
      <c r="W755" s="1379"/>
      <c r="X755" s="1365">
        <f t="shared" si="41"/>
        <v>0</v>
      </c>
      <c r="Y755" s="1366"/>
      <c r="Z755" s="1366"/>
      <c r="AA755" s="1366"/>
      <c r="AB755" s="1367"/>
      <c r="AC755" s="1380"/>
      <c r="AD755" s="1381"/>
      <c r="AE755" s="1381"/>
      <c r="AF755" s="1381"/>
      <c r="AG755" s="1382"/>
      <c r="AH755" s="1368" t="str">
        <f t="shared" si="38"/>
        <v/>
      </c>
      <c r="AI755" s="1369"/>
      <c r="AJ755" s="1370"/>
      <c r="AK755" s="1362" t="s">
        <v>590</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3">
        <f t="shared" si="40"/>
        <v>0</v>
      </c>
      <c r="CJ755" s="1345"/>
      <c r="CK755" s="1358">
        <f t="shared" si="18"/>
        <v>0</v>
      </c>
      <c r="CL755" s="1360"/>
      <c r="CM755" s="1343">
        <f t="shared" si="19"/>
        <v>0</v>
      </c>
      <c r="CN755" s="1345"/>
      <c r="CO755" s="3"/>
      <c r="CP755" s="1340">
        <f t="shared" si="20"/>
        <v>0</v>
      </c>
      <c r="CQ755" s="1341"/>
      <c r="CR755" s="1341"/>
      <c r="CS755" s="1341"/>
      <c r="CT755" s="1342"/>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5">
        <f t="shared" si="26"/>
        <v>0</v>
      </c>
      <c r="DV755" s="1385"/>
      <c r="DW755" s="1385"/>
      <c r="DX755" s="1385"/>
      <c r="DY755" s="1385"/>
      <c r="DZ755" s="1385">
        <f t="shared" si="27"/>
        <v>0</v>
      </c>
      <c r="EA755" s="1385"/>
      <c r="EB755" s="1385"/>
      <c r="EC755" s="1385"/>
      <c r="ED755" s="1385"/>
      <c r="EE755" s="1385">
        <f t="shared" si="28"/>
        <v>0</v>
      </c>
      <c r="EF755" s="1385"/>
      <c r="EG755" s="1385"/>
      <c r="EH755" s="1385"/>
      <c r="EI755" s="1385"/>
      <c r="EJ755" s="1385">
        <f t="shared" si="29"/>
        <v>0</v>
      </c>
      <c r="EK755" s="1385"/>
      <c r="EL755" s="1385"/>
      <c r="EM755" s="1385"/>
      <c r="EN755" s="1385"/>
      <c r="EO755" s="1385">
        <f t="shared" si="30"/>
        <v>0</v>
      </c>
      <c r="EP755" s="1385"/>
      <c r="EQ755" s="1385"/>
      <c r="ER755" s="1385"/>
      <c r="ES755" s="1385"/>
      <c r="ET755" s="1385">
        <f t="shared" si="31"/>
        <v>0</v>
      </c>
      <c r="EU755" s="1385"/>
      <c r="EV755" s="1385"/>
      <c r="EW755" s="1385"/>
      <c r="EX755" s="1385"/>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 customHeight="1">
      <c r="A756"/>
      <c r="B756" s="1362"/>
      <c r="C756" s="1363"/>
      <c r="D756" s="1363"/>
      <c r="E756" s="1363"/>
      <c r="F756" s="1364"/>
      <c r="G756" s="1371"/>
      <c r="H756" s="1372"/>
      <c r="I756" s="1372"/>
      <c r="J756" s="1373"/>
      <c r="K756" s="1374"/>
      <c r="L756" s="1375"/>
      <c r="M756" s="1375"/>
      <c r="N756" s="1376"/>
      <c r="O756" s="1377"/>
      <c r="P756" s="1378"/>
      <c r="Q756" s="1378"/>
      <c r="R756" s="1378"/>
      <c r="S756" s="1379"/>
      <c r="T756" s="1377"/>
      <c r="U756" s="1378"/>
      <c r="V756" s="1378"/>
      <c r="W756" s="1379"/>
      <c r="X756" s="1365">
        <f t="shared" si="41"/>
        <v>0</v>
      </c>
      <c r="Y756" s="1366"/>
      <c r="Z756" s="1366"/>
      <c r="AA756" s="1366"/>
      <c r="AB756" s="1367"/>
      <c r="AC756" s="1380"/>
      <c r="AD756" s="1381"/>
      <c r="AE756" s="1381"/>
      <c r="AF756" s="1381"/>
      <c r="AG756" s="1382"/>
      <c r="AH756" s="1368" t="str">
        <f t="shared" si="38"/>
        <v/>
      </c>
      <c r="AI756" s="1369"/>
      <c r="AJ756" s="1370"/>
      <c r="AK756" s="1362" t="s">
        <v>590</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3">
        <f t="shared" si="40"/>
        <v>0</v>
      </c>
      <c r="CJ756" s="1345"/>
      <c r="CK756" s="1358">
        <f t="shared" si="18"/>
        <v>0</v>
      </c>
      <c r="CL756" s="1360"/>
      <c r="CM756" s="1343">
        <f t="shared" si="19"/>
        <v>0</v>
      </c>
      <c r="CN756" s="1345"/>
      <c r="CP756" s="1340">
        <f t="shared" si="20"/>
        <v>0</v>
      </c>
      <c r="CQ756" s="1341"/>
      <c r="CR756" s="1341"/>
      <c r="CS756" s="1341"/>
      <c r="CT756" s="1342"/>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5">
        <f t="shared" si="26"/>
        <v>0</v>
      </c>
      <c r="DV756" s="1385"/>
      <c r="DW756" s="1385"/>
      <c r="DX756" s="1385"/>
      <c r="DY756" s="1385"/>
      <c r="DZ756" s="1385">
        <f t="shared" si="27"/>
        <v>0</v>
      </c>
      <c r="EA756" s="1385"/>
      <c r="EB756" s="1385"/>
      <c r="EC756" s="1385"/>
      <c r="ED756" s="1385"/>
      <c r="EE756" s="1385">
        <f t="shared" si="28"/>
        <v>0</v>
      </c>
      <c r="EF756" s="1385"/>
      <c r="EG756" s="1385"/>
      <c r="EH756" s="1385"/>
      <c r="EI756" s="1385"/>
      <c r="EJ756" s="1385">
        <f t="shared" si="29"/>
        <v>0</v>
      </c>
      <c r="EK756" s="1385"/>
      <c r="EL756" s="1385"/>
      <c r="EM756" s="1385"/>
      <c r="EN756" s="1385"/>
      <c r="EO756" s="1385">
        <f t="shared" si="30"/>
        <v>0</v>
      </c>
      <c r="EP756" s="1385"/>
      <c r="EQ756" s="1385"/>
      <c r="ER756" s="1385"/>
      <c r="ES756" s="1385"/>
      <c r="ET756" s="1385">
        <f t="shared" si="31"/>
        <v>0</v>
      </c>
      <c r="EU756" s="1385"/>
      <c r="EV756" s="1385"/>
      <c r="EW756" s="1385"/>
      <c r="EX756" s="1385"/>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 customHeight="1">
      <c r="A757"/>
      <c r="B757" s="1362"/>
      <c r="C757" s="1363"/>
      <c r="D757" s="1363"/>
      <c r="E757" s="1363"/>
      <c r="F757" s="1364"/>
      <c r="G757" s="1371"/>
      <c r="H757" s="1372"/>
      <c r="I757" s="1372"/>
      <c r="J757" s="1373"/>
      <c r="K757" s="1374"/>
      <c r="L757" s="1375"/>
      <c r="M757" s="1375"/>
      <c r="N757" s="1376"/>
      <c r="O757" s="1377"/>
      <c r="P757" s="1378"/>
      <c r="Q757" s="1378"/>
      <c r="R757" s="1378"/>
      <c r="S757" s="1379"/>
      <c r="T757" s="1377"/>
      <c r="U757" s="1378"/>
      <c r="V757" s="1378"/>
      <c r="W757" s="1379"/>
      <c r="X757" s="1365">
        <f t="shared" si="41"/>
        <v>0</v>
      </c>
      <c r="Y757" s="1366"/>
      <c r="Z757" s="1366"/>
      <c r="AA757" s="1366"/>
      <c r="AB757" s="1367"/>
      <c r="AC757" s="1380"/>
      <c r="AD757" s="1381"/>
      <c r="AE757" s="1381"/>
      <c r="AF757" s="1381"/>
      <c r="AG757" s="1382"/>
      <c r="AH757" s="1368" t="str">
        <f t="shared" si="38"/>
        <v/>
      </c>
      <c r="AI757" s="1369"/>
      <c r="AJ757" s="1370"/>
      <c r="AK757" s="1362" t="s">
        <v>590</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3">
        <f t="shared" si="40"/>
        <v>0</v>
      </c>
      <c r="CJ757" s="1345"/>
      <c r="CK757" s="1358">
        <f t="shared" si="18"/>
        <v>0</v>
      </c>
      <c r="CL757" s="1360"/>
      <c r="CM757" s="1343">
        <f t="shared" si="19"/>
        <v>0</v>
      </c>
      <c r="CN757" s="1345"/>
      <c r="CP757" s="1340">
        <f t="shared" si="20"/>
        <v>0</v>
      </c>
      <c r="CQ757" s="1341"/>
      <c r="CR757" s="1341"/>
      <c r="CS757" s="1341"/>
      <c r="CT757" s="1342"/>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5">
        <f t="shared" si="26"/>
        <v>0</v>
      </c>
      <c r="DV757" s="1385"/>
      <c r="DW757" s="1385"/>
      <c r="DX757" s="1385"/>
      <c r="DY757" s="1385"/>
      <c r="DZ757" s="1385">
        <f t="shared" si="27"/>
        <v>0</v>
      </c>
      <c r="EA757" s="1385"/>
      <c r="EB757" s="1385"/>
      <c r="EC757" s="1385"/>
      <c r="ED757" s="1385"/>
      <c r="EE757" s="1385">
        <f t="shared" si="28"/>
        <v>0</v>
      </c>
      <c r="EF757" s="1385"/>
      <c r="EG757" s="1385"/>
      <c r="EH757" s="1385"/>
      <c r="EI757" s="1385"/>
      <c r="EJ757" s="1385">
        <f t="shared" si="29"/>
        <v>0</v>
      </c>
      <c r="EK757" s="1385"/>
      <c r="EL757" s="1385"/>
      <c r="EM757" s="1385"/>
      <c r="EN757" s="1385"/>
      <c r="EO757" s="1385">
        <f t="shared" si="30"/>
        <v>0</v>
      </c>
      <c r="EP757" s="1385"/>
      <c r="EQ757" s="1385"/>
      <c r="ER757" s="1385"/>
      <c r="ES757" s="1385"/>
      <c r="ET757" s="1385">
        <f t="shared" si="31"/>
        <v>0</v>
      </c>
      <c r="EU757" s="1385"/>
      <c r="EV757" s="1385"/>
      <c r="EW757" s="1385"/>
      <c r="EX757" s="1385"/>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 customHeight="1">
      <c r="A758"/>
      <c r="B758" s="1362"/>
      <c r="C758" s="1363"/>
      <c r="D758" s="1363"/>
      <c r="E758" s="1363"/>
      <c r="F758" s="1364"/>
      <c r="G758" s="1371"/>
      <c r="H758" s="1372"/>
      <c r="I758" s="1372"/>
      <c r="J758" s="1373"/>
      <c r="K758" s="1374"/>
      <c r="L758" s="1375"/>
      <c r="M758" s="1375"/>
      <c r="N758" s="1376"/>
      <c r="O758" s="1377"/>
      <c r="P758" s="1378"/>
      <c r="Q758" s="1378"/>
      <c r="R758" s="1378"/>
      <c r="S758" s="1379"/>
      <c r="T758" s="1377"/>
      <c r="U758" s="1378"/>
      <c r="V758" s="1378"/>
      <c r="W758" s="1379"/>
      <c r="X758" s="1365">
        <f t="shared" si="41"/>
        <v>0</v>
      </c>
      <c r="Y758" s="1366"/>
      <c r="Z758" s="1366"/>
      <c r="AA758" s="1366"/>
      <c r="AB758" s="1367"/>
      <c r="AC758" s="1380"/>
      <c r="AD758" s="1381"/>
      <c r="AE758" s="1381"/>
      <c r="AF758" s="1381"/>
      <c r="AG758" s="1382"/>
      <c r="AH758" s="1368" t="str">
        <f t="shared" si="38"/>
        <v/>
      </c>
      <c r="AI758" s="1369"/>
      <c r="AJ758" s="1370"/>
      <c r="AK758" s="1362" t="s">
        <v>590</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3">
        <f t="shared" si="40"/>
        <v>0</v>
      </c>
      <c r="CJ758" s="1345"/>
      <c r="CK758" s="1358">
        <f t="shared" si="18"/>
        <v>0</v>
      </c>
      <c r="CL758" s="1360"/>
      <c r="CM758" s="1343">
        <f t="shared" si="19"/>
        <v>0</v>
      </c>
      <c r="CN758" s="1345"/>
      <c r="CP758" s="1340">
        <f t="shared" si="20"/>
        <v>0</v>
      </c>
      <c r="CQ758" s="1341"/>
      <c r="CR758" s="1341"/>
      <c r="CS758" s="1341"/>
      <c r="CT758" s="1342"/>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5">
        <f t="shared" si="26"/>
        <v>0</v>
      </c>
      <c r="DV758" s="1385"/>
      <c r="DW758" s="1385"/>
      <c r="DX758" s="1385"/>
      <c r="DY758" s="1385"/>
      <c r="DZ758" s="1385">
        <f t="shared" si="27"/>
        <v>0</v>
      </c>
      <c r="EA758" s="1385"/>
      <c r="EB758" s="1385"/>
      <c r="EC758" s="1385"/>
      <c r="ED758" s="1385"/>
      <c r="EE758" s="1385">
        <f t="shared" si="28"/>
        <v>0</v>
      </c>
      <c r="EF758" s="1385"/>
      <c r="EG758" s="1385"/>
      <c r="EH758" s="1385"/>
      <c r="EI758" s="1385"/>
      <c r="EJ758" s="1385">
        <f t="shared" si="29"/>
        <v>0</v>
      </c>
      <c r="EK758" s="1385"/>
      <c r="EL758" s="1385"/>
      <c r="EM758" s="1385"/>
      <c r="EN758" s="1385"/>
      <c r="EO758" s="1385">
        <f t="shared" si="30"/>
        <v>0</v>
      </c>
      <c r="EP758" s="1385"/>
      <c r="EQ758" s="1385"/>
      <c r="ER758" s="1385"/>
      <c r="ES758" s="1385"/>
      <c r="ET758" s="1385">
        <f t="shared" si="31"/>
        <v>0</v>
      </c>
      <c r="EU758" s="1385"/>
      <c r="EV758" s="1385"/>
      <c r="EW758" s="1385"/>
      <c r="EX758" s="1385"/>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 customHeight="1">
      <c r="A759"/>
      <c r="B759" s="1362"/>
      <c r="C759" s="1363"/>
      <c r="D759" s="1363"/>
      <c r="E759" s="1363"/>
      <c r="F759" s="1364"/>
      <c r="G759" s="1371"/>
      <c r="H759" s="1372"/>
      <c r="I759" s="1372"/>
      <c r="J759" s="1373"/>
      <c r="K759" s="1374"/>
      <c r="L759" s="1375"/>
      <c r="M759" s="1375"/>
      <c r="N759" s="1376"/>
      <c r="O759" s="1377"/>
      <c r="P759" s="1378"/>
      <c r="Q759" s="1378"/>
      <c r="R759" s="1378"/>
      <c r="S759" s="1379"/>
      <c r="T759" s="1377"/>
      <c r="U759" s="1378"/>
      <c r="V759" s="1378"/>
      <c r="W759" s="1379"/>
      <c r="X759" s="1365">
        <f t="shared" si="41"/>
        <v>0</v>
      </c>
      <c r="Y759" s="1366"/>
      <c r="Z759" s="1366"/>
      <c r="AA759" s="1366"/>
      <c r="AB759" s="1367"/>
      <c r="AC759" s="1380"/>
      <c r="AD759" s="1381"/>
      <c r="AE759" s="1381"/>
      <c r="AF759" s="1381"/>
      <c r="AG759" s="1382"/>
      <c r="AH759" s="1368" t="str">
        <f t="shared" si="38"/>
        <v/>
      </c>
      <c r="AI759" s="1369"/>
      <c r="AJ759" s="1370"/>
      <c r="AK759" s="1362" t="s">
        <v>590</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3">
        <f t="shared" si="40"/>
        <v>0</v>
      </c>
      <c r="CJ759" s="1345"/>
      <c r="CK759" s="1358">
        <f t="shared" si="18"/>
        <v>0</v>
      </c>
      <c r="CL759" s="1360"/>
      <c r="CM759" s="1343">
        <f t="shared" si="19"/>
        <v>0</v>
      </c>
      <c r="CN759" s="1345"/>
      <c r="CP759" s="1340">
        <f t="shared" si="20"/>
        <v>0</v>
      </c>
      <c r="CQ759" s="1341"/>
      <c r="CR759" s="1341"/>
      <c r="CS759" s="1341"/>
      <c r="CT759" s="1342"/>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5">
        <f t="shared" si="26"/>
        <v>0</v>
      </c>
      <c r="DV759" s="1385"/>
      <c r="DW759" s="1385"/>
      <c r="DX759" s="1385"/>
      <c r="DY759" s="1385"/>
      <c r="DZ759" s="1385">
        <f t="shared" si="27"/>
        <v>0</v>
      </c>
      <c r="EA759" s="1385"/>
      <c r="EB759" s="1385"/>
      <c r="EC759" s="1385"/>
      <c r="ED759" s="1385"/>
      <c r="EE759" s="1385">
        <f t="shared" si="28"/>
        <v>0</v>
      </c>
      <c r="EF759" s="1385"/>
      <c r="EG759" s="1385"/>
      <c r="EH759" s="1385"/>
      <c r="EI759" s="1385"/>
      <c r="EJ759" s="1385">
        <f t="shared" si="29"/>
        <v>0</v>
      </c>
      <c r="EK759" s="1385"/>
      <c r="EL759" s="1385"/>
      <c r="EM759" s="1385"/>
      <c r="EN759" s="1385"/>
      <c r="EO759" s="1385">
        <f t="shared" si="30"/>
        <v>0</v>
      </c>
      <c r="EP759" s="1385"/>
      <c r="EQ759" s="1385"/>
      <c r="ER759" s="1385"/>
      <c r="ES759" s="1385"/>
      <c r="ET759" s="1385">
        <f t="shared" si="31"/>
        <v>0</v>
      </c>
      <c r="EU759" s="1385"/>
      <c r="EV759" s="1385"/>
      <c r="EW759" s="1385"/>
      <c r="EX759" s="1385"/>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 customHeight="1">
      <c r="A760"/>
      <c r="B760" s="1362"/>
      <c r="C760" s="1363"/>
      <c r="D760" s="1363"/>
      <c r="E760" s="1363"/>
      <c r="F760" s="1364"/>
      <c r="G760" s="1371"/>
      <c r="H760" s="1372"/>
      <c r="I760" s="1372"/>
      <c r="J760" s="1373"/>
      <c r="K760" s="1374"/>
      <c r="L760" s="1375"/>
      <c r="M760" s="1375"/>
      <c r="N760" s="1376"/>
      <c r="O760" s="1377"/>
      <c r="P760" s="1378"/>
      <c r="Q760" s="1378"/>
      <c r="R760" s="1378"/>
      <c r="S760" s="1379"/>
      <c r="T760" s="1377"/>
      <c r="U760" s="1378"/>
      <c r="V760" s="1378"/>
      <c r="W760" s="1379"/>
      <c r="X760" s="1365">
        <f>O760+T760</f>
        <v>0</v>
      </c>
      <c r="Y760" s="1366"/>
      <c r="Z760" s="1366"/>
      <c r="AA760" s="1366"/>
      <c r="AB760" s="1367"/>
      <c r="AC760" s="1380"/>
      <c r="AD760" s="1381"/>
      <c r="AE760" s="1381"/>
      <c r="AF760" s="1381"/>
      <c r="AG760" s="1382"/>
      <c r="AH760" s="1368" t="str">
        <f t="shared" si="38"/>
        <v/>
      </c>
      <c r="AI760" s="1369"/>
      <c r="AJ760" s="1370"/>
      <c r="AK760" s="1362" t="s">
        <v>590</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3">
        <f t="shared" si="40"/>
        <v>0</v>
      </c>
      <c r="CJ760" s="1345"/>
      <c r="CK760" s="1358">
        <f t="shared" si="18"/>
        <v>0</v>
      </c>
      <c r="CL760" s="1360"/>
      <c r="CM760" s="1343">
        <f t="shared" si="19"/>
        <v>0</v>
      </c>
      <c r="CN760" s="1345"/>
      <c r="CP760" s="1340">
        <f t="shared" si="20"/>
        <v>0</v>
      </c>
      <c r="CQ760" s="1341"/>
      <c r="CR760" s="1341"/>
      <c r="CS760" s="1341"/>
      <c r="CT760" s="1342"/>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5">
        <f t="shared" si="26"/>
        <v>0</v>
      </c>
      <c r="DV760" s="1385"/>
      <c r="DW760" s="1385"/>
      <c r="DX760" s="1385"/>
      <c r="DY760" s="1385"/>
      <c r="DZ760" s="1385">
        <f t="shared" si="27"/>
        <v>0</v>
      </c>
      <c r="EA760" s="1385"/>
      <c r="EB760" s="1385"/>
      <c r="EC760" s="1385"/>
      <c r="ED760" s="1385"/>
      <c r="EE760" s="1385">
        <f t="shared" si="28"/>
        <v>0</v>
      </c>
      <c r="EF760" s="1385"/>
      <c r="EG760" s="1385"/>
      <c r="EH760" s="1385"/>
      <c r="EI760" s="1385"/>
      <c r="EJ760" s="1385">
        <f t="shared" si="29"/>
        <v>0</v>
      </c>
      <c r="EK760" s="1385"/>
      <c r="EL760" s="1385"/>
      <c r="EM760" s="1385"/>
      <c r="EN760" s="1385"/>
      <c r="EO760" s="1385">
        <f t="shared" si="30"/>
        <v>0</v>
      </c>
      <c r="EP760" s="1385"/>
      <c r="EQ760" s="1385"/>
      <c r="ER760" s="1385"/>
      <c r="ES760" s="1385"/>
      <c r="ET760" s="1385">
        <f t="shared" si="31"/>
        <v>0</v>
      </c>
      <c r="EU760" s="1385"/>
      <c r="EV760" s="1385"/>
      <c r="EW760" s="1385"/>
      <c r="EX760" s="1385"/>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 customHeight="1">
      <c r="A761"/>
      <c r="B761" s="1424" t="s">
        <v>125</v>
      </c>
      <c r="C761" s="1425"/>
      <c r="D761" s="1425"/>
      <c r="E761" s="1425"/>
      <c r="F761" s="1427"/>
      <c r="G761" s="1711">
        <f>SUM(G726:G760)</f>
        <v>232</v>
      </c>
      <c r="H761" s="1712"/>
      <c r="I761" s="1712"/>
      <c r="J761" s="1713"/>
      <c r="K761" s="898" t="s">
        <v>124</v>
      </c>
      <c r="L761" s="5"/>
      <c r="M761" s="5"/>
      <c r="N761" s="46"/>
      <c r="O761" s="1365">
        <f>SUMPRODUCT(G726:G760,O726:O760)</f>
        <v>528491</v>
      </c>
      <c r="P761" s="1366"/>
      <c r="Q761" s="1366"/>
      <c r="R761" s="1366"/>
      <c r="S761" s="1367"/>
      <c r="T761"/>
      <c r="U761"/>
      <c r="V761"/>
      <c r="W761"/>
      <c r="X761" s="900" t="s">
        <v>899</v>
      </c>
      <c r="Y761" s="899"/>
      <c r="Z761" s="899"/>
      <c r="AA761" s="899"/>
      <c r="AB761" s="901"/>
      <c r="AC761" s="1624">
        <f>BH761</f>
        <v>0.58965517241379306</v>
      </c>
      <c r="AD761" s="1625"/>
      <c r="AE761" s="1625"/>
      <c r="AF761" s="1625"/>
      <c r="AG761" s="1626"/>
      <c r="AH761" s="1624">
        <f>IFERROR(BU761,"")</f>
        <v>0.54286165385703122</v>
      </c>
      <c r="AI761" s="1625"/>
      <c r="AJ761" s="1626"/>
      <c r="AK761"/>
      <c r="AL761"/>
      <c r="AM761"/>
      <c r="AN761"/>
      <c r="AO761"/>
      <c r="AP761" s="205"/>
      <c r="AQ761" s="205"/>
      <c r="AR761" s="205"/>
      <c r="AS761" s="205"/>
      <c r="AT761"/>
      <c r="AU761"/>
      <c r="AV761"/>
      <c r="AW761"/>
      <c r="AX761"/>
      <c r="AY761"/>
      <c r="AZ761" s="34"/>
      <c r="BA761" s="34"/>
      <c r="BB761" s="34"/>
      <c r="BC761" s="34"/>
      <c r="BE761" s="290" t="s">
        <v>898</v>
      </c>
      <c r="BF761" s="299">
        <f>SUM(BF726:BF760)</f>
        <v>232</v>
      </c>
      <c r="BG761" s="300">
        <f>SUM(BG726:BG760)</f>
        <v>1</v>
      </c>
      <c r="BH761" s="300">
        <f>SUM(BH726:BH760)</f>
        <v>0.58965517241379306</v>
      </c>
      <c r="BI761"/>
      <c r="BJ761"/>
      <c r="BK761"/>
      <c r="BL761"/>
      <c r="BO761"/>
      <c r="BP761"/>
      <c r="BQ761"/>
      <c r="BR761"/>
      <c r="BS761" s="855">
        <f>SUM(BS726:BS760)</f>
        <v>232</v>
      </c>
      <c r="BT761" s="300">
        <f>SUM(BT726:BT760)</f>
        <v>1</v>
      </c>
      <c r="BU761" s="300">
        <f>SUM(BU726:BU760)</f>
        <v>0.54286165385703122</v>
      </c>
      <c r="CI761" s="1358">
        <f>SUM(CI726:CJ760)</f>
        <v>46</v>
      </c>
      <c r="CJ761" s="1360"/>
      <c r="CM761" s="1358">
        <f>SUM(CM726:CN760)</f>
        <v>24</v>
      </c>
      <c r="CN761" s="1360"/>
      <c r="CP761" s="1358">
        <f>SUM(CP726:CT760)</f>
        <v>65</v>
      </c>
      <c r="CQ761" s="1359"/>
      <c r="CR761" s="1359"/>
      <c r="CS761" s="1359"/>
      <c r="CT761" s="1360"/>
      <c r="CU761" s="1384">
        <f>SUM(CU726:CY760)</f>
        <v>48</v>
      </c>
      <c r="CV761" s="1384"/>
      <c r="CW761" s="1384"/>
      <c r="CX761" s="1384"/>
      <c r="CY761" s="1384"/>
      <c r="CZ761" s="1384">
        <f>SUM(CZ726:DD760)</f>
        <v>59</v>
      </c>
      <c r="DA761" s="1384"/>
      <c r="DB761" s="1384"/>
      <c r="DC761" s="1384"/>
      <c r="DD761" s="1384"/>
      <c r="DE761" s="1384">
        <f>SUM(DE726:DI760)</f>
        <v>60</v>
      </c>
      <c r="DF761" s="1384"/>
      <c r="DG761" s="1384"/>
      <c r="DH761" s="1384"/>
      <c r="DI761" s="1384"/>
      <c r="DJ761" s="1384">
        <f>SUM(DJ726:DN760)</f>
        <v>0</v>
      </c>
      <c r="DK761" s="1384"/>
      <c r="DL761" s="1384"/>
      <c r="DM761" s="1384"/>
      <c r="DN761" s="1384"/>
      <c r="DO761" s="1384">
        <f>SUM(DO726:DS760)</f>
        <v>0</v>
      </c>
      <c r="DP761" s="1384"/>
      <c r="DQ761" s="1384"/>
      <c r="DR761" s="1384"/>
      <c r="DS761" s="1384"/>
      <c r="DT761" s="354"/>
      <c r="DU761" s="1384">
        <f>SUM(DU726:DY760)</f>
        <v>23</v>
      </c>
      <c r="DV761" s="1384"/>
      <c r="DW761" s="1384"/>
      <c r="DX761" s="1384"/>
      <c r="DY761" s="1384"/>
      <c r="DZ761" s="1384">
        <f>SUM(DZ726:ED760)</f>
        <v>0</v>
      </c>
      <c r="EA761" s="1384"/>
      <c r="EB761" s="1384"/>
      <c r="EC761" s="1384"/>
      <c r="ED761" s="1384"/>
      <c r="EE761" s="1384">
        <f>SUM(EE726:EI760)</f>
        <v>0</v>
      </c>
      <c r="EF761" s="1384"/>
      <c r="EG761" s="1384"/>
      <c r="EH761" s="1384"/>
      <c r="EI761" s="1384"/>
      <c r="EJ761" s="1384">
        <f>SUM(EJ726:EN760)</f>
        <v>1</v>
      </c>
      <c r="EK761" s="1384"/>
      <c r="EL761" s="1384"/>
      <c r="EM761" s="1384"/>
      <c r="EN761" s="1384"/>
      <c r="EO761" s="1384">
        <f>SUM(EO726:ES760)</f>
        <v>0</v>
      </c>
      <c r="EP761" s="1384"/>
      <c r="EQ761" s="1384"/>
      <c r="ER761" s="1384"/>
      <c r="ES761" s="1384"/>
      <c r="ET761" s="1384">
        <f>SUM(ET726:EX760)</f>
        <v>0</v>
      </c>
      <c r="EU761" s="1384"/>
      <c r="EV761" s="1384"/>
      <c r="EW761" s="1384"/>
      <c r="EX761" s="1384"/>
      <c r="EY761"/>
      <c r="EZ761" s="1384">
        <f>SUM(EZ726:FD760)</f>
        <v>4367</v>
      </c>
      <c r="FA761" s="1384"/>
      <c r="FB761" s="1384"/>
      <c r="FC761" s="1384"/>
      <c r="FD761" s="1384"/>
      <c r="FE761" s="1384">
        <f>SUM(FE726:FI760)</f>
        <v>6166</v>
      </c>
      <c r="FF761" s="1384"/>
      <c r="FG761" s="1384"/>
      <c r="FH761" s="1384"/>
      <c r="FI761" s="1384"/>
      <c r="FJ761" s="1384">
        <f>SUM(FJ726:FN760)</f>
        <v>5212</v>
      </c>
      <c r="FK761" s="1384"/>
      <c r="FL761" s="1384"/>
      <c r="FM761" s="1384"/>
      <c r="FN761" s="1384"/>
      <c r="FO761" s="1384">
        <f>SUM(FO726:FS760)</f>
        <v>7424</v>
      </c>
      <c r="FP761" s="1384"/>
      <c r="FQ761" s="1384"/>
      <c r="FR761" s="1384"/>
      <c r="FS761" s="1384"/>
      <c r="FT761" s="1384">
        <f>SUM(FT726:FX760)</f>
        <v>0</v>
      </c>
      <c r="FU761" s="1384"/>
      <c r="FV761" s="1384"/>
      <c r="FW761" s="1384"/>
      <c r="FX761" s="1384"/>
      <c r="FY761" s="1384">
        <f>SUM(FY726:GC760)</f>
        <v>0</v>
      </c>
      <c r="FZ761" s="1384"/>
      <c r="GA761" s="1384"/>
      <c r="GB761" s="1384"/>
      <c r="GC761" s="1384"/>
    </row>
    <row r="762" spans="1:185" s="3" customFormat="1" ht="12.9" customHeight="1">
      <c r="A762"/>
      <c r="B762" s="1833" t="s">
        <v>1866</v>
      </c>
      <c r="C762" s="1833"/>
      <c r="D762" s="1833"/>
      <c r="E762" s="1833"/>
      <c r="F762" s="1833"/>
      <c r="G762" s="1833"/>
      <c r="H762" s="1833"/>
      <c r="I762" s="1833"/>
      <c r="J762" s="1833"/>
      <c r="K762" s="1833"/>
      <c r="L762" s="1833"/>
      <c r="M762" s="1833"/>
      <c r="N762" s="1833"/>
      <c r="O762" s="1833"/>
      <c r="P762" s="1833"/>
      <c r="Q762" s="1833"/>
      <c r="R762" s="1833"/>
      <c r="S762" s="1833"/>
      <c r="T762" s="1833"/>
      <c r="U762" s="1833"/>
      <c r="V762" s="1833"/>
      <c r="W762" s="1833"/>
      <c r="X762" s="1833"/>
      <c r="Y762" s="1833"/>
      <c r="Z762" s="1833"/>
      <c r="AA762" s="1833"/>
      <c r="AB762" s="1833"/>
      <c r="AC762" s="1833"/>
      <c r="AD762" s="1833"/>
      <c r="AE762" s="1833"/>
      <c r="AF762" s="1833"/>
      <c r="AG762" s="1833"/>
      <c r="AH762" s="1833"/>
      <c r="AI762"/>
      <c r="AJ762"/>
      <c r="AK762"/>
      <c r="AT762"/>
      <c r="AU762"/>
      <c r="AV762"/>
      <c r="AW762"/>
      <c r="AX762"/>
      <c r="AY762"/>
      <c r="CD762"/>
      <c r="DN762" s="56" t="s">
        <v>1834</v>
      </c>
      <c r="DO762" s="1358">
        <f>CP761+CU761+CZ761+DE761+DJ761+DO761</f>
        <v>232</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833"/>
      <c r="C763" s="1833"/>
      <c r="D763" s="1833"/>
      <c r="E763" s="1833"/>
      <c r="F763" s="1833"/>
      <c r="G763" s="1833"/>
      <c r="H763" s="1833"/>
      <c r="I763" s="1833"/>
      <c r="J763" s="1833"/>
      <c r="K763" s="1833"/>
      <c r="L763" s="1833"/>
      <c r="M763" s="1833"/>
      <c r="N763" s="1833"/>
      <c r="O763" s="1833"/>
      <c r="P763" s="1833"/>
      <c r="Q763" s="1833"/>
      <c r="R763" s="1833"/>
      <c r="S763" s="1833"/>
      <c r="T763" s="1833"/>
      <c r="U763" s="1833"/>
      <c r="V763" s="1833"/>
      <c r="W763" s="1833"/>
      <c r="X763" s="1833"/>
      <c r="Y763" s="1833"/>
      <c r="Z763" s="1833"/>
      <c r="AA763" s="1833"/>
      <c r="AB763" s="1833"/>
      <c r="AC763" s="1833"/>
      <c r="AD763" s="1833"/>
      <c r="AE763" s="1833"/>
      <c r="AF763" s="1833"/>
      <c r="AG763" s="1833"/>
      <c r="AH763" s="183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65</v>
      </c>
      <c r="CU763" s="3"/>
      <c r="CV763" s="3"/>
      <c r="CW763" s="3"/>
      <c r="CX763" s="3"/>
      <c r="CY763" s="857">
        <f>CU761*1</f>
        <v>48</v>
      </c>
      <c r="CZ763" s="3"/>
      <c r="DA763" s="3"/>
      <c r="DB763" s="3"/>
      <c r="DC763" s="3"/>
      <c r="DD763" s="857">
        <f>CZ761*2</f>
        <v>118</v>
      </c>
      <c r="DE763" s="3"/>
      <c r="DF763" s="3"/>
      <c r="DG763" s="3"/>
      <c r="DH763" s="3"/>
      <c r="DI763" s="857">
        <f>DE761*3</f>
        <v>180</v>
      </c>
      <c r="DJ763" s="3"/>
      <c r="DK763" s="3"/>
      <c r="DL763" s="3"/>
      <c r="DM763" s="3"/>
      <c r="DN763" s="857">
        <f>DJ761*4</f>
        <v>0</v>
      </c>
      <c r="DO763" s="3"/>
      <c r="DP763" s="3"/>
      <c r="DQ763" s="3"/>
      <c r="DR763" s="3"/>
      <c r="DS763" s="857">
        <f>DO761*5</f>
        <v>0</v>
      </c>
      <c r="DU763" s="857">
        <f>CT763+CY763+DD763+DI763+DN763+DS763</f>
        <v>411</v>
      </c>
      <c r="DV763" s="57" t="s">
        <v>1836</v>
      </c>
      <c r="DW763" s="3"/>
      <c r="DX763" s="3"/>
      <c r="DY763" s="3"/>
      <c r="DZ763" s="3"/>
      <c r="EA763" s="3"/>
      <c r="EB763" s="3"/>
      <c r="EC763" s="3"/>
      <c r="ED763" s="3"/>
      <c r="EE763" s="3"/>
      <c r="EF763" s="3"/>
      <c r="EG763" s="3"/>
      <c r="EH763" s="3"/>
    </row>
    <row r="764" spans="1:185" ht="12.9" customHeight="1">
      <c r="A764" s="3"/>
      <c r="B764" s="3"/>
      <c r="C764" s="118" t="s">
        <v>1864</v>
      </c>
      <c r="D764" s="1027"/>
      <c r="E764" s="1027"/>
      <c r="F764" s="1027"/>
      <c r="G764" s="1028"/>
      <c r="H764" s="1028"/>
      <c r="I764" s="1028"/>
      <c r="J764" s="1028"/>
      <c r="K764" s="1027"/>
      <c r="L764" s="1027"/>
      <c r="M764" s="1027"/>
      <c r="N764" s="1027"/>
      <c r="O764" s="1384">
        <f>DU763</f>
        <v>411</v>
      </c>
      <c r="P764" s="1384"/>
      <c r="Q764" s="1384"/>
      <c r="R764" s="1384"/>
      <c r="S764" s="965"/>
      <c r="T764" s="965"/>
      <c r="U764" s="118" t="s">
        <v>1865</v>
      </c>
      <c r="V764" s="1027"/>
      <c r="W764" s="1027"/>
      <c r="X764" s="1027"/>
      <c r="Y764" s="1028"/>
      <c r="Z764" s="1028"/>
      <c r="AA764" s="1028"/>
      <c r="AB764" s="1028"/>
      <c r="AC764" s="1027"/>
      <c r="AD764" s="1027"/>
      <c r="AE764" s="1027"/>
      <c r="AF764" s="1027"/>
      <c r="AG764" s="1383"/>
      <c r="AH764" s="1383"/>
      <c r="AI764" s="1383"/>
      <c r="AJ764" s="138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867" t="str">
        <f>IF(G761&lt;&gt;AG449,"! Total Low-Income Units in the Unit Mix Table above does not match the number of Total Low-Income Units on row #"&amp;TEXT(ROW(D449),"#"),"")</f>
        <v/>
      </c>
      <c r="D765" s="1867"/>
      <c r="E765" s="1867"/>
      <c r="F765" s="1867"/>
      <c r="G765" s="1867"/>
      <c r="H765" s="1867"/>
      <c r="I765" s="1867"/>
      <c r="J765" s="1867"/>
      <c r="K765" s="1867"/>
      <c r="L765" s="1867"/>
      <c r="M765" s="1867"/>
      <c r="N765" s="1867"/>
      <c r="O765" s="1867"/>
      <c r="P765" s="1867"/>
      <c r="Q765" s="1867"/>
      <c r="R765" s="1867"/>
      <c r="S765" s="1867"/>
      <c r="T765" s="1867"/>
      <c r="U765" s="1867"/>
      <c r="V765" s="1867"/>
      <c r="W765" s="1867"/>
      <c r="X765" s="1867"/>
      <c r="Y765" s="1867"/>
      <c r="Z765" s="1867"/>
      <c r="AA765" s="1867"/>
      <c r="AB765" s="1867"/>
      <c r="AC765" s="1867"/>
      <c r="AD765" s="1867"/>
      <c r="AE765" s="1867"/>
      <c r="AF765" s="1867"/>
      <c r="AG765" s="1867"/>
      <c r="AH765" s="1867"/>
      <c r="AI765" s="1867"/>
      <c r="AJ765" s="1867"/>
      <c r="AK765" s="1867"/>
      <c r="AL765" s="1867"/>
      <c r="AM765" s="186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867"/>
      <c r="D766" s="1867"/>
      <c r="E766" s="1867"/>
      <c r="F766" s="1867"/>
      <c r="G766" s="1867"/>
      <c r="H766" s="1867"/>
      <c r="I766" s="1867"/>
      <c r="J766" s="1867"/>
      <c r="K766" s="1867"/>
      <c r="L766" s="1867"/>
      <c r="M766" s="1867"/>
      <c r="N766" s="1867"/>
      <c r="O766" s="1867"/>
      <c r="P766" s="1867"/>
      <c r="Q766" s="1867"/>
      <c r="R766" s="1867"/>
      <c r="S766" s="1867"/>
      <c r="T766" s="1867"/>
      <c r="U766" s="1867"/>
      <c r="V766" s="1867"/>
      <c r="W766" s="1867"/>
      <c r="X766" s="1867"/>
      <c r="Y766" s="1867"/>
      <c r="Z766" s="1867"/>
      <c r="AA766" s="1867"/>
      <c r="AB766" s="1867"/>
      <c r="AC766" s="1867"/>
      <c r="AD766" s="1867"/>
      <c r="AE766" s="1867"/>
      <c r="AF766" s="1867"/>
      <c r="AG766" s="1867"/>
      <c r="AH766" s="1867"/>
      <c r="AI766" s="1867"/>
      <c r="AJ766" s="1867"/>
      <c r="AK766" s="1867"/>
      <c r="AL766" s="1867"/>
      <c r="AM766" s="186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4" t="s">
        <v>590</v>
      </c>
      <c r="AE767" s="1714"/>
      <c r="AF767" s="171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611" t="s">
        <v>388</v>
      </c>
      <c r="K777" s="1509"/>
      <c r="L777" s="1509"/>
      <c r="M777" s="1509"/>
      <c r="N777" s="1510"/>
      <c r="O777" s="1613" t="s">
        <v>284</v>
      </c>
      <c r="P777" s="1613"/>
      <c r="Q777" s="1613"/>
      <c r="R777" s="1613"/>
      <c r="S777" s="1613"/>
      <c r="T777" s="1523" t="s">
        <v>1667</v>
      </c>
      <c r="U777" s="1524"/>
      <c r="V777" s="1524"/>
      <c r="W777" s="1525"/>
      <c r="X777" s="1611" t="s">
        <v>446</v>
      </c>
      <c r="Y777" s="1509"/>
      <c r="Z777" s="1509"/>
      <c r="AA777" s="1509"/>
      <c r="AB777" s="1510"/>
      <c r="AC777" s="1611" t="s">
        <v>285</v>
      </c>
      <c r="AD777" s="1509"/>
      <c r="AE777" s="1509"/>
      <c r="AF777" s="1509"/>
      <c r="AG777" s="151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511"/>
      <c r="K778" s="1512"/>
      <c r="L778" s="1512"/>
      <c r="M778" s="1512"/>
      <c r="N778" s="1513"/>
      <c r="O778" s="1613"/>
      <c r="P778" s="1613"/>
      <c r="Q778" s="1613"/>
      <c r="R778" s="1613"/>
      <c r="S778" s="1613"/>
      <c r="T778" s="1526"/>
      <c r="U778" s="1527"/>
      <c r="V778" s="1527"/>
      <c r="W778" s="1528"/>
      <c r="X778" s="1511"/>
      <c r="Y778" s="1512"/>
      <c r="Z778" s="1512"/>
      <c r="AA778" s="1512"/>
      <c r="AB778" s="1513"/>
      <c r="AC778" s="1511"/>
      <c r="AD778" s="1512"/>
      <c r="AE778" s="1512"/>
      <c r="AF778" s="1512"/>
      <c r="AG778" s="151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511"/>
      <c r="K779" s="1512"/>
      <c r="L779" s="1512"/>
      <c r="M779" s="1512"/>
      <c r="N779" s="1513"/>
      <c r="O779" s="1613"/>
      <c r="P779" s="1613"/>
      <c r="Q779" s="1613"/>
      <c r="R779" s="1613"/>
      <c r="S779" s="1613"/>
      <c r="T779" s="1526"/>
      <c r="U779" s="1527"/>
      <c r="V779" s="1527"/>
      <c r="W779" s="1528"/>
      <c r="X779" s="1511"/>
      <c r="Y779" s="1512"/>
      <c r="Z779" s="1512"/>
      <c r="AA779" s="1512"/>
      <c r="AB779" s="1513"/>
      <c r="AC779" s="1511"/>
      <c r="AD779" s="1512"/>
      <c r="AE779" s="1512"/>
      <c r="AF779" s="1512"/>
      <c r="AG779" s="151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514"/>
      <c r="K780" s="1515"/>
      <c r="L780" s="1515"/>
      <c r="M780" s="1515"/>
      <c r="N780" s="1516"/>
      <c r="O780" s="1613"/>
      <c r="P780" s="1613"/>
      <c r="Q780" s="1613"/>
      <c r="R780" s="1613"/>
      <c r="S780" s="1613"/>
      <c r="T780" s="1614"/>
      <c r="U780" s="1615"/>
      <c r="V780" s="1615"/>
      <c r="W780" s="1616"/>
      <c r="X780" s="1514"/>
      <c r="Y780" s="1515"/>
      <c r="Z780" s="1515"/>
      <c r="AA780" s="1515"/>
      <c r="AB780" s="1516"/>
      <c r="AC780" s="1514"/>
      <c r="AD780" s="1515"/>
      <c r="AE780" s="1515"/>
      <c r="AF780" s="1515"/>
      <c r="AG780" s="151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62" t="s">
        <v>163</v>
      </c>
      <c r="K781" s="1363"/>
      <c r="L781" s="1363"/>
      <c r="M781" s="1363"/>
      <c r="N781" s="1364"/>
      <c r="O781" s="1474">
        <v>2</v>
      </c>
      <c r="P781" s="1474"/>
      <c r="Q781" s="1474"/>
      <c r="R781" s="1474"/>
      <c r="S781" s="1474"/>
      <c r="T781" s="1374">
        <v>796</v>
      </c>
      <c r="U781" s="1375"/>
      <c r="V781" s="1375"/>
      <c r="W781" s="1376"/>
      <c r="X781" s="1377">
        <v>0</v>
      </c>
      <c r="Y781" s="1378"/>
      <c r="Z781" s="1378"/>
      <c r="AA781" s="1378"/>
      <c r="AB781" s="1379"/>
      <c r="AC781" s="1365">
        <f>X781*O781</f>
        <v>0</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61">
        <f>IF(J781="1 Bedroom",O781,0)</f>
        <v>0</v>
      </c>
      <c r="CV781" s="1361"/>
      <c r="CW781" s="1361"/>
      <c r="CX781" s="1361"/>
      <c r="CY781" s="1361"/>
      <c r="CZ781" s="1361">
        <f>IF(J781="2 Bedrooms",O781,0)</f>
        <v>2</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 customHeight="1">
      <c r="J782" s="1362"/>
      <c r="K782" s="1363"/>
      <c r="L782" s="1363"/>
      <c r="M782" s="1363"/>
      <c r="N782" s="1364"/>
      <c r="O782" s="1474"/>
      <c r="P782" s="1474"/>
      <c r="Q782" s="1474"/>
      <c r="R782" s="1474"/>
      <c r="S782" s="1474"/>
      <c r="T782" s="1374"/>
      <c r="U782" s="1375"/>
      <c r="V782" s="1375"/>
      <c r="W782" s="1376"/>
      <c r="X782" s="1377"/>
      <c r="Y782" s="1378"/>
      <c r="Z782" s="1378"/>
      <c r="AA782" s="1378"/>
      <c r="AB782" s="1379"/>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 customHeight="1">
      <c r="J783" s="1362"/>
      <c r="K783" s="1363"/>
      <c r="L783" s="1363"/>
      <c r="M783" s="1363"/>
      <c r="N783" s="1364"/>
      <c r="O783" s="1474"/>
      <c r="P783" s="1474"/>
      <c r="Q783" s="1474"/>
      <c r="R783" s="1474"/>
      <c r="S783" s="1474"/>
      <c r="T783" s="1374"/>
      <c r="U783" s="1375"/>
      <c r="V783" s="1375"/>
      <c r="W783" s="1376"/>
      <c r="X783" s="1377"/>
      <c r="Y783" s="1378"/>
      <c r="Z783" s="1378"/>
      <c r="AA783" s="1378"/>
      <c r="AB783" s="1379"/>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 customHeight="1">
      <c r="J784" s="1362"/>
      <c r="K784" s="1363"/>
      <c r="L784" s="1363"/>
      <c r="M784" s="1363"/>
      <c r="N784" s="1364"/>
      <c r="O784" s="1474"/>
      <c r="P784" s="1474"/>
      <c r="Q784" s="1474"/>
      <c r="R784" s="1474"/>
      <c r="S784" s="1474"/>
      <c r="T784" s="1374"/>
      <c r="U784" s="1375"/>
      <c r="V784" s="1375"/>
      <c r="W784" s="1376"/>
      <c r="X784" s="1377"/>
      <c r="Y784" s="1378"/>
      <c r="Z784" s="1378"/>
      <c r="AA784" s="1378"/>
      <c r="AB784" s="1379"/>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 customHeight="1">
      <c r="J785" s="1424" t="s">
        <v>125</v>
      </c>
      <c r="K785" s="1425"/>
      <c r="L785" s="1425"/>
      <c r="M785" s="1425"/>
      <c r="N785" s="1427"/>
      <c r="O785" s="1343">
        <f>SUM(O781:S784)</f>
        <v>2</v>
      </c>
      <c r="P785" s="1344"/>
      <c r="Q785" s="1344"/>
      <c r="R785" s="1344"/>
      <c r="S785" s="1345"/>
      <c r="X785" s="1424" t="s">
        <v>124</v>
      </c>
      <c r="Y785" s="1425"/>
      <c r="Z785" s="1425"/>
      <c r="AA785" s="1425"/>
      <c r="AB785" s="1427"/>
      <c r="AC785" s="1365">
        <f>SUM(AC781:AG784)</f>
        <v>0</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46">
        <f>SUM(CU781:CY784)</f>
        <v>0</v>
      </c>
      <c r="CV785" s="1347"/>
      <c r="CW785" s="1347"/>
      <c r="CX785" s="1347"/>
      <c r="CY785" s="1348"/>
      <c r="CZ785" s="1346">
        <f>SUM(CZ781:DD784)</f>
        <v>2</v>
      </c>
      <c r="DA785" s="1347"/>
      <c r="DB785" s="1347"/>
      <c r="DC785" s="1347"/>
      <c r="DD785" s="1348"/>
      <c r="DE785" s="1346">
        <f>SUM(DE781:DI784)</f>
        <v>0</v>
      </c>
      <c r="DF785" s="1347"/>
      <c r="DG785" s="1347"/>
      <c r="DH785" s="1347"/>
      <c r="DI785" s="1348"/>
      <c r="DJ785" s="1346">
        <f>SUM(DJ781:DN784)</f>
        <v>0</v>
      </c>
      <c r="DK785" s="1347"/>
      <c r="DL785" s="1347"/>
      <c r="DM785" s="1347"/>
      <c r="DN785" s="1348"/>
      <c r="DO785" s="1346">
        <f>SUM(DO781:DS784)</f>
        <v>0</v>
      </c>
      <c r="DP785" s="1347"/>
      <c r="DQ785" s="1347"/>
      <c r="DR785" s="1347"/>
      <c r="DS785" s="1348"/>
      <c r="DU785" s="857">
        <f>CP785+CU785+CZ785+DE785+DJ785+DO785</f>
        <v>2</v>
      </c>
      <c r="DV785" s="57" t="s">
        <v>1833</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1835</v>
      </c>
    </row>
    <row r="787" spans="1:154" ht="12.9" customHeight="1">
      <c r="B787" s="56"/>
      <c r="C787" s="56"/>
      <c r="D787" s="56"/>
      <c r="E787" s="56"/>
      <c r="F787" s="56"/>
      <c r="G787" s="6"/>
      <c r="H787" s="6"/>
      <c r="I787" s="6"/>
      <c r="J787" s="1405" t="s">
        <v>668</v>
      </c>
      <c r="K787" s="1405"/>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611" t="s">
        <v>388</v>
      </c>
      <c r="K791" s="1509"/>
      <c r="L791" s="1509"/>
      <c r="M791" s="1509"/>
      <c r="N791" s="1510"/>
      <c r="O791" s="1613" t="s">
        <v>284</v>
      </c>
      <c r="P791" s="1613"/>
      <c r="Q791" s="1613"/>
      <c r="R791" s="1613"/>
      <c r="S791" s="1613"/>
      <c r="T791" s="1523" t="s">
        <v>1667</v>
      </c>
      <c r="U791" s="1524"/>
      <c r="V791" s="1524"/>
      <c r="W791" s="1525"/>
      <c r="X791" s="1611" t="s">
        <v>446</v>
      </c>
      <c r="Y791" s="1509"/>
      <c r="Z791" s="1509"/>
      <c r="AA791" s="1509"/>
      <c r="AB791" s="1510"/>
      <c r="AC791" s="1611" t="s">
        <v>285</v>
      </c>
      <c r="AD791" s="1509"/>
      <c r="AE791" s="1509"/>
      <c r="AF791" s="1509"/>
      <c r="AG791" s="151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511"/>
      <c r="K792" s="1512"/>
      <c r="L792" s="1512"/>
      <c r="M792" s="1512"/>
      <c r="N792" s="1513"/>
      <c r="O792" s="1613"/>
      <c r="P792" s="1613"/>
      <c r="Q792" s="1613"/>
      <c r="R792" s="1613"/>
      <c r="S792" s="1613"/>
      <c r="T792" s="1526"/>
      <c r="U792" s="1527"/>
      <c r="V792" s="1527"/>
      <c r="W792" s="1528"/>
      <c r="X792" s="1511"/>
      <c r="Y792" s="1512"/>
      <c r="Z792" s="1512"/>
      <c r="AA792" s="1512"/>
      <c r="AB792" s="1513"/>
      <c r="AC792" s="1511"/>
      <c r="AD792" s="1512"/>
      <c r="AE792" s="1512"/>
      <c r="AF792" s="1512"/>
      <c r="AG792" s="151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511"/>
      <c r="K793" s="1512"/>
      <c r="L793" s="1512"/>
      <c r="M793" s="1512"/>
      <c r="N793" s="1513"/>
      <c r="O793" s="1613"/>
      <c r="P793" s="1613"/>
      <c r="Q793" s="1613"/>
      <c r="R793" s="1613"/>
      <c r="S793" s="1613"/>
      <c r="T793" s="1526"/>
      <c r="U793" s="1527"/>
      <c r="V793" s="1527"/>
      <c r="W793" s="1528"/>
      <c r="X793" s="1511"/>
      <c r="Y793" s="1512"/>
      <c r="Z793" s="1512"/>
      <c r="AA793" s="1512"/>
      <c r="AB793" s="1513"/>
      <c r="AC793" s="1511"/>
      <c r="AD793" s="1512"/>
      <c r="AE793" s="1512"/>
      <c r="AF793" s="1512"/>
      <c r="AG793" s="151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514"/>
      <c r="K794" s="1515"/>
      <c r="L794" s="1515"/>
      <c r="M794" s="1515"/>
      <c r="N794" s="1516"/>
      <c r="O794" s="1613"/>
      <c r="P794" s="1613"/>
      <c r="Q794" s="1613"/>
      <c r="R794" s="1613"/>
      <c r="S794" s="1613"/>
      <c r="T794" s="1614"/>
      <c r="U794" s="1615"/>
      <c r="V794" s="1615"/>
      <c r="W794" s="1616"/>
      <c r="X794" s="1514"/>
      <c r="Y794" s="1515"/>
      <c r="Z794" s="1515"/>
      <c r="AA794" s="1515"/>
      <c r="AB794" s="1516"/>
      <c r="AC794" s="1514"/>
      <c r="AD794" s="1515"/>
      <c r="AE794" s="1515"/>
      <c r="AF794" s="1515"/>
      <c r="AG794" s="151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 customHeight="1">
      <c r="J795" s="1362"/>
      <c r="K795" s="1363"/>
      <c r="L795" s="1363"/>
      <c r="M795" s="1363"/>
      <c r="N795" s="1364"/>
      <c r="O795" s="1474"/>
      <c r="P795" s="1474"/>
      <c r="Q795" s="1474"/>
      <c r="R795" s="1474"/>
      <c r="S795" s="1474"/>
      <c r="T795" s="1374"/>
      <c r="U795" s="1375"/>
      <c r="V795" s="1375"/>
      <c r="W795" s="1376"/>
      <c r="X795" s="1377"/>
      <c r="Y795" s="1378"/>
      <c r="Z795" s="1378"/>
      <c r="AA795" s="1378"/>
      <c r="AB795" s="1379"/>
      <c r="AC795" s="1365">
        <f t="shared" ref="AC795:AC804" si="42">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43">IF(J795="SRO/Studio",O795,0)</f>
        <v>0</v>
      </c>
      <c r="CQ795" s="1341"/>
      <c r="CR795" s="1341"/>
      <c r="CS795" s="1341"/>
      <c r="CT795" s="1342"/>
      <c r="CU795" s="1340">
        <f t="shared" ref="CU795:CU804" si="44">IF(J795="1 Bedroom",O795,0)</f>
        <v>0</v>
      </c>
      <c r="CV795" s="1341"/>
      <c r="CW795" s="1341"/>
      <c r="CX795" s="1341"/>
      <c r="CY795" s="1342"/>
      <c r="CZ795" s="1340">
        <f t="shared" ref="CZ795:CZ804" si="45">IF(J795="2 Bedrooms",O795,0)</f>
        <v>0</v>
      </c>
      <c r="DA795" s="1341"/>
      <c r="DB795" s="1341"/>
      <c r="DC795" s="1341"/>
      <c r="DD795" s="1342"/>
      <c r="DE795" s="1340">
        <f t="shared" ref="DE795:DE804" si="46">IF(J795="3 Bedrooms",O795,0)</f>
        <v>0</v>
      </c>
      <c r="DF795" s="1341"/>
      <c r="DG795" s="1341"/>
      <c r="DH795" s="1341"/>
      <c r="DI795" s="1342"/>
      <c r="DJ795" s="1340">
        <f t="shared" ref="DJ795:DJ804" si="47">IF(J795="4 Bedrooms",O795,0)</f>
        <v>0</v>
      </c>
      <c r="DK795" s="1341"/>
      <c r="DL795" s="1341"/>
      <c r="DM795" s="1341"/>
      <c r="DN795" s="1342"/>
      <c r="DO795" s="1340">
        <f t="shared" ref="DO795:DO804" si="48">IF(J795="5 Bedrooms",O795,0)</f>
        <v>0</v>
      </c>
      <c r="DP795" s="1341"/>
      <c r="DQ795" s="1341"/>
      <c r="DR795" s="1341"/>
      <c r="DS795" s="1342"/>
      <c r="DT795" s="6"/>
      <c r="DU795" s="1340">
        <f t="shared" ref="DU795:DU804" si="49">IF(AND(CP795&gt;=1,AH795&gt;=0.1,AH795&lt;=1),O795,0)</f>
        <v>0</v>
      </c>
      <c r="DV795" s="1341"/>
      <c r="DW795" s="1341"/>
      <c r="DX795" s="1341"/>
      <c r="DY795" s="1342"/>
      <c r="DZ795" s="1340">
        <f t="shared" ref="DZ795:DZ804" si="50">IF(AND(CU795&gt;=1,AH795&gt;=0.1,AH795&lt;=1),O795,0)</f>
        <v>0</v>
      </c>
      <c r="EA795" s="1341"/>
      <c r="EB795" s="1341"/>
      <c r="EC795" s="1341"/>
      <c r="ED795" s="1342"/>
      <c r="EE795" s="1340">
        <f t="shared" ref="EE795:EE804" si="51">IF(AND(CZ795&gt;=1,AH795&gt;=0.1,AH795&lt;=1),O795,0)</f>
        <v>0</v>
      </c>
      <c r="EF795" s="1341"/>
      <c r="EG795" s="1341"/>
      <c r="EH795" s="1341"/>
      <c r="EI795" s="1342"/>
      <c r="EJ795" s="1340">
        <f t="shared" ref="EJ795:EJ804" si="52">IF(AND(DE795&gt;=1,AH795&gt;=0.1,AH795&lt;=1),O795,0)</f>
        <v>0</v>
      </c>
      <c r="EK795" s="1341"/>
      <c r="EL795" s="1341"/>
      <c r="EM795" s="1341"/>
      <c r="EN795" s="1342"/>
      <c r="EO795" s="1340">
        <f t="shared" ref="EO795:EO804" si="53">IF(AND(DJ795&gt;=1,AH795&gt;=0.1,AH795&lt;=1),O795,0)</f>
        <v>0</v>
      </c>
      <c r="EP795" s="1341"/>
      <c r="EQ795" s="1341"/>
      <c r="ER795" s="1341"/>
      <c r="ES795" s="1342"/>
      <c r="ET795" s="1340">
        <f t="shared" ref="ET795:ET804" si="54">IF(AND(DO795&gt;=1,AH795&gt;=0.1,AH795&lt;=1),O795,0)</f>
        <v>0</v>
      </c>
      <c r="EU795" s="1341"/>
      <c r="EV795" s="1341"/>
      <c r="EW795" s="1341"/>
      <c r="EX795" s="1342"/>
    </row>
    <row r="796" spans="1:154" s="14" customFormat="1" ht="12.9" customHeight="1">
      <c r="A796"/>
      <c r="B796"/>
      <c r="C796"/>
      <c r="D796"/>
      <c r="E796"/>
      <c r="F796"/>
      <c r="G796"/>
      <c r="H796"/>
      <c r="I796"/>
      <c r="J796" s="1362"/>
      <c r="K796" s="1363"/>
      <c r="L796" s="1363"/>
      <c r="M796" s="1363"/>
      <c r="N796" s="1364"/>
      <c r="O796" s="1474"/>
      <c r="P796" s="1474"/>
      <c r="Q796" s="1474"/>
      <c r="R796" s="1474"/>
      <c r="S796" s="1474"/>
      <c r="T796" s="1374"/>
      <c r="U796" s="1375"/>
      <c r="V796" s="1375"/>
      <c r="W796" s="1376"/>
      <c r="X796" s="1377"/>
      <c r="Y796" s="1378"/>
      <c r="Z796" s="1378"/>
      <c r="AA796" s="1378"/>
      <c r="AB796" s="1379"/>
      <c r="AC796" s="1365">
        <f t="shared" si="42"/>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43"/>
        <v>0</v>
      </c>
      <c r="CQ796" s="1341"/>
      <c r="CR796" s="1341"/>
      <c r="CS796" s="1341"/>
      <c r="CT796" s="1342"/>
      <c r="CU796" s="1340">
        <f t="shared" si="44"/>
        <v>0</v>
      </c>
      <c r="CV796" s="1341"/>
      <c r="CW796" s="1341"/>
      <c r="CX796" s="1341"/>
      <c r="CY796" s="1342"/>
      <c r="CZ796" s="1340">
        <f t="shared" si="45"/>
        <v>0</v>
      </c>
      <c r="DA796" s="1341"/>
      <c r="DB796" s="1341"/>
      <c r="DC796" s="1341"/>
      <c r="DD796" s="1342"/>
      <c r="DE796" s="1340">
        <f t="shared" si="46"/>
        <v>0</v>
      </c>
      <c r="DF796" s="1341"/>
      <c r="DG796" s="1341"/>
      <c r="DH796" s="1341"/>
      <c r="DI796" s="1342"/>
      <c r="DJ796" s="1340">
        <f t="shared" si="47"/>
        <v>0</v>
      </c>
      <c r="DK796" s="1341"/>
      <c r="DL796" s="1341"/>
      <c r="DM796" s="1341"/>
      <c r="DN796" s="1342"/>
      <c r="DO796" s="1340">
        <f t="shared" si="48"/>
        <v>0</v>
      </c>
      <c r="DP796" s="1341"/>
      <c r="DQ796" s="1341"/>
      <c r="DR796" s="1341"/>
      <c r="DS796" s="1342"/>
      <c r="DT796" s="6"/>
      <c r="DU796" s="1340">
        <f t="shared" si="49"/>
        <v>0</v>
      </c>
      <c r="DV796" s="1341"/>
      <c r="DW796" s="1341"/>
      <c r="DX796" s="1341"/>
      <c r="DY796" s="1342"/>
      <c r="DZ796" s="1340">
        <f t="shared" si="50"/>
        <v>0</v>
      </c>
      <c r="EA796" s="1341"/>
      <c r="EB796" s="1341"/>
      <c r="EC796" s="1341"/>
      <c r="ED796" s="1342"/>
      <c r="EE796" s="1340">
        <f t="shared" si="51"/>
        <v>0</v>
      </c>
      <c r="EF796" s="1341"/>
      <c r="EG796" s="1341"/>
      <c r="EH796" s="1341"/>
      <c r="EI796" s="1342"/>
      <c r="EJ796" s="1340">
        <f t="shared" si="52"/>
        <v>0</v>
      </c>
      <c r="EK796" s="1341"/>
      <c r="EL796" s="1341"/>
      <c r="EM796" s="1341"/>
      <c r="EN796" s="1342"/>
      <c r="EO796" s="1340">
        <f t="shared" si="53"/>
        <v>0</v>
      </c>
      <c r="EP796" s="1341"/>
      <c r="EQ796" s="1341"/>
      <c r="ER796" s="1341"/>
      <c r="ES796" s="1342"/>
      <c r="ET796" s="1340">
        <f t="shared" si="54"/>
        <v>0</v>
      </c>
      <c r="EU796" s="1341"/>
      <c r="EV796" s="1341"/>
      <c r="EW796" s="1341"/>
      <c r="EX796" s="1342"/>
    </row>
    <row r="797" spans="1:154" s="14" customFormat="1" ht="12.9" customHeight="1">
      <c r="A797"/>
      <c r="B797"/>
      <c r="C797"/>
      <c r="D797"/>
      <c r="E797"/>
      <c r="F797"/>
      <c r="G797"/>
      <c r="H797"/>
      <c r="I797"/>
      <c r="J797" s="1362"/>
      <c r="K797" s="1363"/>
      <c r="L797" s="1363"/>
      <c r="M797" s="1363"/>
      <c r="N797" s="1364"/>
      <c r="O797" s="1474"/>
      <c r="P797" s="1474"/>
      <c r="Q797" s="1474"/>
      <c r="R797" s="1474"/>
      <c r="S797" s="1474"/>
      <c r="T797" s="1374"/>
      <c r="U797" s="1375"/>
      <c r="V797" s="1375"/>
      <c r="W797" s="1376"/>
      <c r="X797" s="1377"/>
      <c r="Y797" s="1378"/>
      <c r="Z797" s="1378"/>
      <c r="AA797" s="1378"/>
      <c r="AB797" s="1379"/>
      <c r="AC797" s="1365">
        <f t="shared" si="42"/>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43"/>
        <v>0</v>
      </c>
      <c r="CQ797" s="1341"/>
      <c r="CR797" s="1341"/>
      <c r="CS797" s="1341"/>
      <c r="CT797" s="1342"/>
      <c r="CU797" s="1340">
        <f t="shared" si="44"/>
        <v>0</v>
      </c>
      <c r="CV797" s="1341"/>
      <c r="CW797" s="1341"/>
      <c r="CX797" s="1341"/>
      <c r="CY797" s="1342"/>
      <c r="CZ797" s="1340">
        <f t="shared" si="45"/>
        <v>0</v>
      </c>
      <c r="DA797" s="1341"/>
      <c r="DB797" s="1341"/>
      <c r="DC797" s="1341"/>
      <c r="DD797" s="1342"/>
      <c r="DE797" s="1340">
        <f t="shared" si="46"/>
        <v>0</v>
      </c>
      <c r="DF797" s="1341"/>
      <c r="DG797" s="1341"/>
      <c r="DH797" s="1341"/>
      <c r="DI797" s="1342"/>
      <c r="DJ797" s="1340">
        <f t="shared" si="47"/>
        <v>0</v>
      </c>
      <c r="DK797" s="1341"/>
      <c r="DL797" s="1341"/>
      <c r="DM797" s="1341"/>
      <c r="DN797" s="1342"/>
      <c r="DO797" s="1340">
        <f t="shared" si="48"/>
        <v>0</v>
      </c>
      <c r="DP797" s="1341"/>
      <c r="DQ797" s="1341"/>
      <c r="DR797" s="1341"/>
      <c r="DS797" s="1342"/>
      <c r="DT797" s="6"/>
      <c r="DU797" s="1340">
        <f t="shared" si="49"/>
        <v>0</v>
      </c>
      <c r="DV797" s="1341"/>
      <c r="DW797" s="1341"/>
      <c r="DX797" s="1341"/>
      <c r="DY797" s="1342"/>
      <c r="DZ797" s="1340">
        <f t="shared" si="50"/>
        <v>0</v>
      </c>
      <c r="EA797" s="1341"/>
      <c r="EB797" s="1341"/>
      <c r="EC797" s="1341"/>
      <c r="ED797" s="1342"/>
      <c r="EE797" s="1340">
        <f t="shared" si="51"/>
        <v>0</v>
      </c>
      <c r="EF797" s="1341"/>
      <c r="EG797" s="1341"/>
      <c r="EH797" s="1341"/>
      <c r="EI797" s="1342"/>
      <c r="EJ797" s="1340">
        <f t="shared" si="52"/>
        <v>0</v>
      </c>
      <c r="EK797" s="1341"/>
      <c r="EL797" s="1341"/>
      <c r="EM797" s="1341"/>
      <c r="EN797" s="1342"/>
      <c r="EO797" s="1340">
        <f t="shared" si="53"/>
        <v>0</v>
      </c>
      <c r="EP797" s="1341"/>
      <c r="EQ797" s="1341"/>
      <c r="ER797" s="1341"/>
      <c r="ES797" s="1342"/>
      <c r="ET797" s="1340">
        <f t="shared" si="54"/>
        <v>0</v>
      </c>
      <c r="EU797" s="1341"/>
      <c r="EV797" s="1341"/>
      <c r="EW797" s="1341"/>
      <c r="EX797" s="1342"/>
    </row>
    <row r="798" spans="1:154" s="14" customFormat="1" ht="12.9" customHeight="1">
      <c r="A798"/>
      <c r="B798"/>
      <c r="C798"/>
      <c r="D798"/>
      <c r="E798"/>
      <c r="F798"/>
      <c r="G798"/>
      <c r="H798"/>
      <c r="I798"/>
      <c r="J798" s="1362"/>
      <c r="K798" s="1363"/>
      <c r="L798" s="1363"/>
      <c r="M798" s="1363"/>
      <c r="N798" s="1364"/>
      <c r="O798" s="1474"/>
      <c r="P798" s="1474"/>
      <c r="Q798" s="1474"/>
      <c r="R798" s="1474"/>
      <c r="S798" s="1474"/>
      <c r="T798" s="1374"/>
      <c r="U798" s="1375"/>
      <c r="V798" s="1375"/>
      <c r="W798" s="1376"/>
      <c r="X798" s="1377"/>
      <c r="Y798" s="1378"/>
      <c r="Z798" s="1378"/>
      <c r="AA798" s="1378"/>
      <c r="AB798" s="1379"/>
      <c r="AC798" s="1365">
        <f t="shared" si="42"/>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43"/>
        <v>0</v>
      </c>
      <c r="CQ798" s="1341"/>
      <c r="CR798" s="1341"/>
      <c r="CS798" s="1341"/>
      <c r="CT798" s="1342"/>
      <c r="CU798" s="1340">
        <f t="shared" si="44"/>
        <v>0</v>
      </c>
      <c r="CV798" s="1341"/>
      <c r="CW798" s="1341"/>
      <c r="CX798" s="1341"/>
      <c r="CY798" s="1342"/>
      <c r="CZ798" s="1340">
        <f t="shared" si="45"/>
        <v>0</v>
      </c>
      <c r="DA798" s="1341"/>
      <c r="DB798" s="1341"/>
      <c r="DC798" s="1341"/>
      <c r="DD798" s="1342"/>
      <c r="DE798" s="1340">
        <f t="shared" si="46"/>
        <v>0</v>
      </c>
      <c r="DF798" s="1341"/>
      <c r="DG798" s="1341"/>
      <c r="DH798" s="1341"/>
      <c r="DI798" s="1342"/>
      <c r="DJ798" s="1340">
        <f t="shared" si="47"/>
        <v>0</v>
      </c>
      <c r="DK798" s="1341"/>
      <c r="DL798" s="1341"/>
      <c r="DM798" s="1341"/>
      <c r="DN798" s="1342"/>
      <c r="DO798" s="1340">
        <f t="shared" si="48"/>
        <v>0</v>
      </c>
      <c r="DP798" s="1341"/>
      <c r="DQ798" s="1341"/>
      <c r="DR798" s="1341"/>
      <c r="DS798" s="1342"/>
      <c r="DT798" s="6"/>
      <c r="DU798" s="1340">
        <f t="shared" si="49"/>
        <v>0</v>
      </c>
      <c r="DV798" s="1341"/>
      <c r="DW798" s="1341"/>
      <c r="DX798" s="1341"/>
      <c r="DY798" s="1342"/>
      <c r="DZ798" s="1340">
        <f t="shared" si="50"/>
        <v>0</v>
      </c>
      <c r="EA798" s="1341"/>
      <c r="EB798" s="1341"/>
      <c r="EC798" s="1341"/>
      <c r="ED798" s="1342"/>
      <c r="EE798" s="1340">
        <f t="shared" si="51"/>
        <v>0</v>
      </c>
      <c r="EF798" s="1341"/>
      <c r="EG798" s="1341"/>
      <c r="EH798" s="1341"/>
      <c r="EI798" s="1342"/>
      <c r="EJ798" s="1340">
        <f t="shared" si="52"/>
        <v>0</v>
      </c>
      <c r="EK798" s="1341"/>
      <c r="EL798" s="1341"/>
      <c r="EM798" s="1341"/>
      <c r="EN798" s="1342"/>
      <c r="EO798" s="1340">
        <f t="shared" si="53"/>
        <v>0</v>
      </c>
      <c r="EP798" s="1341"/>
      <c r="EQ798" s="1341"/>
      <c r="ER798" s="1341"/>
      <c r="ES798" s="1342"/>
      <c r="ET798" s="1340">
        <f t="shared" si="54"/>
        <v>0</v>
      </c>
      <c r="EU798" s="1341"/>
      <c r="EV798" s="1341"/>
      <c r="EW798" s="1341"/>
      <c r="EX798" s="1342"/>
    </row>
    <row r="799" spans="1:154" s="14" customFormat="1" ht="12.9" customHeight="1">
      <c r="A799"/>
      <c r="B799"/>
      <c r="C799"/>
      <c r="D799"/>
      <c r="E799"/>
      <c r="F799"/>
      <c r="G799"/>
      <c r="H799"/>
      <c r="I799"/>
      <c r="J799" s="1362"/>
      <c r="K799" s="1363"/>
      <c r="L799" s="1363"/>
      <c r="M799" s="1363"/>
      <c r="N799" s="1364"/>
      <c r="O799" s="1474"/>
      <c r="P799" s="1474"/>
      <c r="Q799" s="1474"/>
      <c r="R799" s="1474"/>
      <c r="S799" s="1474"/>
      <c r="T799" s="1374"/>
      <c r="U799" s="1375"/>
      <c r="V799" s="1375"/>
      <c r="W799" s="1376"/>
      <c r="X799" s="1377"/>
      <c r="Y799" s="1378"/>
      <c r="Z799" s="1378"/>
      <c r="AA799" s="1378"/>
      <c r="AB799" s="1379"/>
      <c r="AC799" s="1365">
        <f t="shared" si="42"/>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43"/>
        <v>0</v>
      </c>
      <c r="CQ799" s="1341"/>
      <c r="CR799" s="1341"/>
      <c r="CS799" s="1341"/>
      <c r="CT799" s="1342"/>
      <c r="CU799" s="1340">
        <f t="shared" si="44"/>
        <v>0</v>
      </c>
      <c r="CV799" s="1341"/>
      <c r="CW799" s="1341"/>
      <c r="CX799" s="1341"/>
      <c r="CY799" s="1342"/>
      <c r="CZ799" s="1340">
        <f t="shared" si="45"/>
        <v>0</v>
      </c>
      <c r="DA799" s="1341"/>
      <c r="DB799" s="1341"/>
      <c r="DC799" s="1341"/>
      <c r="DD799" s="1342"/>
      <c r="DE799" s="1340">
        <f t="shared" si="46"/>
        <v>0</v>
      </c>
      <c r="DF799" s="1341"/>
      <c r="DG799" s="1341"/>
      <c r="DH799" s="1341"/>
      <c r="DI799" s="1342"/>
      <c r="DJ799" s="1340">
        <f t="shared" si="47"/>
        <v>0</v>
      </c>
      <c r="DK799" s="1341"/>
      <c r="DL799" s="1341"/>
      <c r="DM799" s="1341"/>
      <c r="DN799" s="1342"/>
      <c r="DO799" s="1340">
        <f t="shared" si="48"/>
        <v>0</v>
      </c>
      <c r="DP799" s="1341"/>
      <c r="DQ799" s="1341"/>
      <c r="DR799" s="1341"/>
      <c r="DS799" s="1342"/>
      <c r="DT799" s="6"/>
      <c r="DU799" s="1340">
        <f t="shared" si="49"/>
        <v>0</v>
      </c>
      <c r="DV799" s="1341"/>
      <c r="DW799" s="1341"/>
      <c r="DX799" s="1341"/>
      <c r="DY799" s="1342"/>
      <c r="DZ799" s="1340">
        <f t="shared" si="50"/>
        <v>0</v>
      </c>
      <c r="EA799" s="1341"/>
      <c r="EB799" s="1341"/>
      <c r="EC799" s="1341"/>
      <c r="ED799" s="1342"/>
      <c r="EE799" s="1340">
        <f t="shared" si="51"/>
        <v>0</v>
      </c>
      <c r="EF799" s="1341"/>
      <c r="EG799" s="1341"/>
      <c r="EH799" s="1341"/>
      <c r="EI799" s="1342"/>
      <c r="EJ799" s="1340">
        <f t="shared" si="52"/>
        <v>0</v>
      </c>
      <c r="EK799" s="1341"/>
      <c r="EL799" s="1341"/>
      <c r="EM799" s="1341"/>
      <c r="EN799" s="1342"/>
      <c r="EO799" s="1340">
        <f t="shared" si="53"/>
        <v>0</v>
      </c>
      <c r="EP799" s="1341"/>
      <c r="EQ799" s="1341"/>
      <c r="ER799" s="1341"/>
      <c r="ES799" s="1342"/>
      <c r="ET799" s="1340">
        <f t="shared" si="54"/>
        <v>0</v>
      </c>
      <c r="EU799" s="1341"/>
      <c r="EV799" s="1341"/>
      <c r="EW799" s="1341"/>
      <c r="EX799" s="1342"/>
    </row>
    <row r="800" spans="1:154" s="14" customFormat="1" ht="12.9" customHeight="1">
      <c r="A800"/>
      <c r="B800"/>
      <c r="C800"/>
      <c r="D800"/>
      <c r="E800"/>
      <c r="F800"/>
      <c r="G800"/>
      <c r="H800"/>
      <c r="I800"/>
      <c r="J800" s="1362"/>
      <c r="K800" s="1363"/>
      <c r="L800" s="1363"/>
      <c r="M800" s="1363"/>
      <c r="N800" s="1364"/>
      <c r="O800" s="1474"/>
      <c r="P800" s="1474"/>
      <c r="Q800" s="1474"/>
      <c r="R800" s="1474"/>
      <c r="S800" s="1474"/>
      <c r="T800" s="1374"/>
      <c r="U800" s="1375"/>
      <c r="V800" s="1375"/>
      <c r="W800" s="1376"/>
      <c r="X800" s="1377"/>
      <c r="Y800" s="1378"/>
      <c r="Z800" s="1378"/>
      <c r="AA800" s="1378"/>
      <c r="AB800" s="1379"/>
      <c r="AC800" s="1365">
        <f t="shared" si="42"/>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43"/>
        <v>0</v>
      </c>
      <c r="CQ800" s="1341"/>
      <c r="CR800" s="1341"/>
      <c r="CS800" s="1341"/>
      <c r="CT800" s="1342"/>
      <c r="CU800" s="1340">
        <f t="shared" si="44"/>
        <v>0</v>
      </c>
      <c r="CV800" s="1341"/>
      <c r="CW800" s="1341"/>
      <c r="CX800" s="1341"/>
      <c r="CY800" s="1342"/>
      <c r="CZ800" s="1340">
        <f t="shared" si="45"/>
        <v>0</v>
      </c>
      <c r="DA800" s="1341"/>
      <c r="DB800" s="1341"/>
      <c r="DC800" s="1341"/>
      <c r="DD800" s="1342"/>
      <c r="DE800" s="1340">
        <f t="shared" si="46"/>
        <v>0</v>
      </c>
      <c r="DF800" s="1341"/>
      <c r="DG800" s="1341"/>
      <c r="DH800" s="1341"/>
      <c r="DI800" s="1342"/>
      <c r="DJ800" s="1340">
        <f t="shared" si="47"/>
        <v>0</v>
      </c>
      <c r="DK800" s="1341"/>
      <c r="DL800" s="1341"/>
      <c r="DM800" s="1341"/>
      <c r="DN800" s="1342"/>
      <c r="DO800" s="1340">
        <f t="shared" si="48"/>
        <v>0</v>
      </c>
      <c r="DP800" s="1341"/>
      <c r="DQ800" s="1341"/>
      <c r="DR800" s="1341"/>
      <c r="DS800" s="1342"/>
      <c r="DT800" s="6"/>
      <c r="DU800" s="1340">
        <f t="shared" si="49"/>
        <v>0</v>
      </c>
      <c r="DV800" s="1341"/>
      <c r="DW800" s="1341"/>
      <c r="DX800" s="1341"/>
      <c r="DY800" s="1342"/>
      <c r="DZ800" s="1340">
        <f t="shared" si="50"/>
        <v>0</v>
      </c>
      <c r="EA800" s="1341"/>
      <c r="EB800" s="1341"/>
      <c r="EC800" s="1341"/>
      <c r="ED800" s="1342"/>
      <c r="EE800" s="1340">
        <f t="shared" si="51"/>
        <v>0</v>
      </c>
      <c r="EF800" s="1341"/>
      <c r="EG800" s="1341"/>
      <c r="EH800" s="1341"/>
      <c r="EI800" s="1342"/>
      <c r="EJ800" s="1340">
        <f t="shared" si="52"/>
        <v>0</v>
      </c>
      <c r="EK800" s="1341"/>
      <c r="EL800" s="1341"/>
      <c r="EM800" s="1341"/>
      <c r="EN800" s="1342"/>
      <c r="EO800" s="1340">
        <f t="shared" si="53"/>
        <v>0</v>
      </c>
      <c r="EP800" s="1341"/>
      <c r="EQ800" s="1341"/>
      <c r="ER800" s="1341"/>
      <c r="ES800" s="1342"/>
      <c r="ET800" s="1340">
        <f t="shared" si="54"/>
        <v>0</v>
      </c>
      <c r="EU800" s="1341"/>
      <c r="EV800" s="1341"/>
      <c r="EW800" s="1341"/>
      <c r="EX800" s="1342"/>
    </row>
    <row r="801" spans="1:154" s="14" customFormat="1" ht="12.9" customHeight="1">
      <c r="A801"/>
      <c r="B801"/>
      <c r="C801"/>
      <c r="D801"/>
      <c r="E801"/>
      <c r="F801"/>
      <c r="G801"/>
      <c r="H801"/>
      <c r="I801"/>
      <c r="J801" s="1362"/>
      <c r="K801" s="1363"/>
      <c r="L801" s="1363"/>
      <c r="M801" s="1363"/>
      <c r="N801" s="1364"/>
      <c r="O801" s="1474"/>
      <c r="P801" s="1474"/>
      <c r="Q801" s="1474"/>
      <c r="R801" s="1474"/>
      <c r="S801" s="1474"/>
      <c r="T801" s="1374"/>
      <c r="U801" s="1375"/>
      <c r="V801" s="1375"/>
      <c r="W801" s="1376"/>
      <c r="X801" s="1377"/>
      <c r="Y801" s="1378"/>
      <c r="Z801" s="1378"/>
      <c r="AA801" s="1378"/>
      <c r="AB801" s="1379"/>
      <c r="AC801" s="1365">
        <f t="shared" si="42"/>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43"/>
        <v>0</v>
      </c>
      <c r="CQ801" s="1341"/>
      <c r="CR801" s="1341"/>
      <c r="CS801" s="1341"/>
      <c r="CT801" s="1342"/>
      <c r="CU801" s="1340">
        <f t="shared" si="44"/>
        <v>0</v>
      </c>
      <c r="CV801" s="1341"/>
      <c r="CW801" s="1341"/>
      <c r="CX801" s="1341"/>
      <c r="CY801" s="1342"/>
      <c r="CZ801" s="1340">
        <f t="shared" si="45"/>
        <v>0</v>
      </c>
      <c r="DA801" s="1341"/>
      <c r="DB801" s="1341"/>
      <c r="DC801" s="1341"/>
      <c r="DD801" s="1342"/>
      <c r="DE801" s="1340">
        <f t="shared" si="46"/>
        <v>0</v>
      </c>
      <c r="DF801" s="1341"/>
      <c r="DG801" s="1341"/>
      <c r="DH801" s="1341"/>
      <c r="DI801" s="1342"/>
      <c r="DJ801" s="1340">
        <f t="shared" si="47"/>
        <v>0</v>
      </c>
      <c r="DK801" s="1341"/>
      <c r="DL801" s="1341"/>
      <c r="DM801" s="1341"/>
      <c r="DN801" s="1342"/>
      <c r="DO801" s="1340">
        <f t="shared" si="48"/>
        <v>0</v>
      </c>
      <c r="DP801" s="1341"/>
      <c r="DQ801" s="1341"/>
      <c r="DR801" s="1341"/>
      <c r="DS801" s="1342"/>
      <c r="DT801" s="6"/>
      <c r="DU801" s="1340">
        <f t="shared" si="49"/>
        <v>0</v>
      </c>
      <c r="DV801" s="1341"/>
      <c r="DW801" s="1341"/>
      <c r="DX801" s="1341"/>
      <c r="DY801" s="1342"/>
      <c r="DZ801" s="1340">
        <f t="shared" si="50"/>
        <v>0</v>
      </c>
      <c r="EA801" s="1341"/>
      <c r="EB801" s="1341"/>
      <c r="EC801" s="1341"/>
      <c r="ED801" s="1342"/>
      <c r="EE801" s="1340">
        <f t="shared" si="51"/>
        <v>0</v>
      </c>
      <c r="EF801" s="1341"/>
      <c r="EG801" s="1341"/>
      <c r="EH801" s="1341"/>
      <c r="EI801" s="1342"/>
      <c r="EJ801" s="1340">
        <f t="shared" si="52"/>
        <v>0</v>
      </c>
      <c r="EK801" s="1341"/>
      <c r="EL801" s="1341"/>
      <c r="EM801" s="1341"/>
      <c r="EN801" s="1342"/>
      <c r="EO801" s="1340">
        <f t="shared" si="53"/>
        <v>0</v>
      </c>
      <c r="EP801" s="1341"/>
      <c r="EQ801" s="1341"/>
      <c r="ER801" s="1341"/>
      <c r="ES801" s="1342"/>
      <c r="ET801" s="1340">
        <f t="shared" si="54"/>
        <v>0</v>
      </c>
      <c r="EU801" s="1341"/>
      <c r="EV801" s="1341"/>
      <c r="EW801" s="1341"/>
      <c r="EX801" s="1342"/>
    </row>
    <row r="802" spans="1:154" s="14" customFormat="1" ht="12.9" customHeight="1">
      <c r="A802"/>
      <c r="B802"/>
      <c r="C802"/>
      <c r="D802"/>
      <c r="E802"/>
      <c r="F802"/>
      <c r="G802"/>
      <c r="H802"/>
      <c r="I802"/>
      <c r="J802" s="1362"/>
      <c r="K802" s="1363"/>
      <c r="L802" s="1363"/>
      <c r="M802" s="1363"/>
      <c r="N802" s="1364"/>
      <c r="O802" s="1474"/>
      <c r="P802" s="1474"/>
      <c r="Q802" s="1474"/>
      <c r="R802" s="1474"/>
      <c r="S802" s="1474"/>
      <c r="T802" s="1374"/>
      <c r="U802" s="1375"/>
      <c r="V802" s="1375"/>
      <c r="W802" s="1376"/>
      <c r="X802" s="1377"/>
      <c r="Y802" s="1378"/>
      <c r="Z802" s="1378"/>
      <c r="AA802" s="1378"/>
      <c r="AB802" s="1379"/>
      <c r="AC802" s="1365">
        <f t="shared" si="42"/>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43"/>
        <v>0</v>
      </c>
      <c r="CQ802" s="1341"/>
      <c r="CR802" s="1341"/>
      <c r="CS802" s="1341"/>
      <c r="CT802" s="1342"/>
      <c r="CU802" s="1340">
        <f t="shared" si="44"/>
        <v>0</v>
      </c>
      <c r="CV802" s="1341"/>
      <c r="CW802" s="1341"/>
      <c r="CX802" s="1341"/>
      <c r="CY802" s="1342"/>
      <c r="CZ802" s="1340">
        <f t="shared" si="45"/>
        <v>0</v>
      </c>
      <c r="DA802" s="1341"/>
      <c r="DB802" s="1341"/>
      <c r="DC802" s="1341"/>
      <c r="DD802" s="1342"/>
      <c r="DE802" s="1340">
        <f t="shared" si="46"/>
        <v>0</v>
      </c>
      <c r="DF802" s="1341"/>
      <c r="DG802" s="1341"/>
      <c r="DH802" s="1341"/>
      <c r="DI802" s="1342"/>
      <c r="DJ802" s="1340">
        <f t="shared" si="47"/>
        <v>0</v>
      </c>
      <c r="DK802" s="1341"/>
      <c r="DL802" s="1341"/>
      <c r="DM802" s="1341"/>
      <c r="DN802" s="1342"/>
      <c r="DO802" s="1340">
        <f t="shared" si="48"/>
        <v>0</v>
      </c>
      <c r="DP802" s="1341"/>
      <c r="DQ802" s="1341"/>
      <c r="DR802" s="1341"/>
      <c r="DS802" s="1342"/>
      <c r="DT802" s="6"/>
      <c r="DU802" s="1340">
        <f t="shared" si="49"/>
        <v>0</v>
      </c>
      <c r="DV802" s="1341"/>
      <c r="DW802" s="1341"/>
      <c r="DX802" s="1341"/>
      <c r="DY802" s="1342"/>
      <c r="DZ802" s="1340">
        <f t="shared" si="50"/>
        <v>0</v>
      </c>
      <c r="EA802" s="1341"/>
      <c r="EB802" s="1341"/>
      <c r="EC802" s="1341"/>
      <c r="ED802" s="1342"/>
      <c r="EE802" s="1340">
        <f t="shared" si="51"/>
        <v>0</v>
      </c>
      <c r="EF802" s="1341"/>
      <c r="EG802" s="1341"/>
      <c r="EH802" s="1341"/>
      <c r="EI802" s="1342"/>
      <c r="EJ802" s="1340">
        <f t="shared" si="52"/>
        <v>0</v>
      </c>
      <c r="EK802" s="1341"/>
      <c r="EL802" s="1341"/>
      <c r="EM802" s="1341"/>
      <c r="EN802" s="1342"/>
      <c r="EO802" s="1340">
        <f t="shared" si="53"/>
        <v>0</v>
      </c>
      <c r="EP802" s="1341"/>
      <c r="EQ802" s="1341"/>
      <c r="ER802" s="1341"/>
      <c r="ES802" s="1342"/>
      <c r="ET802" s="1340">
        <f t="shared" si="54"/>
        <v>0</v>
      </c>
      <c r="EU802" s="1341"/>
      <c r="EV802" s="1341"/>
      <c r="EW802" s="1341"/>
      <c r="EX802" s="1342"/>
    </row>
    <row r="803" spans="1:154" s="14" customFormat="1" ht="12.9" customHeight="1">
      <c r="A803"/>
      <c r="B803"/>
      <c r="C803"/>
      <c r="D803"/>
      <c r="E803"/>
      <c r="F803"/>
      <c r="G803"/>
      <c r="H803"/>
      <c r="I803"/>
      <c r="J803" s="1362"/>
      <c r="K803" s="1363"/>
      <c r="L803" s="1363"/>
      <c r="M803" s="1363"/>
      <c r="N803" s="1364"/>
      <c r="O803" s="1474"/>
      <c r="P803" s="1474"/>
      <c r="Q803" s="1474"/>
      <c r="R803" s="1474"/>
      <c r="S803" s="1474"/>
      <c r="T803" s="1374"/>
      <c r="U803" s="1375"/>
      <c r="V803" s="1375"/>
      <c r="W803" s="1376"/>
      <c r="X803" s="1377"/>
      <c r="Y803" s="1378"/>
      <c r="Z803" s="1378"/>
      <c r="AA803" s="1378"/>
      <c r="AB803" s="1379"/>
      <c r="AC803" s="1365">
        <f t="shared" si="42"/>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43"/>
        <v>0</v>
      </c>
      <c r="CQ803" s="1341"/>
      <c r="CR803" s="1341"/>
      <c r="CS803" s="1341"/>
      <c r="CT803" s="1342"/>
      <c r="CU803" s="1340">
        <f t="shared" si="44"/>
        <v>0</v>
      </c>
      <c r="CV803" s="1341"/>
      <c r="CW803" s="1341"/>
      <c r="CX803" s="1341"/>
      <c r="CY803" s="1342"/>
      <c r="CZ803" s="1340">
        <f t="shared" si="45"/>
        <v>0</v>
      </c>
      <c r="DA803" s="1341"/>
      <c r="DB803" s="1341"/>
      <c r="DC803" s="1341"/>
      <c r="DD803" s="1342"/>
      <c r="DE803" s="1340">
        <f t="shared" si="46"/>
        <v>0</v>
      </c>
      <c r="DF803" s="1341"/>
      <c r="DG803" s="1341"/>
      <c r="DH803" s="1341"/>
      <c r="DI803" s="1342"/>
      <c r="DJ803" s="1340">
        <f t="shared" si="47"/>
        <v>0</v>
      </c>
      <c r="DK803" s="1341"/>
      <c r="DL803" s="1341"/>
      <c r="DM803" s="1341"/>
      <c r="DN803" s="1342"/>
      <c r="DO803" s="1340">
        <f t="shared" si="48"/>
        <v>0</v>
      </c>
      <c r="DP803" s="1341"/>
      <c r="DQ803" s="1341"/>
      <c r="DR803" s="1341"/>
      <c r="DS803" s="1342"/>
      <c r="DT803" s="6"/>
      <c r="DU803" s="1340">
        <f t="shared" si="49"/>
        <v>0</v>
      </c>
      <c r="DV803" s="1341"/>
      <c r="DW803" s="1341"/>
      <c r="DX803" s="1341"/>
      <c r="DY803" s="1342"/>
      <c r="DZ803" s="1340">
        <f t="shared" si="50"/>
        <v>0</v>
      </c>
      <c r="EA803" s="1341"/>
      <c r="EB803" s="1341"/>
      <c r="EC803" s="1341"/>
      <c r="ED803" s="1342"/>
      <c r="EE803" s="1340">
        <f t="shared" si="51"/>
        <v>0</v>
      </c>
      <c r="EF803" s="1341"/>
      <c r="EG803" s="1341"/>
      <c r="EH803" s="1341"/>
      <c r="EI803" s="1342"/>
      <c r="EJ803" s="1340">
        <f t="shared" si="52"/>
        <v>0</v>
      </c>
      <c r="EK803" s="1341"/>
      <c r="EL803" s="1341"/>
      <c r="EM803" s="1341"/>
      <c r="EN803" s="1342"/>
      <c r="EO803" s="1340">
        <f t="shared" si="53"/>
        <v>0</v>
      </c>
      <c r="EP803" s="1341"/>
      <c r="EQ803" s="1341"/>
      <c r="ER803" s="1341"/>
      <c r="ES803" s="1342"/>
      <c r="ET803" s="1340">
        <f t="shared" si="54"/>
        <v>0</v>
      </c>
      <c r="EU803" s="1341"/>
      <c r="EV803" s="1341"/>
      <c r="EW803" s="1341"/>
      <c r="EX803" s="1342"/>
    </row>
    <row r="804" spans="1:154" s="4" customFormat="1" ht="12.9" customHeight="1">
      <c r="A804"/>
      <c r="B804"/>
      <c r="C804"/>
      <c r="D804"/>
      <c r="E804"/>
      <c r="F804"/>
      <c r="G804"/>
      <c r="H804"/>
      <c r="I804"/>
      <c r="J804" s="1362"/>
      <c r="K804" s="1363"/>
      <c r="L804" s="1363"/>
      <c r="M804" s="1363"/>
      <c r="N804" s="1364"/>
      <c r="O804" s="1474"/>
      <c r="P804" s="1474"/>
      <c r="Q804" s="1474"/>
      <c r="R804" s="1474"/>
      <c r="S804" s="1474"/>
      <c r="T804" s="1374"/>
      <c r="U804" s="1375"/>
      <c r="V804" s="1375"/>
      <c r="W804" s="1376"/>
      <c r="X804" s="1377"/>
      <c r="Y804" s="1378"/>
      <c r="Z804" s="1378"/>
      <c r="AA804" s="1378"/>
      <c r="AB804" s="1379"/>
      <c r="AC804" s="1365">
        <f t="shared" si="42"/>
        <v>0</v>
      </c>
      <c r="AD804" s="1366"/>
      <c r="AE804" s="1366"/>
      <c r="AF804" s="1366"/>
      <c r="AG804" s="1367"/>
      <c r="AH804"/>
      <c r="AI804"/>
      <c r="AJ804"/>
      <c r="AK804"/>
      <c r="AL804"/>
      <c r="AM804"/>
      <c r="AN804"/>
      <c r="AO804"/>
      <c r="AP804"/>
      <c r="AQ804"/>
      <c r="AR804"/>
      <c r="AS804"/>
      <c r="AT804"/>
      <c r="AU804"/>
      <c r="AV804"/>
      <c r="AW804"/>
      <c r="AX804"/>
      <c r="AY804"/>
      <c r="AZ804" s="3"/>
      <c r="CP804" s="1340">
        <f t="shared" si="43"/>
        <v>0</v>
      </c>
      <c r="CQ804" s="1341"/>
      <c r="CR804" s="1341"/>
      <c r="CS804" s="1341"/>
      <c r="CT804" s="1342"/>
      <c r="CU804" s="1340">
        <f t="shared" si="44"/>
        <v>0</v>
      </c>
      <c r="CV804" s="1341"/>
      <c r="CW804" s="1341"/>
      <c r="CX804" s="1341"/>
      <c r="CY804" s="1342"/>
      <c r="CZ804" s="1340">
        <f t="shared" si="45"/>
        <v>0</v>
      </c>
      <c r="DA804" s="1341"/>
      <c r="DB804" s="1341"/>
      <c r="DC804" s="1341"/>
      <c r="DD804" s="1342"/>
      <c r="DE804" s="1340">
        <f t="shared" si="46"/>
        <v>0</v>
      </c>
      <c r="DF804" s="1341"/>
      <c r="DG804" s="1341"/>
      <c r="DH804" s="1341"/>
      <c r="DI804" s="1342"/>
      <c r="DJ804" s="1340">
        <f t="shared" si="47"/>
        <v>0</v>
      </c>
      <c r="DK804" s="1341"/>
      <c r="DL804" s="1341"/>
      <c r="DM804" s="1341"/>
      <c r="DN804" s="1342"/>
      <c r="DO804" s="1340">
        <f t="shared" si="48"/>
        <v>0</v>
      </c>
      <c r="DP804" s="1341"/>
      <c r="DQ804" s="1341"/>
      <c r="DR804" s="1341"/>
      <c r="DS804" s="1342"/>
      <c r="DT804" s="6"/>
      <c r="DU804" s="1340">
        <f t="shared" si="49"/>
        <v>0</v>
      </c>
      <c r="DV804" s="1341"/>
      <c r="DW804" s="1341"/>
      <c r="DX804" s="1341"/>
      <c r="DY804" s="1342"/>
      <c r="DZ804" s="1340">
        <f t="shared" si="50"/>
        <v>0</v>
      </c>
      <c r="EA804" s="1341"/>
      <c r="EB804" s="1341"/>
      <c r="EC804" s="1341"/>
      <c r="ED804" s="1342"/>
      <c r="EE804" s="1340">
        <f t="shared" si="51"/>
        <v>0</v>
      </c>
      <c r="EF804" s="1341"/>
      <c r="EG804" s="1341"/>
      <c r="EH804" s="1341"/>
      <c r="EI804" s="1342"/>
      <c r="EJ804" s="1340">
        <f t="shared" si="52"/>
        <v>0</v>
      </c>
      <c r="EK804" s="1341"/>
      <c r="EL804" s="1341"/>
      <c r="EM804" s="1341"/>
      <c r="EN804" s="1342"/>
      <c r="EO804" s="1340">
        <f t="shared" si="53"/>
        <v>0</v>
      </c>
      <c r="EP804" s="1341"/>
      <c r="EQ804" s="1341"/>
      <c r="ER804" s="1341"/>
      <c r="ES804" s="1342"/>
      <c r="ET804" s="1340">
        <f t="shared" si="54"/>
        <v>0</v>
      </c>
      <c r="EU804" s="1341"/>
      <c r="EV804" s="1341"/>
      <c r="EW804" s="1341"/>
      <c r="EX804" s="1342"/>
    </row>
    <row r="805" spans="1:154" s="4" customFormat="1" ht="12.9" customHeight="1">
      <c r="A805"/>
      <c r="B805"/>
      <c r="C805"/>
      <c r="D805"/>
      <c r="E805"/>
      <c r="F805"/>
      <c r="G805"/>
      <c r="H805"/>
      <c r="I805"/>
      <c r="J805" s="1424" t="s">
        <v>125</v>
      </c>
      <c r="K805" s="1425"/>
      <c r="L805" s="1425"/>
      <c r="M805" s="1425"/>
      <c r="N805" s="1427"/>
      <c r="O805" s="1617">
        <f>SUM(O795:S804)</f>
        <v>0</v>
      </c>
      <c r="P805" s="1617"/>
      <c r="Q805" s="1617"/>
      <c r="R805" s="1617"/>
      <c r="S805" s="1617"/>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46">
        <f>SUM(CU795:CY804)</f>
        <v>0</v>
      </c>
      <c r="CV805" s="1347"/>
      <c r="CW805" s="1347"/>
      <c r="CX805" s="1347"/>
      <c r="CY805" s="1348"/>
      <c r="CZ805" s="1346">
        <f>SUM(CZ795:DD804)</f>
        <v>0</v>
      </c>
      <c r="DA805" s="1347"/>
      <c r="DB805" s="1347"/>
      <c r="DC805" s="1347"/>
      <c r="DD805" s="1348"/>
      <c r="DE805" s="1346">
        <f>SUM(DE795:DI804)</f>
        <v>0</v>
      </c>
      <c r="DF805" s="1347"/>
      <c r="DG805" s="1347"/>
      <c r="DH805" s="1347"/>
      <c r="DI805" s="1348"/>
      <c r="DJ805" s="1346">
        <f>SUM(DJ795:DN804)</f>
        <v>0</v>
      </c>
      <c r="DK805" s="1347"/>
      <c r="DL805" s="1347"/>
      <c r="DM805" s="1347"/>
      <c r="DN805" s="1348"/>
      <c r="DO805" s="1346">
        <f>SUM(DO795:DS804)</f>
        <v>0</v>
      </c>
      <c r="DP805" s="1347"/>
      <c r="DQ805" s="1347"/>
      <c r="DR805" s="1347"/>
      <c r="DS805" s="1348"/>
      <c r="DT805" s="1007"/>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2.9" customHeight="1">
      <c r="A806"/>
      <c r="B806"/>
      <c r="C806" s="1621" t="str">
        <f>IF(O805&lt;&gt;AG447,"! Total market rate units in the Unit Mix Table above does not match the number of  market rate units on row #"&amp;TEXT(ROW(D447),"#"),"")</f>
        <v/>
      </c>
      <c r="D806" s="1621"/>
      <c r="E806" s="1621"/>
      <c r="F806" s="1621"/>
      <c r="G806" s="1621"/>
      <c r="H806" s="1621"/>
      <c r="I806" s="1621"/>
      <c r="J806" s="1621"/>
      <c r="K806" s="1621"/>
      <c r="L806" s="1621"/>
      <c r="M806" s="1621"/>
      <c r="N806" s="1621"/>
      <c r="O806" s="1621"/>
      <c r="P806" s="1621"/>
      <c r="Q806" s="1621"/>
      <c r="R806" s="1621"/>
      <c r="S806" s="1621"/>
      <c r="T806" s="1621"/>
      <c r="U806" s="1621"/>
      <c r="V806" s="1621"/>
      <c r="W806" s="1621"/>
      <c r="X806" s="1621"/>
      <c r="Y806" s="1621"/>
      <c r="Z806" s="1621"/>
      <c r="AA806" s="1621"/>
      <c r="AB806" s="1621"/>
      <c r="AC806" s="1621"/>
      <c r="AD806" s="1621"/>
      <c r="AE806" s="1621"/>
      <c r="AF806" s="1621"/>
      <c r="AG806" s="1621"/>
      <c r="AH806" s="1621"/>
      <c r="AI806" s="1621"/>
      <c r="AJ806" s="1621"/>
      <c r="AK806" s="1621"/>
      <c r="AL806" s="1621"/>
      <c r="AM806" s="1621"/>
      <c r="AN806" s="162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621"/>
      <c r="D807" s="1621"/>
      <c r="E807" s="1621"/>
      <c r="F807" s="1621"/>
      <c r="G807" s="1621"/>
      <c r="H807" s="1621"/>
      <c r="I807" s="1621"/>
      <c r="J807" s="1621"/>
      <c r="K807" s="1621"/>
      <c r="L807" s="1621"/>
      <c r="M807" s="1621"/>
      <c r="N807" s="1621"/>
      <c r="O807" s="1621"/>
      <c r="P807" s="1621"/>
      <c r="Q807" s="1621"/>
      <c r="R807" s="1621"/>
      <c r="S807" s="1621"/>
      <c r="T807" s="1621"/>
      <c r="U807" s="1621"/>
      <c r="V807" s="1621"/>
      <c r="W807" s="1621"/>
      <c r="X807" s="1621"/>
      <c r="Y807" s="1621"/>
      <c r="Z807" s="1621"/>
      <c r="AA807" s="1621"/>
      <c r="AB807" s="1621"/>
      <c r="AC807" s="1621"/>
      <c r="AD807" s="1621"/>
      <c r="AE807" s="1621"/>
      <c r="AF807" s="1621"/>
      <c r="AG807" s="1621"/>
      <c r="AH807" s="1621"/>
      <c r="AI807" s="1621"/>
      <c r="AJ807" s="1621"/>
      <c r="AK807" s="1621"/>
      <c r="AL807" s="1621"/>
      <c r="AM807" s="1621"/>
      <c r="AN807" s="162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5">
        <f>SUM(DU805:EX805)</f>
        <v>0</v>
      </c>
      <c r="EU807" s="1356"/>
      <c r="EV807" s="1356"/>
      <c r="EW807" s="1356"/>
      <c r="EX807" s="1357"/>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622">
        <f>O761+AC785+AC805</f>
        <v>528491</v>
      </c>
      <c r="Z808" s="1622"/>
      <c r="AA808" s="1622"/>
      <c r="AB808" s="1622"/>
      <c r="AC808" s="162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22">
        <f>(O761+AC785+AC805)*12</f>
        <v>6341892</v>
      </c>
      <c r="Z809" s="1622"/>
      <c r="AA809" s="1622"/>
      <c r="AB809" s="1622"/>
      <c r="AC809" s="162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46">
        <f>CP761+CP785+CP805</f>
        <v>65</v>
      </c>
      <c r="CQ810" s="1347"/>
      <c r="CR810" s="1347"/>
      <c r="CS810" s="1347"/>
      <c r="CT810" s="1348"/>
      <c r="CU810" s="1346">
        <f>CU761+CU785+CU805</f>
        <v>48</v>
      </c>
      <c r="CV810" s="1347"/>
      <c r="CW810" s="1347"/>
      <c r="CX810" s="1347"/>
      <c r="CY810" s="1348"/>
      <c r="CZ810" s="1346">
        <f>CZ761+CZ785+CZ805</f>
        <v>61</v>
      </c>
      <c r="DA810" s="1347"/>
      <c r="DB810" s="1347"/>
      <c r="DC810" s="1347"/>
      <c r="DD810" s="1348"/>
      <c r="DE810" s="1346">
        <f>DE761+DE785+DE805</f>
        <v>60</v>
      </c>
      <c r="DF810" s="1347"/>
      <c r="DG810" s="1347"/>
      <c r="DH810" s="1347"/>
      <c r="DI810" s="1348"/>
      <c r="DJ810" s="1346">
        <f>DJ761+DJ785+DJ805</f>
        <v>0</v>
      </c>
      <c r="DK810" s="1347"/>
      <c r="DL810" s="1347"/>
      <c r="DM810" s="1347"/>
      <c r="DN810" s="1348"/>
      <c r="DO810" s="1358">
        <f>DO805+DO785+DO761</f>
        <v>0</v>
      </c>
      <c r="DP810" s="1359"/>
      <c r="DQ810" s="1359"/>
      <c r="DR810" s="1359"/>
      <c r="DS810" s="1360"/>
      <c r="DT810" s="3"/>
      <c r="DU810" s="857">
        <f>DU763+DU808</f>
        <v>411</v>
      </c>
      <c r="DV810" s="57" t="s">
        <v>1837</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98">
        <v>0</v>
      </c>
      <c r="AA814" s="1628"/>
      <c r="AB814" s="1628"/>
      <c r="AC814" s="1628"/>
      <c r="AD814" s="1628"/>
      <c r="AE814" s="162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27"/>
      <c r="AA815" s="1628"/>
      <c r="AB815" s="1628"/>
      <c r="AC815" s="1628"/>
      <c r="AD815" s="1628"/>
      <c r="AE815" s="162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32"/>
      <c r="AA816" s="1541"/>
      <c r="AB816" s="1541"/>
      <c r="AC816" s="1541"/>
      <c r="AD816" s="1541"/>
      <c r="AE816" s="163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5">
        <f>'Subsidy Contract Calculation'!J40</f>
        <v>0</v>
      </c>
      <c r="AA817" s="1486"/>
      <c r="AB817" s="1486"/>
      <c r="AC817" s="1486"/>
      <c r="AD817" s="1486"/>
      <c r="AE817" s="148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8">
        <v>30888</v>
      </c>
      <c r="AA821" s="1489"/>
      <c r="AB821" s="1489"/>
      <c r="AC821" s="1489"/>
      <c r="AD821" s="1489"/>
      <c r="AE821" s="149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8"/>
      <c r="AA822" s="1489"/>
      <c r="AB822" s="1489"/>
      <c r="AC822" s="1489"/>
      <c r="AD822" s="1489"/>
      <c r="AE822" s="149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8"/>
      <c r="AA823" s="1489"/>
      <c r="AB823" s="1489"/>
      <c r="AC823" s="1489"/>
      <c r="AD823" s="1489"/>
      <c r="AE823" s="149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618" t="s">
        <v>333</v>
      </c>
      <c r="Q824" s="1619"/>
      <c r="R824" s="1619"/>
      <c r="S824" s="1619"/>
      <c r="T824" s="1619"/>
      <c r="U824" s="1619"/>
      <c r="V824" s="1619"/>
      <c r="W824" s="1619"/>
      <c r="X824" s="1619"/>
      <c r="Y824" s="1620"/>
      <c r="Z824" s="1488"/>
      <c r="AA824" s="1489"/>
      <c r="AB824" s="1489"/>
      <c r="AC824" s="1489"/>
      <c r="AD824" s="1489"/>
      <c r="AE824" s="149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5">
        <f>SUM(Z821:AE824)</f>
        <v>30888</v>
      </c>
      <c r="AA825" s="1486"/>
      <c r="AB825" s="1486"/>
      <c r="AC825" s="1486"/>
      <c r="AD825" s="1486"/>
      <c r="AE825" s="148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5">
        <f>Z825+Y809+Z817</f>
        <v>6372780</v>
      </c>
      <c r="AA826" s="1486"/>
      <c r="AB826" s="1486"/>
      <c r="AC826" s="1486"/>
      <c r="AD826" s="1486"/>
      <c r="AE826" s="148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724" t="s">
        <v>126</v>
      </c>
      <c r="N831" s="1724"/>
      <c r="O831" s="1724"/>
      <c r="P831" s="1725"/>
      <c r="Q831" s="1631" t="s">
        <v>289</v>
      </c>
      <c r="R831" s="1631"/>
      <c r="S831" s="1631"/>
      <c r="T831" s="1631"/>
      <c r="U831" s="1631" t="s">
        <v>290</v>
      </c>
      <c r="V831" s="1631"/>
      <c r="W831" s="1631"/>
      <c r="X831" s="1631"/>
      <c r="Y831" s="1631" t="s">
        <v>291</v>
      </c>
      <c r="Z831" s="1631"/>
      <c r="AA831" s="1631"/>
      <c r="AB831" s="1631"/>
      <c r="AC831" s="1631" t="s">
        <v>360</v>
      </c>
      <c r="AD831" s="1631"/>
      <c r="AE831" s="1631"/>
      <c r="AF831" s="1631"/>
      <c r="AG831" s="1623" t="s">
        <v>334</v>
      </c>
      <c r="AH831" s="1623"/>
      <c r="AI831" s="1623"/>
      <c r="AJ831" s="1623"/>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726"/>
      <c r="N832" s="1726"/>
      <c r="O832" s="1726"/>
      <c r="P832" s="1727"/>
      <c r="Q832" s="1631"/>
      <c r="R832" s="1631"/>
      <c r="S832" s="1631"/>
      <c r="T832" s="1631"/>
      <c r="U832" s="1631"/>
      <c r="V832" s="1631"/>
      <c r="W832" s="1631"/>
      <c r="X832" s="1631"/>
      <c r="Y832" s="1631"/>
      <c r="Z832" s="1631"/>
      <c r="AA832" s="1631"/>
      <c r="AB832" s="1631"/>
      <c r="AC832" s="1631"/>
      <c r="AD832" s="1631"/>
      <c r="AE832" s="1631"/>
      <c r="AF832" s="1631"/>
      <c r="AG832" s="1623"/>
      <c r="AH832" s="1623"/>
      <c r="AI832" s="1623"/>
      <c r="AJ832" s="1623"/>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641" t="s">
        <v>40</v>
      </c>
      <c r="D833" s="1496"/>
      <c r="E833" s="1496"/>
      <c r="F833" s="1496"/>
      <c r="G833" s="1496"/>
      <c r="H833" s="1496"/>
      <c r="I833" s="48"/>
      <c r="J833" s="48"/>
      <c r="K833" s="48"/>
      <c r="L833" s="49"/>
      <c r="M833" s="1610">
        <v>14</v>
      </c>
      <c r="N833" s="1610"/>
      <c r="O833" s="1610"/>
      <c r="P833" s="1610"/>
      <c r="Q833" s="1610">
        <v>16</v>
      </c>
      <c r="R833" s="1610"/>
      <c r="S833" s="1610"/>
      <c r="T833" s="1610"/>
      <c r="U833" s="1610">
        <v>19</v>
      </c>
      <c r="V833" s="1610"/>
      <c r="W833" s="1610"/>
      <c r="X833" s="1610"/>
      <c r="Y833" s="1610">
        <v>22</v>
      </c>
      <c r="Z833" s="1610"/>
      <c r="AA833" s="1610"/>
      <c r="AB833" s="1610"/>
      <c r="AC833" s="1520">
        <v>24</v>
      </c>
      <c r="AD833" s="1521"/>
      <c r="AE833" s="1521"/>
      <c r="AF833" s="1522"/>
      <c r="AG833" s="1520"/>
      <c r="AH833" s="1521"/>
      <c r="AI833" s="1521"/>
      <c r="AJ833" s="1522"/>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505" t="s">
        <v>41</v>
      </c>
      <c r="D834" s="1451"/>
      <c r="E834" s="1451"/>
      <c r="F834" s="1451"/>
      <c r="G834" s="1451"/>
      <c r="H834" s="1451"/>
      <c r="I834" s="5"/>
      <c r="J834" s="5"/>
      <c r="K834" s="5"/>
      <c r="L834" s="46"/>
      <c r="M834" s="1610"/>
      <c r="N834" s="1610"/>
      <c r="O834" s="1610"/>
      <c r="P834" s="1610"/>
      <c r="Q834" s="1610"/>
      <c r="R834" s="1610"/>
      <c r="S834" s="1610"/>
      <c r="T834" s="1610"/>
      <c r="U834" s="1610"/>
      <c r="V834" s="1610"/>
      <c r="W834" s="1610"/>
      <c r="X834" s="1610"/>
      <c r="Y834" s="1610"/>
      <c r="Z834" s="1610"/>
      <c r="AA834" s="1610"/>
      <c r="AB834" s="1610"/>
      <c r="AC834" s="1520"/>
      <c r="AD834" s="1521"/>
      <c r="AE834" s="1521"/>
      <c r="AF834" s="1522"/>
      <c r="AG834" s="1520"/>
      <c r="AH834" s="1521"/>
      <c r="AI834" s="1521"/>
      <c r="AJ834" s="1522"/>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505" t="s">
        <v>42</v>
      </c>
      <c r="D835" s="1451"/>
      <c r="E835" s="1451"/>
      <c r="F835" s="1451"/>
      <c r="G835" s="1451"/>
      <c r="H835" s="1451"/>
      <c r="I835" s="60"/>
      <c r="J835" s="60"/>
      <c r="K835" s="60"/>
      <c r="L835" s="61"/>
      <c r="M835" s="1610">
        <v>8</v>
      </c>
      <c r="N835" s="1610"/>
      <c r="O835" s="1610"/>
      <c r="P835" s="1610"/>
      <c r="Q835" s="1610">
        <v>9</v>
      </c>
      <c r="R835" s="1610"/>
      <c r="S835" s="1610"/>
      <c r="T835" s="1610"/>
      <c r="U835" s="1610">
        <v>14</v>
      </c>
      <c r="V835" s="1610"/>
      <c r="W835" s="1610"/>
      <c r="X835" s="1610"/>
      <c r="Y835" s="1610">
        <v>18</v>
      </c>
      <c r="Z835" s="1610"/>
      <c r="AA835" s="1610"/>
      <c r="AB835" s="1610"/>
      <c r="AC835" s="1520">
        <v>22</v>
      </c>
      <c r="AD835" s="1521"/>
      <c r="AE835" s="1521"/>
      <c r="AF835" s="1522"/>
      <c r="AG835" s="1520"/>
      <c r="AH835" s="1521"/>
      <c r="AI835" s="1521"/>
      <c r="AJ835" s="1522"/>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505" t="s">
        <v>761</v>
      </c>
      <c r="D836" s="1451"/>
      <c r="E836" s="1451"/>
      <c r="F836" s="1451"/>
      <c r="G836" s="1451"/>
      <c r="H836" s="1451"/>
      <c r="I836" s="60"/>
      <c r="J836" s="60"/>
      <c r="K836" s="60"/>
      <c r="L836" s="61"/>
      <c r="M836" s="1610"/>
      <c r="N836" s="1610"/>
      <c r="O836" s="1610"/>
      <c r="P836" s="1610"/>
      <c r="Q836" s="1610"/>
      <c r="R836" s="1610"/>
      <c r="S836" s="1610"/>
      <c r="T836" s="1610"/>
      <c r="U836" s="1610"/>
      <c r="V836" s="1610"/>
      <c r="W836" s="1610"/>
      <c r="X836" s="1610"/>
      <c r="Y836" s="1610"/>
      <c r="Z836" s="1610"/>
      <c r="AA836" s="1610"/>
      <c r="AB836" s="1610"/>
      <c r="AC836" s="1520"/>
      <c r="AD836" s="1521"/>
      <c r="AE836" s="1521"/>
      <c r="AF836" s="1522"/>
      <c r="AG836" s="1520"/>
      <c r="AH836" s="1521"/>
      <c r="AI836" s="1521"/>
      <c r="AJ836" s="1522"/>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505" t="s">
        <v>458</v>
      </c>
      <c r="D837" s="1451"/>
      <c r="E837" s="1451"/>
      <c r="F837" s="1451"/>
      <c r="G837" s="1451"/>
      <c r="H837" s="1451"/>
      <c r="I837" s="60"/>
      <c r="J837" s="60"/>
      <c r="K837" s="60"/>
      <c r="L837" s="61"/>
      <c r="M837" s="1610"/>
      <c r="N837" s="1610"/>
      <c r="O837" s="1610"/>
      <c r="P837" s="1610"/>
      <c r="Q837" s="1610"/>
      <c r="R837" s="1610"/>
      <c r="S837" s="1610"/>
      <c r="T837" s="1610"/>
      <c r="U837" s="1610"/>
      <c r="V837" s="1610"/>
      <c r="W837" s="1610"/>
      <c r="X837" s="1610"/>
      <c r="Y837" s="1610"/>
      <c r="Z837" s="1610"/>
      <c r="AA837" s="1610"/>
      <c r="AB837" s="1610"/>
      <c r="AC837" s="1520"/>
      <c r="AD837" s="1521"/>
      <c r="AE837" s="1521"/>
      <c r="AF837" s="1522"/>
      <c r="AG837" s="1520"/>
      <c r="AH837" s="1521"/>
      <c r="AI837" s="1521"/>
      <c r="AJ837" s="1522"/>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87" t="s">
        <v>782</v>
      </c>
      <c r="D838" s="1451"/>
      <c r="E838" s="1451"/>
      <c r="F838" s="1451"/>
      <c r="G838" s="1451"/>
      <c r="H838" s="1451"/>
      <c r="I838" s="60"/>
      <c r="J838" s="60"/>
      <c r="K838" s="60"/>
      <c r="L838" s="61"/>
      <c r="M838" s="1610"/>
      <c r="N838" s="1610"/>
      <c r="O838" s="1610"/>
      <c r="P838" s="1610"/>
      <c r="Q838" s="1610"/>
      <c r="R838" s="1610"/>
      <c r="S838" s="1610"/>
      <c r="T838" s="1610"/>
      <c r="U838" s="1610"/>
      <c r="V838" s="1610"/>
      <c r="W838" s="1610"/>
      <c r="X838" s="1610"/>
      <c r="Y838" s="1610"/>
      <c r="Z838" s="1610"/>
      <c r="AA838" s="1610"/>
      <c r="AB838" s="1610"/>
      <c r="AC838" s="1520"/>
      <c r="AD838" s="1521"/>
      <c r="AE838" s="1521"/>
      <c r="AF838" s="1522"/>
      <c r="AG838" s="1520"/>
      <c r="AH838" s="1521"/>
      <c r="AI838" s="1521"/>
      <c r="AJ838" s="1522"/>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1618" t="s">
        <v>2654</v>
      </c>
      <c r="G839" s="1619"/>
      <c r="H839" s="1619"/>
      <c r="I839" s="1619"/>
      <c r="J839" s="1619"/>
      <c r="K839" s="1619"/>
      <c r="L839" s="1619"/>
      <c r="M839" s="1610">
        <v>28</v>
      </c>
      <c r="N839" s="1610"/>
      <c r="O839" s="1610"/>
      <c r="P839" s="1610"/>
      <c r="Q839" s="1610">
        <v>34</v>
      </c>
      <c r="R839" s="1610"/>
      <c r="S839" s="1610"/>
      <c r="T839" s="1610"/>
      <c r="U839" s="1610">
        <v>47</v>
      </c>
      <c r="V839" s="1610"/>
      <c r="W839" s="1610"/>
      <c r="X839" s="1610"/>
      <c r="Y839" s="1610">
        <v>61</v>
      </c>
      <c r="Z839" s="1610"/>
      <c r="AA839" s="1610"/>
      <c r="AB839" s="1610"/>
      <c r="AC839" s="1520">
        <v>77</v>
      </c>
      <c r="AD839" s="1521"/>
      <c r="AE839" s="1521"/>
      <c r="AF839" s="1522"/>
      <c r="AG839" s="1520"/>
      <c r="AH839" s="1521"/>
      <c r="AI839" s="1521"/>
      <c r="AJ839" s="1522"/>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424" t="s">
        <v>124</v>
      </c>
      <c r="D840" s="1425"/>
      <c r="E840" s="1425"/>
      <c r="F840" s="1425"/>
      <c r="G840" s="1425"/>
      <c r="H840" s="1425"/>
      <c r="I840" s="1425"/>
      <c r="J840" s="1425"/>
      <c r="K840" s="1425"/>
      <c r="L840" s="1427"/>
      <c r="M840" s="1686">
        <f>SUM(M833:P839)</f>
        <v>50</v>
      </c>
      <c r="N840" s="1686"/>
      <c r="O840" s="1686"/>
      <c r="P840" s="1686"/>
      <c r="Q840" s="1686">
        <f>SUM(Q833:T839)</f>
        <v>59</v>
      </c>
      <c r="R840" s="1686"/>
      <c r="S840" s="1686"/>
      <c r="T840" s="1686"/>
      <c r="U840" s="1686">
        <f>SUM(U833:X839)</f>
        <v>80</v>
      </c>
      <c r="V840" s="1686"/>
      <c r="W840" s="1686"/>
      <c r="X840" s="1686"/>
      <c r="Y840" s="1686">
        <f>SUM(Y833:AB839)</f>
        <v>101</v>
      </c>
      <c r="Z840" s="1686"/>
      <c r="AA840" s="1686"/>
      <c r="AB840" s="1686"/>
      <c r="AC840" s="1686">
        <f>SUM(AC833:AF839)</f>
        <v>123</v>
      </c>
      <c r="AD840" s="1686"/>
      <c r="AE840" s="1686"/>
      <c r="AF840" s="1686"/>
      <c r="AG840" s="1686">
        <f>SUM(AG833:AJ839)</f>
        <v>0</v>
      </c>
      <c r="AH840" s="1686"/>
      <c r="AI840" s="1686"/>
      <c r="AJ840" s="1686"/>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635" t="s">
        <v>2655</v>
      </c>
      <c r="D845" s="1636"/>
      <c r="E845" s="1636"/>
      <c r="F845" s="1636"/>
      <c r="G845" s="1636"/>
      <c r="H845" s="1636"/>
      <c r="I845" s="1636"/>
      <c r="J845" s="1636"/>
      <c r="K845" s="1636"/>
      <c r="L845" s="1636"/>
      <c r="M845" s="1636"/>
      <c r="N845" s="1636"/>
      <c r="O845" s="1636"/>
      <c r="P845" s="1636"/>
      <c r="Q845" s="1636"/>
      <c r="R845" s="1636"/>
      <c r="S845" s="1636"/>
      <c r="T845" s="1636"/>
      <c r="U845" s="1636"/>
      <c r="V845" s="1636"/>
      <c r="W845" s="1636"/>
      <c r="X845" s="1636"/>
      <c r="Y845" s="1636"/>
      <c r="Z845" s="1636"/>
      <c r="AA845" s="1636"/>
      <c r="AB845" s="1636"/>
      <c r="AC845" s="1636"/>
      <c r="AD845" s="1636"/>
      <c r="AE845" s="1636"/>
      <c r="AF845" s="1636"/>
      <c r="AG845" s="1636"/>
      <c r="AH845" s="1636"/>
      <c r="AI845" s="1636"/>
      <c r="AJ845" s="1637"/>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58"/>
      <c r="BJ849" s="1658"/>
      <c r="BK849" s="1658"/>
      <c r="BL849" s="1658"/>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1640">
        <v>0</v>
      </c>
      <c r="X850" s="1640"/>
      <c r="Y850" s="1640"/>
      <c r="Z850" s="1640"/>
      <c r="AA850" s="1640"/>
      <c r="AB850" s="1640"/>
      <c r="AC850" s="1640"/>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1640">
        <v>5000</v>
      </c>
      <c r="X851" s="1640"/>
      <c r="Y851" s="1640"/>
      <c r="Z851" s="1640"/>
      <c r="AA851" s="1640"/>
      <c r="AB851" s="1640"/>
      <c r="AC851" s="1640"/>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1640">
        <v>51612</v>
      </c>
      <c r="X852" s="1640"/>
      <c r="Y852" s="1640"/>
      <c r="Z852" s="1640"/>
      <c r="AA852" s="1640"/>
      <c r="AB852" s="1640"/>
      <c r="AC852" s="1640"/>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1640">
        <v>53400</v>
      </c>
      <c r="X853" s="1640"/>
      <c r="Y853" s="1640"/>
      <c r="Z853" s="1640"/>
      <c r="AA853" s="1640"/>
      <c r="AB853" s="1640"/>
      <c r="AC853" s="1640"/>
      <c r="AZ853" s="30"/>
      <c r="BA853" s="30"/>
      <c r="BB853" s="14"/>
      <c r="BC853" s="14"/>
      <c r="BD853" s="14"/>
      <c r="BE853" s="14"/>
      <c r="BF853" s="14"/>
      <c r="BG853" s="14"/>
      <c r="BH853" s="14"/>
      <c r="BI853" s="14"/>
      <c r="BJ853" s="14"/>
      <c r="BK853" s="14"/>
      <c r="BL853" s="14"/>
    </row>
    <row r="854" spans="1:64" ht="12.9" customHeight="1">
      <c r="J854" s="45" t="s">
        <v>169</v>
      </c>
      <c r="K854" s="5"/>
      <c r="L854" s="5"/>
      <c r="M854" s="1618" t="s">
        <v>259</v>
      </c>
      <c r="N854" s="1619"/>
      <c r="O854" s="1619"/>
      <c r="P854" s="1619"/>
      <c r="Q854" s="1619"/>
      <c r="R854" s="1619"/>
      <c r="S854" s="1619"/>
      <c r="T854" s="1619"/>
      <c r="U854" s="1619"/>
      <c r="V854" s="1620"/>
      <c r="W854" s="1640">
        <v>111821.16</v>
      </c>
      <c r="X854" s="1640"/>
      <c r="Y854" s="1640"/>
      <c r="Z854" s="1640"/>
      <c r="AA854" s="1640"/>
      <c r="AB854" s="1640"/>
      <c r="AC854" s="1640"/>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485">
        <f>SUM(W850:W854)</f>
        <v>221833.16</v>
      </c>
      <c r="X855" s="1486"/>
      <c r="Y855" s="1486"/>
      <c r="Z855" s="1486"/>
      <c r="AA855" s="1486"/>
      <c r="AB855" s="1486"/>
      <c r="AC855" s="1487"/>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52"/>
      <c r="BH856" s="1652"/>
      <c r="BI856" s="1652"/>
      <c r="BJ856" s="1652"/>
      <c r="BK856" s="1652"/>
      <c r="BL856" s="1652"/>
    </row>
    <row r="857" spans="1:64" ht="12.9" customHeight="1">
      <c r="C857" s="2" t="s">
        <v>343</v>
      </c>
      <c r="J857" s="1424" t="s">
        <v>344</v>
      </c>
      <c r="K857" s="1425"/>
      <c r="L857" s="1425"/>
      <c r="M857" s="1425"/>
      <c r="N857" s="1425"/>
      <c r="O857" s="1425"/>
      <c r="P857" s="1425"/>
      <c r="Q857" s="1425"/>
      <c r="R857" s="1425"/>
      <c r="S857" s="1425"/>
      <c r="T857" s="1425"/>
      <c r="U857" s="1425"/>
      <c r="V857" s="1427"/>
      <c r="W857" s="1488">
        <v>196560</v>
      </c>
      <c r="X857" s="1489"/>
      <c r="Y857" s="1489"/>
      <c r="Z857" s="1489"/>
      <c r="AA857" s="1489"/>
      <c r="AB857" s="1489"/>
      <c r="AC857" s="1490"/>
      <c r="AD857" s="533"/>
      <c r="AZ857" s="30"/>
      <c r="BA857" s="30"/>
      <c r="BB857" s="14"/>
      <c r="BC857" s="14"/>
    </row>
    <row r="858" spans="1:64" ht="12.9" customHeight="1">
      <c r="AD858" s="533"/>
      <c r="AZ858" s="30"/>
      <c r="BA858" s="30"/>
      <c r="BB858" s="14"/>
      <c r="BC858" s="14"/>
    </row>
    <row r="859" spans="1:64" ht="12.9" customHeight="1">
      <c r="C859" s="2" t="s">
        <v>560</v>
      </c>
      <c r="J859" s="45" t="s">
        <v>351</v>
      </c>
      <c r="K859" s="5"/>
      <c r="L859" s="5"/>
      <c r="M859" s="5"/>
      <c r="N859" s="5"/>
      <c r="O859" s="5"/>
      <c r="P859" s="5"/>
      <c r="Q859" s="5"/>
      <c r="R859" s="5"/>
      <c r="S859" s="5"/>
      <c r="T859" s="5"/>
      <c r="U859" s="5"/>
      <c r="V859" s="46"/>
      <c r="W859" s="1634">
        <v>0</v>
      </c>
      <c r="X859" s="1634"/>
      <c r="Y859" s="1634"/>
      <c r="Z859" s="1634"/>
      <c r="AA859" s="1634"/>
      <c r="AB859" s="1634"/>
      <c r="AC859" s="1634"/>
      <c r="AZ859" s="1630"/>
      <c r="BA859" s="1630"/>
      <c r="BB859" s="14"/>
      <c r="BC859" s="14"/>
    </row>
    <row r="860" spans="1:64" ht="12.9" customHeight="1">
      <c r="J860" s="45" t="s">
        <v>350</v>
      </c>
      <c r="K860" s="5"/>
      <c r="L860" s="5"/>
      <c r="M860" s="5"/>
      <c r="N860" s="5"/>
      <c r="O860" s="5"/>
      <c r="P860" s="5"/>
      <c r="Q860" s="5"/>
      <c r="R860" s="5"/>
      <c r="S860" s="5"/>
      <c r="T860" s="5"/>
      <c r="U860" s="5"/>
      <c r="V860" s="46"/>
      <c r="W860" s="1634">
        <v>0</v>
      </c>
      <c r="X860" s="1634"/>
      <c r="Y860" s="1634"/>
      <c r="Z860" s="1634"/>
      <c r="AA860" s="1634"/>
      <c r="AB860" s="1634"/>
      <c r="AC860" s="1634"/>
      <c r="AZ860" s="30"/>
      <c r="BA860" s="30"/>
      <c r="BB860" s="14"/>
      <c r="BC860" s="14"/>
    </row>
    <row r="861" spans="1:64" ht="12.9" customHeight="1">
      <c r="J861" s="45" t="s">
        <v>458</v>
      </c>
      <c r="K861" s="5"/>
      <c r="L861" s="5"/>
      <c r="M861" s="5"/>
      <c r="N861" s="5"/>
      <c r="O861" s="5"/>
      <c r="P861" s="5"/>
      <c r="Q861" s="5"/>
      <c r="R861" s="5"/>
      <c r="S861" s="5"/>
      <c r="T861" s="5"/>
      <c r="U861" s="5"/>
      <c r="V861" s="46"/>
      <c r="W861" s="1634">
        <v>293904</v>
      </c>
      <c r="X861" s="1634"/>
      <c r="Y861" s="1634"/>
      <c r="Z861" s="1634"/>
      <c r="AA861" s="1634"/>
      <c r="AB861" s="1634"/>
      <c r="AC861" s="1634"/>
      <c r="AZ861" s="30"/>
      <c r="BA861" s="30"/>
      <c r="BB861" s="14"/>
      <c r="BC861" s="14"/>
    </row>
    <row r="862" spans="1:64" ht="12.9" customHeight="1">
      <c r="J862" s="62" t="s">
        <v>619</v>
      </c>
      <c r="K862" s="5"/>
      <c r="L862" s="5"/>
      <c r="M862" s="5"/>
      <c r="N862" s="5"/>
      <c r="O862" s="5"/>
      <c r="P862" s="5"/>
      <c r="Q862" s="5"/>
      <c r="R862" s="5"/>
      <c r="S862" s="5"/>
      <c r="T862" s="5"/>
      <c r="U862" s="5"/>
      <c r="V862" s="46"/>
      <c r="W862" s="1634">
        <v>280000</v>
      </c>
      <c r="X862" s="1634"/>
      <c r="Y862" s="1634"/>
      <c r="Z862" s="1634"/>
      <c r="AA862" s="1634"/>
      <c r="AB862" s="1634"/>
      <c r="AC862" s="1634"/>
      <c r="AZ862" s="34"/>
      <c r="BA862" s="34"/>
      <c r="BB862" s="34"/>
      <c r="BC862" s="34"/>
    </row>
    <row r="863" spans="1:64" ht="12.9" customHeight="1">
      <c r="J863" s="63"/>
      <c r="K863" s="48"/>
      <c r="L863" s="48"/>
      <c r="M863" s="48"/>
      <c r="N863" s="48"/>
      <c r="O863" s="48"/>
      <c r="P863" s="48"/>
      <c r="Q863" s="48"/>
      <c r="R863" s="48"/>
      <c r="S863" s="48"/>
      <c r="T863" s="48"/>
      <c r="U863" s="48"/>
      <c r="V863" s="54" t="s">
        <v>271</v>
      </c>
      <c r="W863" s="1693">
        <f>SUM(W859:W862)</f>
        <v>573904</v>
      </c>
      <c r="X863" s="1693"/>
      <c r="Y863" s="1693"/>
      <c r="Z863" s="1693"/>
      <c r="AA863" s="1693"/>
      <c r="AB863" s="1693"/>
      <c r="AC863" s="1693"/>
      <c r="AZ863" s="34"/>
      <c r="BA863" s="34"/>
      <c r="BB863" s="34"/>
      <c r="BC863" s="34"/>
    </row>
    <row r="864" spans="1:64" ht="12.9" customHeight="1">
      <c r="AZ864" s="34"/>
      <c r="BA864" s="34"/>
      <c r="BB864" s="34"/>
      <c r="BC864" s="34"/>
    </row>
    <row r="865" spans="3:55" ht="12.9" customHeight="1">
      <c r="C865" s="2" t="s">
        <v>345</v>
      </c>
      <c r="J865" s="45" t="s">
        <v>618</v>
      </c>
      <c r="K865" s="5"/>
      <c r="L865" s="5"/>
      <c r="M865" s="5"/>
      <c r="N865" s="5"/>
      <c r="O865" s="5"/>
      <c r="P865" s="5"/>
      <c r="Q865" s="5"/>
      <c r="R865" s="5"/>
      <c r="S865" s="5"/>
      <c r="T865" s="5"/>
      <c r="U865" s="5"/>
      <c r="V865" s="46"/>
      <c r="W865" s="1690">
        <v>278537.70240000001</v>
      </c>
      <c r="X865" s="1691"/>
      <c r="Y865" s="1691"/>
      <c r="Z865" s="1691"/>
      <c r="AA865" s="1691"/>
      <c r="AB865" s="1691"/>
      <c r="AC865" s="1692"/>
      <c r="AD865" s="528"/>
      <c r="AZ865" s="34"/>
      <c r="BA865" s="34"/>
      <c r="BB865" s="34"/>
      <c r="BC865" s="34"/>
    </row>
    <row r="866" spans="3:55" ht="12.9" customHeight="1">
      <c r="C866" s="2" t="s">
        <v>346</v>
      </c>
      <c r="J866" s="121" t="s">
        <v>1643</v>
      </c>
      <c r="K866" s="5"/>
      <c r="L866" s="5"/>
      <c r="M866" s="5"/>
      <c r="N866" s="5"/>
      <c r="O866" s="5"/>
      <c r="P866" s="5"/>
      <c r="Q866" s="5"/>
      <c r="R866" s="5"/>
      <c r="S866" s="5"/>
      <c r="T866" s="1700">
        <v>3</v>
      </c>
      <c r="U866" s="1607"/>
      <c r="V866" s="1701"/>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1690">
        <v>173597.6</v>
      </c>
      <c r="X867" s="1691"/>
      <c r="Y867" s="1691"/>
      <c r="Z867" s="1691"/>
      <c r="AA867" s="1691"/>
      <c r="AB867" s="1691"/>
      <c r="AC867" s="1692"/>
      <c r="AD867" s="533"/>
      <c r="AZ867" s="34"/>
      <c r="BA867" s="34"/>
      <c r="BB867" s="34"/>
      <c r="BC867" s="34"/>
    </row>
    <row r="868" spans="3:55" ht="12.9" customHeight="1">
      <c r="C868" s="2"/>
      <c r="J868" s="121" t="s">
        <v>1644</v>
      </c>
      <c r="K868" s="5"/>
      <c r="L868" s="5"/>
      <c r="M868" s="5"/>
      <c r="N868" s="5"/>
      <c r="O868" s="5"/>
      <c r="P868" s="5"/>
      <c r="Q868" s="5"/>
      <c r="R868" s="5"/>
      <c r="S868" s="5"/>
      <c r="T868" s="1700">
        <v>2</v>
      </c>
      <c r="U868" s="1607"/>
      <c r="V868" s="1701"/>
      <c r="W868" s="870"/>
      <c r="X868" s="871"/>
      <c r="Y868" s="871"/>
      <c r="Z868" s="871"/>
      <c r="AA868" s="871"/>
      <c r="AB868" s="871"/>
      <c r="AC868" s="872"/>
      <c r="AD868" s="533"/>
      <c r="AZ868" s="34"/>
      <c r="BA868" s="34"/>
      <c r="BB868" s="34"/>
      <c r="BC868" s="34"/>
    </row>
    <row r="869" spans="3:55" ht="12.9" customHeight="1">
      <c r="J869" s="45" t="s">
        <v>169</v>
      </c>
      <c r="K869" s="5"/>
      <c r="L869" s="5"/>
      <c r="M869" s="1618" t="s">
        <v>333</v>
      </c>
      <c r="N869" s="1619"/>
      <c r="O869" s="1619"/>
      <c r="P869" s="1619"/>
      <c r="Q869" s="1619"/>
      <c r="R869" s="1619"/>
      <c r="S869" s="1619"/>
      <c r="T869" s="1619"/>
      <c r="U869" s="1619"/>
      <c r="V869" s="1620"/>
      <c r="W869" s="1690"/>
      <c r="X869" s="1691"/>
      <c r="Y869" s="1691"/>
      <c r="Z869" s="1691"/>
      <c r="AA869" s="1691"/>
      <c r="AB869" s="1691"/>
      <c r="AC869" s="1692"/>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1702">
        <f>SUM(W865:W869)</f>
        <v>452135.30240000004</v>
      </c>
      <c r="X870" s="1703"/>
      <c r="Y870" s="1703"/>
      <c r="Z870" s="1703"/>
      <c r="AA870" s="1703"/>
      <c r="AB870" s="1703"/>
      <c r="AC870" s="1704"/>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1690">
        <v>346586.98533120006</v>
      </c>
      <c r="X872" s="1691"/>
      <c r="Y872" s="1691"/>
      <c r="Z872" s="1691"/>
      <c r="AA872" s="1691"/>
      <c r="AB872" s="1691"/>
      <c r="AC872" s="1692"/>
      <c r="AU872" s="14"/>
      <c r="AZ872" s="34"/>
      <c r="BA872" s="34"/>
      <c r="BB872" s="34"/>
      <c r="BC872" s="34"/>
    </row>
    <row r="873" spans="3:55" ht="12.9" customHeight="1">
      <c r="J873" s="512"/>
      <c r="AU873" s="14"/>
      <c r="AZ873" s="34"/>
      <c r="BA873" s="34"/>
      <c r="BB873" s="34"/>
      <c r="BC873" s="34"/>
    </row>
    <row r="874" spans="3:55" ht="12.9" customHeight="1">
      <c r="C874" s="2" t="s">
        <v>389</v>
      </c>
      <c r="J874" s="45" t="s">
        <v>616</v>
      </c>
      <c r="K874" s="5"/>
      <c r="L874" s="5"/>
      <c r="M874" s="5"/>
      <c r="N874" s="5"/>
      <c r="O874" s="5"/>
      <c r="P874" s="5"/>
      <c r="Q874" s="5"/>
      <c r="R874" s="5"/>
      <c r="S874" s="5"/>
      <c r="T874" s="5"/>
      <c r="U874" s="5"/>
      <c r="V874" s="46"/>
      <c r="W874" s="1640">
        <v>1100</v>
      </c>
      <c r="X874" s="1640"/>
      <c r="Y874" s="1640"/>
      <c r="Z874" s="1640"/>
      <c r="AA874" s="1640"/>
      <c r="AB874" s="1640"/>
      <c r="AC874" s="1640"/>
      <c r="AU874" s="14"/>
      <c r="AZ874" s="34"/>
      <c r="BA874" s="34"/>
      <c r="BB874" s="34"/>
      <c r="BC874" s="34"/>
    </row>
    <row r="875" spans="3:55" ht="12.9" customHeight="1">
      <c r="J875" s="45" t="s">
        <v>521</v>
      </c>
      <c r="K875" s="5"/>
      <c r="L875" s="5"/>
      <c r="M875" s="5"/>
      <c r="N875" s="5"/>
      <c r="O875" s="5"/>
      <c r="P875" s="5"/>
      <c r="Q875" s="5"/>
      <c r="R875" s="5"/>
      <c r="S875" s="5"/>
      <c r="T875" s="5"/>
      <c r="U875" s="5"/>
      <c r="V875" s="46"/>
      <c r="W875" s="1640">
        <v>16700</v>
      </c>
      <c r="X875" s="1640"/>
      <c r="Y875" s="1640"/>
      <c r="Z875" s="1640"/>
      <c r="AA875" s="1640"/>
      <c r="AB875" s="1640"/>
      <c r="AC875" s="1640"/>
      <c r="AU875" s="4"/>
      <c r="AZ875" s="34"/>
      <c r="BA875" s="34"/>
      <c r="BB875" s="34"/>
      <c r="BC875" s="34"/>
    </row>
    <row r="876" spans="3:55" ht="12.9" customHeight="1">
      <c r="J876" s="45" t="s">
        <v>520</v>
      </c>
      <c r="K876" s="5"/>
      <c r="L876" s="5"/>
      <c r="M876" s="5"/>
      <c r="N876" s="5"/>
      <c r="O876" s="5"/>
      <c r="P876" s="5"/>
      <c r="Q876" s="5"/>
      <c r="R876" s="5"/>
      <c r="S876" s="5"/>
      <c r="T876" s="5"/>
      <c r="U876" s="5"/>
      <c r="V876" s="46"/>
      <c r="W876" s="1640">
        <v>93900</v>
      </c>
      <c r="X876" s="1640"/>
      <c r="Y876" s="1640"/>
      <c r="Z876" s="1640"/>
      <c r="AA876" s="1640"/>
      <c r="AB876" s="1640"/>
      <c r="AC876" s="1640"/>
      <c r="AU876" s="4"/>
      <c r="AZ876" s="34"/>
      <c r="BA876" s="34"/>
      <c r="BB876" s="34"/>
      <c r="BC876" s="34"/>
    </row>
    <row r="877" spans="3:55" ht="12.9" customHeight="1">
      <c r="J877" s="45" t="s">
        <v>519</v>
      </c>
      <c r="K877" s="5"/>
      <c r="L877" s="5"/>
      <c r="M877" s="5"/>
      <c r="N877" s="5"/>
      <c r="O877" s="5"/>
      <c r="P877" s="5"/>
      <c r="Q877" s="5"/>
      <c r="R877" s="5"/>
      <c r="S877" s="5"/>
      <c r="T877" s="5"/>
      <c r="U877" s="5"/>
      <c r="V877" s="46"/>
      <c r="W877" s="1640">
        <v>12600</v>
      </c>
      <c r="X877" s="1640"/>
      <c r="Y877" s="1640"/>
      <c r="Z877" s="1640"/>
      <c r="AA877" s="1640"/>
      <c r="AB877" s="1640"/>
      <c r="AC877" s="1640"/>
      <c r="AU877" s="4"/>
      <c r="AZ877" s="34"/>
      <c r="BA877" s="34"/>
      <c r="BB877" s="34"/>
      <c r="BC877" s="34"/>
    </row>
    <row r="878" spans="3:55" ht="12.9" customHeight="1">
      <c r="J878" s="45" t="s">
        <v>518</v>
      </c>
      <c r="K878" s="5"/>
      <c r="L878" s="5"/>
      <c r="M878" s="5"/>
      <c r="N878" s="5"/>
      <c r="O878" s="5"/>
      <c r="P878" s="5"/>
      <c r="Q878" s="5"/>
      <c r="R878" s="5"/>
      <c r="S878" s="5"/>
      <c r="T878" s="5"/>
      <c r="U878" s="5"/>
      <c r="V878" s="46"/>
      <c r="W878" s="1640">
        <v>68000</v>
      </c>
      <c r="X878" s="1640"/>
      <c r="Y878" s="1640"/>
      <c r="Z878" s="1640"/>
      <c r="AA878" s="1640"/>
      <c r="AB878" s="1640"/>
      <c r="AC878" s="1640"/>
      <c r="AU878" s="4"/>
      <c r="AZ878" s="34"/>
      <c r="BA878" s="34"/>
      <c r="BB878" s="34"/>
      <c r="BC878" s="34"/>
    </row>
    <row r="879" spans="3:55" ht="12.9" customHeight="1">
      <c r="J879" s="45" t="s">
        <v>517</v>
      </c>
      <c r="K879" s="5"/>
      <c r="L879" s="5"/>
      <c r="M879" s="5"/>
      <c r="N879" s="5"/>
      <c r="O879" s="5"/>
      <c r="P879" s="5"/>
      <c r="Q879" s="5"/>
      <c r="R879" s="5"/>
      <c r="S879" s="5"/>
      <c r="T879" s="5"/>
      <c r="U879" s="5"/>
      <c r="V879" s="46"/>
      <c r="W879" s="1640">
        <v>18200</v>
      </c>
      <c r="X879" s="1640"/>
      <c r="Y879" s="1640"/>
      <c r="Z879" s="1640"/>
      <c r="AA879" s="1640"/>
      <c r="AB879" s="1640"/>
      <c r="AC879" s="1640"/>
      <c r="AU879" s="4"/>
      <c r="AZ879" s="34"/>
      <c r="BA879" s="34"/>
      <c r="BB879" s="34"/>
      <c r="BC879" s="34"/>
    </row>
    <row r="880" spans="3:55" ht="12.9" customHeight="1">
      <c r="J880" s="45" t="s">
        <v>169</v>
      </c>
      <c r="K880" s="5"/>
      <c r="L880" s="5"/>
      <c r="M880" s="1618" t="s">
        <v>2656</v>
      </c>
      <c r="N880" s="1619"/>
      <c r="O880" s="1619"/>
      <c r="P880" s="1619"/>
      <c r="Q880" s="1619"/>
      <c r="R880" s="1619"/>
      <c r="S880" s="1619"/>
      <c r="T880" s="1619"/>
      <c r="U880" s="1619"/>
      <c r="V880" s="1620"/>
      <c r="W880" s="1640">
        <v>39400</v>
      </c>
      <c r="X880" s="1640"/>
      <c r="Y880" s="1640"/>
      <c r="Z880" s="1640"/>
      <c r="AA880" s="1640"/>
      <c r="AB880" s="1640"/>
      <c r="AC880" s="1640"/>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1622">
        <f>SUM(W874:W880)</f>
        <v>249900</v>
      </c>
      <c r="X881" s="1622"/>
      <c r="Y881" s="1622"/>
      <c r="Z881" s="1622"/>
      <c r="AA881" s="1622"/>
      <c r="AB881" s="1622"/>
      <c r="AC881" s="1622"/>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1242</v>
      </c>
      <c r="J883" s="45" t="s">
        <v>169</v>
      </c>
      <c r="K883" s="5"/>
      <c r="L883" s="5"/>
      <c r="M883" s="1618" t="s">
        <v>333</v>
      </c>
      <c r="N883" s="1619"/>
      <c r="O883" s="1619"/>
      <c r="P883" s="1619"/>
      <c r="Q883" s="1619"/>
      <c r="R883" s="1619"/>
      <c r="S883" s="1619"/>
      <c r="T883" s="1619"/>
      <c r="U883" s="1619"/>
      <c r="V883" s="1620"/>
      <c r="W883" s="1488"/>
      <c r="X883" s="1489"/>
      <c r="Y883" s="1489"/>
      <c r="Z883" s="1489"/>
      <c r="AA883" s="1489"/>
      <c r="AB883" s="1489"/>
      <c r="AC883" s="1490"/>
      <c r="AD883" s="533"/>
      <c r="AV883" s="14"/>
      <c r="AW883" s="14"/>
      <c r="AX883" s="14"/>
      <c r="AY883" s="14"/>
      <c r="AZ883" s="34"/>
      <c r="BA883" s="34"/>
      <c r="BB883" s="34"/>
      <c r="BC883" s="34"/>
    </row>
    <row r="884" spans="3:55" ht="12.9" customHeight="1">
      <c r="C884" s="2" t="s">
        <v>1243</v>
      </c>
      <c r="J884" s="45" t="s">
        <v>169</v>
      </c>
      <c r="K884" s="5"/>
      <c r="L884" s="5"/>
      <c r="M884" s="1618" t="s">
        <v>333</v>
      </c>
      <c r="N884" s="1619"/>
      <c r="O884" s="1619"/>
      <c r="P884" s="1619"/>
      <c r="Q884" s="1619"/>
      <c r="R884" s="1619"/>
      <c r="S884" s="1619"/>
      <c r="T884" s="1619"/>
      <c r="U884" s="1619"/>
      <c r="V884" s="1620"/>
      <c r="W884" s="1488"/>
      <c r="X884" s="1489"/>
      <c r="Y884" s="1489"/>
      <c r="Z884" s="1489"/>
      <c r="AA884" s="1489"/>
      <c r="AB884" s="1489"/>
      <c r="AC884" s="1490"/>
      <c r="AD884" s="533"/>
      <c r="AV884" s="14"/>
      <c r="AW884" s="14"/>
      <c r="AX884" s="14"/>
      <c r="AY884" s="14"/>
      <c r="AZ884" s="34"/>
      <c r="BA884" s="34"/>
      <c r="BB884" s="34"/>
      <c r="BC884" s="34"/>
    </row>
    <row r="885" spans="3:55" ht="12.9" customHeight="1">
      <c r="J885" s="45" t="s">
        <v>169</v>
      </c>
      <c r="K885" s="5"/>
      <c r="L885" s="5"/>
      <c r="M885" s="1618" t="s">
        <v>333</v>
      </c>
      <c r="N885" s="1619"/>
      <c r="O885" s="1619"/>
      <c r="P885" s="1619"/>
      <c r="Q885" s="1619"/>
      <c r="R885" s="1619"/>
      <c r="S885" s="1619"/>
      <c r="T885" s="1619"/>
      <c r="U885" s="1619"/>
      <c r="V885" s="1620"/>
      <c r="W885" s="1488"/>
      <c r="X885" s="1489"/>
      <c r="Y885" s="1489"/>
      <c r="Z885" s="1489"/>
      <c r="AA885" s="1489"/>
      <c r="AB885" s="1489"/>
      <c r="AC885" s="1490"/>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1618" t="s">
        <v>333</v>
      </c>
      <c r="N886" s="1619"/>
      <c r="O886" s="1619"/>
      <c r="P886" s="1619"/>
      <c r="Q886" s="1619"/>
      <c r="R886" s="1619"/>
      <c r="S886" s="1619"/>
      <c r="T886" s="1619"/>
      <c r="U886" s="1619"/>
      <c r="V886" s="1620"/>
      <c r="W886" s="1488"/>
      <c r="X886" s="1489"/>
      <c r="Y886" s="1489"/>
      <c r="Z886" s="1489"/>
      <c r="AA886" s="1489"/>
      <c r="AB886" s="1489"/>
      <c r="AC886" s="1490"/>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1618" t="s">
        <v>333</v>
      </c>
      <c r="N887" s="1619"/>
      <c r="O887" s="1619"/>
      <c r="P887" s="1619"/>
      <c r="Q887" s="1619"/>
      <c r="R887" s="1619"/>
      <c r="S887" s="1619"/>
      <c r="T887" s="1619"/>
      <c r="U887" s="1619"/>
      <c r="V887" s="1620"/>
      <c r="W887" s="1488"/>
      <c r="X887" s="1489"/>
      <c r="Y887" s="1489"/>
      <c r="Z887" s="1489"/>
      <c r="AA887" s="1489"/>
      <c r="AB887" s="1489"/>
      <c r="AC887" s="1490"/>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485">
        <f>SUM(W883:W887)</f>
        <v>0</v>
      </c>
      <c r="X888" s="1486"/>
      <c r="Y888" s="1486"/>
      <c r="Z888" s="1486"/>
      <c r="AA888" s="1486"/>
      <c r="AB888" s="1486"/>
      <c r="AC888" s="1487"/>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86">
        <f>W855+W863+W870+W872+W881+W888+W857</f>
        <v>2040919.4477312001</v>
      </c>
      <c r="AD892" s="1486"/>
      <c r="AE892" s="1486"/>
      <c r="AF892" s="1486"/>
      <c r="AG892" s="1486"/>
      <c r="AH892" s="1487"/>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38">
        <f>O805+O785+G761</f>
        <v>234</v>
      </c>
      <c r="AD893" s="1638"/>
      <c r="AE893" s="1638"/>
      <c r="AF893" s="1638"/>
      <c r="AG893" s="1638"/>
      <c r="AH893" s="1639"/>
      <c r="AL893" s="4"/>
      <c r="AM893" s="4"/>
      <c r="AN893" s="4"/>
      <c r="AO893" s="4"/>
      <c r="AP893" s="4"/>
      <c r="AQ893" s="4"/>
      <c r="AR893" s="4"/>
      <c r="AS893" s="4"/>
      <c r="AT893" s="4"/>
      <c r="AZ893" s="34"/>
      <c r="BA893" s="34"/>
      <c r="BB893" s="34"/>
      <c r="BC893" s="34"/>
    </row>
    <row r="894" spans="3:55" ht="12.9" customHeight="1">
      <c r="C894" s="41"/>
      <c r="D894" s="42"/>
      <c r="E894" s="1718" t="s">
        <v>32</v>
      </c>
      <c r="F894" s="1718"/>
      <c r="G894" s="1718"/>
      <c r="H894" s="1718"/>
      <c r="I894" s="1718"/>
      <c r="J894" s="1718"/>
      <c r="K894" s="1718"/>
      <c r="L894" s="1718"/>
      <c r="M894" s="1718"/>
      <c r="N894" s="1718"/>
      <c r="O894" s="1718"/>
      <c r="P894" s="1718"/>
      <c r="Q894" s="1718"/>
      <c r="R894" s="1718"/>
      <c r="S894" s="1718"/>
      <c r="T894" s="1718"/>
      <c r="U894" s="1718"/>
      <c r="V894" s="1718"/>
      <c r="W894" s="1718"/>
      <c r="X894" s="1718"/>
      <c r="Y894" s="1718"/>
      <c r="Z894" s="1718"/>
      <c r="AA894" s="1718"/>
      <c r="AB894" s="1719"/>
      <c r="AC894" s="1622">
        <f>IF(ISERROR((ROUNDDOWN(AC892/AC893,0))),0,(ROUNDDOWN(AC892/AC893,0)))</f>
        <v>8721</v>
      </c>
      <c r="AD894" s="1622"/>
      <c r="AE894" s="1622"/>
      <c r="AF894" s="1622"/>
      <c r="AG894" s="1622"/>
      <c r="AH894" s="1622"/>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56"/>
      <c r="AD895" s="1657"/>
      <c r="AE895" s="1657"/>
      <c r="AF895" s="1657"/>
      <c r="AG895" s="1657"/>
      <c r="AH895" s="1657"/>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90"/>
      <c r="AD896" s="1640"/>
      <c r="AE896" s="1640"/>
      <c r="AF896" s="1640"/>
      <c r="AG896" s="1640"/>
      <c r="AH896" s="1640"/>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89">
        <v>119556</v>
      </c>
      <c r="AD897" s="1489"/>
      <c r="AE897" s="1489"/>
      <c r="AF897" s="1489"/>
      <c r="AG897" s="1489"/>
      <c r="AH897" s="1490"/>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89">
        <v>70200</v>
      </c>
      <c r="AD898" s="1489"/>
      <c r="AE898" s="1489"/>
      <c r="AF898" s="1489"/>
      <c r="AG898" s="1489"/>
      <c r="AH898" s="1490"/>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20">
        <f>'[1]4%'!$X$65</f>
        <v>24393.9</v>
      </c>
      <c r="AD899" s="1521"/>
      <c r="AE899" s="1521"/>
      <c r="AF899" s="1521"/>
      <c r="AG899" s="1521"/>
      <c r="AH899" s="1522"/>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89">
        <v>4900</v>
      </c>
      <c r="AD900" s="1489"/>
      <c r="AE900" s="1489"/>
      <c r="AF900" s="1489"/>
      <c r="AG900" s="1489"/>
      <c r="AH900" s="1490"/>
      <c r="AZ900" s="34"/>
      <c r="BA900" s="34"/>
      <c r="BB900" s="34"/>
      <c r="BC900" s="34"/>
    </row>
    <row r="901" spans="1:58" ht="12.9" hidden="1" customHeight="1">
      <c r="C901" s="1424" t="s">
        <v>2187</v>
      </c>
      <c r="D901" s="1425"/>
      <c r="E901" s="1425"/>
      <c r="F901" s="1425"/>
      <c r="G901" s="1425"/>
      <c r="H901" s="1425"/>
      <c r="I901" s="1425"/>
      <c r="J901" s="1425"/>
      <c r="K901" s="1425"/>
      <c r="L901" s="1425"/>
      <c r="M901" s="1425"/>
      <c r="N901" s="1425"/>
      <c r="O901" s="1425"/>
      <c r="P901" s="1425"/>
      <c r="Q901" s="1425"/>
      <c r="R901" s="1425"/>
      <c r="S901" s="1425"/>
      <c r="T901" s="1425"/>
      <c r="U901" s="1425"/>
      <c r="V901" s="1425"/>
      <c r="W901" s="1425"/>
      <c r="X901" s="1425"/>
      <c r="Y901" s="1425"/>
      <c r="Z901" s="1425"/>
      <c r="AA901" s="1425"/>
      <c r="AB901" s="1427"/>
      <c r="AC901" s="1489"/>
      <c r="AD901" s="1489"/>
      <c r="AE901" s="1489"/>
      <c r="AF901" s="1489"/>
      <c r="AG901" s="1489"/>
      <c r="AH901" s="1490"/>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89"/>
      <c r="AD902" s="1489"/>
      <c r="AE902" s="1489"/>
      <c r="AF902" s="1489"/>
      <c r="AG902" s="1489"/>
      <c r="AH902" s="1490"/>
      <c r="AZ902" s="34"/>
      <c r="BA902" s="34"/>
      <c r="BB902" s="34"/>
      <c r="BC902" s="34"/>
    </row>
    <row r="903" spans="1:58" ht="12.9" customHeight="1">
      <c r="C903" s="1653" t="s">
        <v>955</v>
      </c>
      <c r="D903" s="1654"/>
      <c r="E903" s="1654"/>
      <c r="F903" s="1654"/>
      <c r="G903" s="1654"/>
      <c r="H903" s="1654"/>
      <c r="I903" s="1654"/>
      <c r="J903" s="1654"/>
      <c r="K903" s="1654"/>
      <c r="L903" s="1654"/>
      <c r="M903" s="1654"/>
      <c r="N903" s="1654"/>
      <c r="O903" s="1654"/>
      <c r="P903" s="1654"/>
      <c r="Q903" s="1654"/>
      <c r="R903" s="1654"/>
      <c r="S903" s="1654"/>
      <c r="T903" s="1654"/>
      <c r="U903" s="1654"/>
      <c r="V903" s="1654"/>
      <c r="W903" s="1654"/>
      <c r="X903" s="1654"/>
      <c r="Y903" s="1654"/>
      <c r="Z903" s="1654"/>
      <c r="AA903" s="1654"/>
      <c r="AB903" s="1655"/>
      <c r="AC903" s="1640"/>
      <c r="AD903" s="1640"/>
      <c r="AE903" s="1640"/>
      <c r="AF903" s="1640"/>
      <c r="AG903" s="1640"/>
      <c r="AH903" s="1640"/>
      <c r="AZ903" s="34"/>
      <c r="BA903" s="34"/>
      <c r="BB903" s="34"/>
      <c r="BC903" s="34"/>
    </row>
    <row r="904" spans="1:58" ht="12.9" customHeight="1">
      <c r="C904" s="1653" t="s">
        <v>955</v>
      </c>
      <c r="D904" s="1654"/>
      <c r="E904" s="1654"/>
      <c r="F904" s="1654"/>
      <c r="G904" s="1654"/>
      <c r="H904" s="1654"/>
      <c r="I904" s="1654"/>
      <c r="J904" s="1654"/>
      <c r="K904" s="1654"/>
      <c r="L904" s="1654"/>
      <c r="M904" s="1654"/>
      <c r="N904" s="1654"/>
      <c r="O904" s="1654"/>
      <c r="P904" s="1654"/>
      <c r="Q904" s="1654"/>
      <c r="R904" s="1654"/>
      <c r="S904" s="1654"/>
      <c r="T904" s="1654"/>
      <c r="U904" s="1654"/>
      <c r="V904" s="1654"/>
      <c r="W904" s="1654"/>
      <c r="X904" s="1654"/>
      <c r="Y904" s="1654"/>
      <c r="Z904" s="1654"/>
      <c r="AA904" s="1654"/>
      <c r="AB904" s="1655"/>
      <c r="AC904" s="1640"/>
      <c r="AD904" s="1640"/>
      <c r="AE904" s="1640"/>
      <c r="AF904" s="1640"/>
      <c r="AG904" s="1640"/>
      <c r="AH904" s="1640"/>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488"/>
      <c r="AA908" s="1489"/>
      <c r="AB908" s="1489"/>
      <c r="AC908" s="1489"/>
      <c r="AD908" s="1489"/>
      <c r="AE908" s="1490"/>
      <c r="AF908" s="533"/>
      <c r="AZ908" s="34"/>
      <c r="BB908" s="30"/>
      <c r="BC908" s="812"/>
      <c r="BD908" s="1642"/>
      <c r="BE908" s="1642"/>
      <c r="BF908" s="14"/>
    </row>
    <row r="909" spans="1:58" ht="12.9" customHeight="1">
      <c r="H909" s="121" t="s">
        <v>238</v>
      </c>
      <c r="I909" s="5"/>
      <c r="J909" s="5"/>
      <c r="K909" s="5"/>
      <c r="L909" s="5"/>
      <c r="M909" s="5"/>
      <c r="N909" s="5"/>
      <c r="O909" s="5"/>
      <c r="P909" s="5"/>
      <c r="Q909" s="5"/>
      <c r="R909" s="5"/>
      <c r="S909" s="5"/>
      <c r="T909" s="5"/>
      <c r="U909" s="5"/>
      <c r="V909" s="5"/>
      <c r="W909" s="5"/>
      <c r="X909" s="5"/>
      <c r="Y909" s="5"/>
      <c r="Z909" s="1488"/>
      <c r="AA909" s="1489"/>
      <c r="AB909" s="1489"/>
      <c r="AC909" s="1489"/>
      <c r="AD909" s="1489"/>
      <c r="AE909" s="1490"/>
      <c r="AZ909" s="34"/>
      <c r="BB909" s="30"/>
      <c r="BC909" s="812"/>
      <c r="BD909" s="1642"/>
      <c r="BE909" s="1642"/>
      <c r="BF909" s="14"/>
    </row>
    <row r="910" spans="1:58" ht="12.9" customHeight="1">
      <c r="H910" s="121" t="s">
        <v>239</v>
      </c>
      <c r="I910" s="5"/>
      <c r="J910" s="5"/>
      <c r="K910" s="5"/>
      <c r="L910" s="5"/>
      <c r="M910" s="5"/>
      <c r="N910" s="5"/>
      <c r="O910" s="5"/>
      <c r="P910" s="5"/>
      <c r="Q910" s="5"/>
      <c r="R910" s="5"/>
      <c r="S910" s="5"/>
      <c r="T910" s="5"/>
      <c r="U910" s="5"/>
      <c r="V910" s="5"/>
      <c r="W910" s="5"/>
      <c r="X910" s="5"/>
      <c r="Y910" s="5"/>
      <c r="Z910" s="1488"/>
      <c r="AA910" s="1489"/>
      <c r="AB910" s="1489"/>
      <c r="AC910" s="1489"/>
      <c r="AD910" s="1489"/>
      <c r="AE910" s="1490"/>
      <c r="AZ910" s="34"/>
      <c r="BB910" s="30"/>
      <c r="BC910" s="812"/>
      <c r="BD910" s="1652"/>
      <c r="BE910" s="1652"/>
      <c r="BF910" s="14"/>
    </row>
    <row r="911" spans="1:58" ht="12.9" customHeight="1">
      <c r="H911" s="45"/>
      <c r="I911" s="5"/>
      <c r="J911" s="5"/>
      <c r="K911" s="5"/>
      <c r="L911" s="5"/>
      <c r="M911" s="5"/>
      <c r="N911" s="5"/>
      <c r="O911" s="5"/>
      <c r="P911" s="5"/>
      <c r="Q911" s="5"/>
      <c r="R911" s="5"/>
      <c r="S911" s="5"/>
      <c r="T911" s="5"/>
      <c r="U911" s="5"/>
      <c r="V911" s="5"/>
      <c r="W911" s="5"/>
      <c r="X911" s="5"/>
      <c r="Y911" s="181" t="s">
        <v>240</v>
      </c>
      <c r="Z911" s="1485">
        <f>Z908-(Z909+Z910)</f>
        <v>0</v>
      </c>
      <c r="AA911" s="1486"/>
      <c r="AB911" s="1486"/>
      <c r="AC911" s="1486"/>
      <c r="AD911" s="1486"/>
      <c r="AE911" s="1487"/>
      <c r="AZ911" s="34"/>
      <c r="BB911" s="30"/>
      <c r="BC911" s="812"/>
      <c r="BD911" s="1652"/>
      <c r="BE911" s="1652"/>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52"/>
      <c r="BE912" s="1652"/>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2"/>
      <c r="BE913" s="1652"/>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59"/>
      <c r="BE914" s="1659"/>
      <c r="BF914" s="1659"/>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58"/>
      <c r="BE915" s="1658"/>
      <c r="BF915" s="1658"/>
    </row>
    <row r="916" spans="1:58" ht="12.9"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52"/>
      <c r="BE916" s="1652"/>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2"/>
      <c r="BE917" s="1652"/>
      <c r="BF917" s="14"/>
    </row>
    <row r="918" spans="1:58" ht="12.9" customHeight="1">
      <c r="AZ918" s="34"/>
      <c r="BB918" s="30"/>
      <c r="BC918" s="812"/>
    </row>
    <row r="919" spans="1:58" ht="12.9" customHeight="1">
      <c r="A919" s="1547" t="s">
        <v>96</v>
      </c>
      <c r="B919" s="1547"/>
      <c r="C919" s="1547"/>
      <c r="D919" s="1547"/>
      <c r="E919" s="1547"/>
      <c r="F919" s="1547"/>
      <c r="G919" s="1547"/>
      <c r="H919" s="1547"/>
      <c r="I919" s="1547"/>
      <c r="J919" s="1547"/>
      <c r="K919" s="1547"/>
      <c r="L919" s="1547"/>
      <c r="M919" s="1547"/>
      <c r="N919" s="1547"/>
      <c r="O919" s="1547"/>
      <c r="P919" s="1547"/>
      <c r="Q919" s="1547"/>
      <c r="R919" s="1547"/>
      <c r="S919" s="1547"/>
      <c r="T919" s="1547"/>
      <c r="U919" s="1547"/>
      <c r="V919" s="1547"/>
      <c r="W919" s="1547"/>
      <c r="X919" s="1547"/>
      <c r="Y919" s="1547"/>
      <c r="Z919" s="1547"/>
      <c r="AA919" s="1547"/>
      <c r="AB919" s="1547"/>
      <c r="AC919" s="1547"/>
      <c r="AD919" s="1547"/>
      <c r="AE919" s="1547"/>
      <c r="AF919" s="1547"/>
      <c r="AG919" s="1547"/>
      <c r="AH919" s="1547"/>
      <c r="AI919" s="1547"/>
      <c r="AJ919" s="1547"/>
      <c r="AK919" s="1547"/>
      <c r="AL919" s="1547"/>
      <c r="AM919" s="1547"/>
      <c r="AN919" s="1547"/>
      <c r="AO919" s="1547"/>
      <c r="AP919" s="1547"/>
      <c r="AQ919" s="1547"/>
      <c r="AR919" s="1547"/>
      <c r="AS919" s="1547"/>
      <c r="AT919" s="1547"/>
      <c r="AZ919" s="34"/>
      <c r="BA919" s="34"/>
      <c r="BB919" s="30"/>
      <c r="BC919" s="30"/>
      <c r="BD919" s="1642"/>
      <c r="BE919" s="1652"/>
      <c r="BF919" s="907"/>
    </row>
    <row r="920" spans="1:58" ht="12.9" customHeight="1">
      <c r="A920" s="1547"/>
      <c r="B920" s="1547"/>
      <c r="C920" s="1547"/>
      <c r="D920" s="1547"/>
      <c r="E920" s="1547"/>
      <c r="F920" s="1547"/>
      <c r="G920" s="1547"/>
      <c r="H920" s="1547"/>
      <c r="I920" s="1547"/>
      <c r="J920" s="1547"/>
      <c r="K920" s="1547"/>
      <c r="L920" s="1547"/>
      <c r="M920" s="1547"/>
      <c r="N920" s="1547"/>
      <c r="O920" s="1547"/>
      <c r="P920" s="1547"/>
      <c r="Q920" s="1547"/>
      <c r="R920" s="1547"/>
      <c r="S920" s="1547"/>
      <c r="T920" s="1547"/>
      <c r="U920" s="1547"/>
      <c r="V920" s="1547"/>
      <c r="W920" s="1547"/>
      <c r="X920" s="1547"/>
      <c r="Y920" s="1547"/>
      <c r="Z920" s="1547"/>
      <c r="AA920" s="1547"/>
      <c r="AB920" s="1547"/>
      <c r="AC920" s="1547"/>
      <c r="AD920" s="1547"/>
      <c r="AE920" s="1547"/>
      <c r="AF920" s="1547"/>
      <c r="AG920" s="1547"/>
      <c r="AH920" s="1547"/>
      <c r="AI920" s="1547"/>
      <c r="AJ920" s="1547"/>
      <c r="AK920" s="1547"/>
      <c r="AL920" s="1547"/>
      <c r="AM920" s="1547"/>
      <c r="AN920" s="1547"/>
      <c r="AO920" s="1547"/>
      <c r="AP920" s="1547"/>
      <c r="AQ920" s="1547"/>
      <c r="AR920" s="1547"/>
      <c r="AS920" s="1547"/>
      <c r="AT920" s="1547"/>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728" t="s">
        <v>791</v>
      </c>
      <c r="G924" s="1729"/>
      <c r="H924" s="1729"/>
      <c r="I924" s="1729"/>
      <c r="J924" s="1729"/>
      <c r="K924" s="1729"/>
      <c r="L924" s="1729"/>
      <c r="M924" s="1729"/>
      <c r="N924" s="1729"/>
      <c r="O924" s="1729"/>
      <c r="P924" s="1729"/>
      <c r="Q924" s="1729"/>
      <c r="R924" s="1729"/>
      <c r="S924" s="1729"/>
      <c r="T924" s="1730"/>
      <c r="U924" s="1787" t="s">
        <v>31</v>
      </c>
      <c r="V924" s="1724"/>
      <c r="W924" s="1724"/>
      <c r="X924" s="1724"/>
      <c r="Y924" s="1724"/>
      <c r="Z924" s="1724"/>
      <c r="AA924" s="43"/>
      <c r="AB924" s="105"/>
      <c r="AC924" s="105"/>
      <c r="AD924" s="105"/>
      <c r="AE924" s="105"/>
      <c r="AF924" s="106"/>
      <c r="AZ924" s="34"/>
      <c r="BA924" s="34"/>
      <c r="BB924" s="34"/>
      <c r="BC924" s="34"/>
    </row>
    <row r="925" spans="1:58" ht="12.9" customHeight="1">
      <c r="B925" s="2"/>
      <c r="F925" s="1738" t="s">
        <v>817</v>
      </c>
      <c r="G925" s="1739"/>
      <c r="H925" s="1739"/>
      <c r="I925" s="1739"/>
      <c r="J925" s="1739"/>
      <c r="K925" s="1739"/>
      <c r="L925" s="1739"/>
      <c r="M925" s="1739"/>
      <c r="N925" s="1739"/>
      <c r="O925" s="1739"/>
      <c r="P925" s="1739"/>
      <c r="Q925" s="1739"/>
      <c r="R925" s="1739"/>
      <c r="S925" s="1739"/>
      <c r="T925" s="1740"/>
      <c r="U925" s="1738"/>
      <c r="V925" s="1739"/>
      <c r="W925" s="1739"/>
      <c r="X925" s="1739"/>
      <c r="Y925" s="1739"/>
      <c r="Z925" s="1739"/>
      <c r="AA925" s="44"/>
      <c r="AB925" s="4"/>
      <c r="AC925" s="4"/>
      <c r="AD925" s="4"/>
      <c r="AE925" s="4"/>
      <c r="AF925" s="107"/>
      <c r="AZ925" s="34"/>
      <c r="BA925" s="34"/>
      <c r="BB925" s="34"/>
      <c r="BC925" s="34"/>
    </row>
    <row r="926" spans="1:58" ht="12.9" customHeight="1">
      <c r="B926" s="2"/>
      <c r="F926" s="1741"/>
      <c r="G926" s="1726"/>
      <c r="H926" s="1726"/>
      <c r="I926" s="1726"/>
      <c r="J926" s="1726"/>
      <c r="K926" s="1726"/>
      <c r="L926" s="1726"/>
      <c r="M926" s="1726"/>
      <c r="N926" s="1726"/>
      <c r="O926" s="1726"/>
      <c r="P926" s="1726"/>
      <c r="Q926" s="1726"/>
      <c r="R926" s="1726"/>
      <c r="S926" s="1726"/>
      <c r="T926" s="1727"/>
      <c r="U926" s="1741"/>
      <c r="V926" s="1726"/>
      <c r="W926" s="1726"/>
      <c r="X926" s="1726"/>
      <c r="Y926" s="1726"/>
      <c r="Z926" s="1726"/>
      <c r="AA926" s="108"/>
      <c r="AB926" s="1432" t="s">
        <v>390</v>
      </c>
      <c r="AC926" s="1432"/>
      <c r="AD926" s="1432"/>
      <c r="AE926" s="1432"/>
      <c r="AF926" s="109"/>
      <c r="AZ926" s="34"/>
      <c r="BA926" s="34"/>
      <c r="BB926" s="34"/>
      <c r="BC926" s="34"/>
    </row>
    <row r="927" spans="1:58" ht="12.9" customHeight="1">
      <c r="B927" s="2"/>
      <c r="F927" s="45" t="s">
        <v>757</v>
      </c>
      <c r="G927" s="48"/>
      <c r="H927" s="48"/>
      <c r="I927" s="48"/>
      <c r="J927" s="48"/>
      <c r="K927" s="48"/>
      <c r="L927" s="48"/>
      <c r="M927" s="48"/>
      <c r="N927" s="48"/>
      <c r="O927" s="48"/>
      <c r="P927" s="48"/>
      <c r="Q927" s="48"/>
      <c r="R927" s="48"/>
      <c r="S927" s="48"/>
      <c r="T927" s="49"/>
      <c r="U927" s="1646" t="s">
        <v>544</v>
      </c>
      <c r="V927" s="1445"/>
      <c r="W927" s="1445"/>
      <c r="X927" s="1445"/>
      <c r="Y927" s="1445"/>
      <c r="Z927" s="1446"/>
      <c r="AA927" s="1650">
        <f>AM562</f>
        <v>53597685.266545199</v>
      </c>
      <c r="AB927" s="1534"/>
      <c r="AC927" s="1534"/>
      <c r="AD927" s="1534"/>
      <c r="AE927" s="1534"/>
      <c r="AF927" s="1651"/>
      <c r="AG927" s="1191" t="str">
        <f>IF(NOT(AA927=AW927),"!","")</f>
        <v/>
      </c>
      <c r="AH927" s="3"/>
      <c r="AW927" s="1420">
        <f>SUMIF($M$562:$M$573,"Loan, Tax-Exempt",$AM$562:$AM$573)</f>
        <v>53597685.266545199</v>
      </c>
      <c r="AX927" s="1420"/>
      <c r="AY927" s="1420"/>
      <c r="AZ927" s="3" t="s">
        <v>2539</v>
      </c>
      <c r="BA927" s="34"/>
      <c r="BB927" s="34"/>
      <c r="BC927" s="34"/>
    </row>
    <row r="928" spans="1:58" ht="12.9" customHeight="1">
      <c r="B928" s="2"/>
      <c r="F928" s="66" t="s">
        <v>674</v>
      </c>
      <c r="G928" s="48"/>
      <c r="H928" s="48"/>
      <c r="I928" s="48"/>
      <c r="J928" s="48"/>
      <c r="K928" s="48"/>
      <c r="L928" s="48"/>
      <c r="M928" s="48"/>
      <c r="N928" s="48"/>
      <c r="O928" s="48"/>
      <c r="P928" s="48"/>
      <c r="Q928" s="48"/>
      <c r="R928" s="48"/>
      <c r="S928" s="48"/>
      <c r="T928" s="49"/>
      <c r="U928" s="1646" t="s">
        <v>544</v>
      </c>
      <c r="V928" s="1445"/>
      <c r="W928" s="1445"/>
      <c r="X928" s="1445"/>
      <c r="Y928" s="1445"/>
      <c r="Z928" s="1446"/>
      <c r="AA928" s="1650">
        <f>AM563</f>
        <v>57423034.353167988</v>
      </c>
      <c r="AB928" s="1534"/>
      <c r="AC928" s="1534"/>
      <c r="AD928" s="1534"/>
      <c r="AE928" s="1534"/>
      <c r="AF928" s="1651"/>
      <c r="AZ928" s="34"/>
      <c r="BA928" s="34"/>
      <c r="BB928" s="34"/>
      <c r="BC928" s="34"/>
    </row>
    <row r="929" spans="6:55" ht="12.9" customHeight="1">
      <c r="F929" s="45" t="s">
        <v>800</v>
      </c>
      <c r="G929" s="5"/>
      <c r="H929" s="5"/>
      <c r="I929" s="5"/>
      <c r="J929" s="5"/>
      <c r="K929" s="5"/>
      <c r="L929" s="5"/>
      <c r="M929" s="5"/>
      <c r="N929" s="5"/>
      <c r="O929" s="5"/>
      <c r="P929" s="5"/>
      <c r="Q929" s="5"/>
      <c r="R929" s="5"/>
      <c r="S929" s="5"/>
      <c r="T929" s="46"/>
      <c r="U929" s="1646" t="s">
        <v>590</v>
      </c>
      <c r="V929" s="1445"/>
      <c r="W929" s="1445"/>
      <c r="X929" s="1445"/>
      <c r="Y929" s="1445"/>
      <c r="Z929" s="1446"/>
      <c r="AA929" s="1650"/>
      <c r="AB929" s="1534"/>
      <c r="AC929" s="1534"/>
      <c r="AD929" s="1534"/>
      <c r="AE929" s="1534"/>
      <c r="AF929" s="1651"/>
      <c r="AZ929" s="34"/>
      <c r="BA929" s="34"/>
      <c r="BB929" s="34"/>
      <c r="BC929" s="34"/>
    </row>
    <row r="930" spans="6:55" ht="12.9" customHeight="1">
      <c r="F930" s="45" t="s">
        <v>677</v>
      </c>
      <c r="G930" s="5"/>
      <c r="H930" s="5"/>
      <c r="I930" s="5"/>
      <c r="J930" s="5"/>
      <c r="K930" s="5"/>
      <c r="L930" s="5"/>
      <c r="M930" s="5"/>
      <c r="N930" s="5"/>
      <c r="O930" s="5"/>
      <c r="P930" s="5"/>
      <c r="Q930" s="5"/>
      <c r="R930" s="5"/>
      <c r="S930" s="5"/>
      <c r="T930" s="46"/>
      <c r="U930" s="1646" t="s">
        <v>590</v>
      </c>
      <c r="V930" s="1445"/>
      <c r="W930" s="1445"/>
      <c r="X930" s="1445"/>
      <c r="Y930" s="1445"/>
      <c r="Z930" s="1446"/>
      <c r="AA930" s="1650"/>
      <c r="AB930" s="1534"/>
      <c r="AC930" s="1534"/>
      <c r="AD930" s="1534"/>
      <c r="AE930" s="1534"/>
      <c r="AF930" s="1651"/>
      <c r="AZ930" s="34"/>
      <c r="BA930" s="34"/>
      <c r="BB930" s="34"/>
      <c r="BC930" s="34"/>
    </row>
    <row r="931" spans="6:55" ht="12.9" customHeight="1">
      <c r="F931" s="66" t="s">
        <v>785</v>
      </c>
      <c r="G931" s="5"/>
      <c r="H931" s="5"/>
      <c r="I931" s="5"/>
      <c r="J931" s="5"/>
      <c r="K931" s="5"/>
      <c r="L931" s="5"/>
      <c r="M931" s="5"/>
      <c r="N931" s="5"/>
      <c r="O931" s="5"/>
      <c r="P931" s="5"/>
      <c r="Q931" s="5"/>
      <c r="R931" s="5"/>
      <c r="S931" s="5"/>
      <c r="T931" s="46"/>
      <c r="U931" s="1646" t="s">
        <v>590</v>
      </c>
      <c r="V931" s="1445"/>
      <c r="W931" s="1445"/>
      <c r="X931" s="1445"/>
      <c r="Y931" s="1445"/>
      <c r="Z931" s="1446"/>
      <c r="AA931" s="1650"/>
      <c r="AB931" s="1534"/>
      <c r="AC931" s="1534"/>
      <c r="AD931" s="1534"/>
      <c r="AE931" s="1534"/>
      <c r="AF931" s="1651"/>
      <c r="AZ931" s="34"/>
      <c r="BA931" s="34"/>
      <c r="BB931" s="34"/>
      <c r="BC931" s="34"/>
    </row>
    <row r="932" spans="6:55" ht="12.9" customHeight="1">
      <c r="F932" s="66" t="s">
        <v>786</v>
      </c>
      <c r="G932" s="5"/>
      <c r="H932" s="5"/>
      <c r="I932" s="5"/>
      <c r="J932" s="5"/>
      <c r="K932" s="5"/>
      <c r="L932" s="5"/>
      <c r="M932" s="5"/>
      <c r="N932" s="5"/>
      <c r="O932" s="5"/>
      <c r="P932" s="5"/>
      <c r="Q932" s="5"/>
      <c r="R932" s="5"/>
      <c r="S932" s="5"/>
      <c r="T932" s="46"/>
      <c r="U932" s="1646" t="s">
        <v>590</v>
      </c>
      <c r="V932" s="1445"/>
      <c r="W932" s="1445"/>
      <c r="X932" s="1445"/>
      <c r="Y932" s="1445"/>
      <c r="Z932" s="1446"/>
      <c r="AA932" s="1650"/>
      <c r="AB932" s="1534"/>
      <c r="AC932" s="1534"/>
      <c r="AD932" s="1534"/>
      <c r="AE932" s="1534"/>
      <c r="AF932" s="1651"/>
      <c r="AZ932" s="34"/>
      <c r="BA932" s="34"/>
      <c r="BB932" s="34"/>
      <c r="BC932" s="34"/>
    </row>
    <row r="933" spans="6:55" ht="12.9" customHeight="1">
      <c r="F933" s="66" t="s">
        <v>787</v>
      </c>
      <c r="G933" s="5"/>
      <c r="H933" s="5"/>
      <c r="I933" s="5"/>
      <c r="J933" s="5"/>
      <c r="K933" s="5"/>
      <c r="L933" s="5"/>
      <c r="M933" s="5"/>
      <c r="N933" s="5"/>
      <c r="O933" s="5"/>
      <c r="P933" s="5"/>
      <c r="Q933" s="5"/>
      <c r="R933" s="5"/>
      <c r="S933" s="5"/>
      <c r="T933" s="46"/>
      <c r="U933" s="1646" t="s">
        <v>590</v>
      </c>
      <c r="V933" s="1445"/>
      <c r="W933" s="1445"/>
      <c r="X933" s="1445"/>
      <c r="Y933" s="1445"/>
      <c r="Z933" s="1446"/>
      <c r="AA933" s="1650"/>
      <c r="AB933" s="1534"/>
      <c r="AC933" s="1534"/>
      <c r="AD933" s="1534"/>
      <c r="AE933" s="1534"/>
      <c r="AF933" s="1651"/>
      <c r="AZ933" s="34"/>
      <c r="BA933" s="34"/>
      <c r="BB933" s="34"/>
      <c r="BC933" s="34"/>
    </row>
    <row r="934" spans="6:55" ht="12.9" customHeight="1">
      <c r="F934" s="45" t="s">
        <v>676</v>
      </c>
      <c r="G934" s="5"/>
      <c r="H934" s="5"/>
      <c r="I934" s="5"/>
      <c r="J934" s="5"/>
      <c r="K934" s="5"/>
      <c r="L934" s="5"/>
      <c r="M934" s="5"/>
      <c r="N934" s="5"/>
      <c r="O934" s="5"/>
      <c r="P934" s="5"/>
      <c r="Q934" s="5"/>
      <c r="R934" s="5"/>
      <c r="S934" s="5"/>
      <c r="T934" s="46"/>
      <c r="U934" s="1646" t="s">
        <v>590</v>
      </c>
      <c r="V934" s="1445"/>
      <c r="W934" s="1445"/>
      <c r="X934" s="1445"/>
      <c r="Y934" s="1445"/>
      <c r="Z934" s="1446"/>
      <c r="AA934" s="1650"/>
      <c r="AB934" s="1534"/>
      <c r="AC934" s="1534"/>
      <c r="AD934" s="1534"/>
      <c r="AE934" s="1534"/>
      <c r="AF934" s="1651"/>
      <c r="AZ934" s="34"/>
      <c r="BA934" s="34"/>
      <c r="BB934" s="34"/>
      <c r="BC934" s="34"/>
    </row>
    <row r="935" spans="6:55" ht="12.9" customHeight="1">
      <c r="F935" s="1647" t="s">
        <v>2147</v>
      </c>
      <c r="G935" s="1648"/>
      <c r="H935" s="1648"/>
      <c r="I935" s="1648"/>
      <c r="J935" s="1648"/>
      <c r="K935" s="1648"/>
      <c r="L935" s="1648"/>
      <c r="M935" s="1648"/>
      <c r="N935" s="1648"/>
      <c r="O935" s="1648"/>
      <c r="P935" s="1648"/>
      <c r="Q935" s="1648"/>
      <c r="R935" s="1648"/>
      <c r="S935" s="1648"/>
      <c r="T935" s="1649"/>
      <c r="U935" s="1646" t="s">
        <v>590</v>
      </c>
      <c r="V935" s="1445"/>
      <c r="W935" s="1445"/>
      <c r="X935" s="1445"/>
      <c r="Y935" s="1445"/>
      <c r="Z935" s="1446"/>
      <c r="AA935" s="1650"/>
      <c r="AB935" s="1534"/>
      <c r="AC935" s="1534"/>
      <c r="AD935" s="1534"/>
      <c r="AE935" s="1534"/>
      <c r="AF935" s="1651"/>
      <c r="AZ935" s="34"/>
      <c r="BA935" s="34"/>
      <c r="BB935" s="34"/>
      <c r="BC935" s="34"/>
    </row>
    <row r="936" spans="6:55" ht="12.9" customHeight="1">
      <c r="F936" s="1647" t="s">
        <v>678</v>
      </c>
      <c r="G936" s="1648"/>
      <c r="H936" s="1648"/>
      <c r="I936" s="1648"/>
      <c r="J936" s="1648"/>
      <c r="K936" s="1648"/>
      <c r="L936" s="1648"/>
      <c r="M936" s="1648"/>
      <c r="N936" s="1648"/>
      <c r="O936" s="1648"/>
      <c r="P936" s="1648"/>
      <c r="Q936" s="1648"/>
      <c r="R936" s="1648"/>
      <c r="S936" s="1648"/>
      <c r="T936" s="1649"/>
      <c r="U936" s="1646" t="s">
        <v>590</v>
      </c>
      <c r="V936" s="1445"/>
      <c r="W936" s="1445"/>
      <c r="X936" s="1445"/>
      <c r="Y936" s="1445"/>
      <c r="Z936" s="1446"/>
      <c r="AA936" s="1650"/>
      <c r="AB936" s="1534"/>
      <c r="AC936" s="1534"/>
      <c r="AD936" s="1534"/>
      <c r="AE936" s="1534"/>
      <c r="AF936" s="1651"/>
      <c r="AU936" s="2"/>
      <c r="AZ936" s="34"/>
      <c r="BA936" s="34"/>
      <c r="BB936" s="34"/>
      <c r="BC936" s="34"/>
    </row>
    <row r="937" spans="6:55" ht="12.9" customHeight="1">
      <c r="F937" s="1647" t="s">
        <v>2148</v>
      </c>
      <c r="G937" s="1648"/>
      <c r="H937" s="1648"/>
      <c r="I937" s="1648"/>
      <c r="J937" s="1648"/>
      <c r="K937" s="1648"/>
      <c r="L937" s="1648"/>
      <c r="M937" s="1648"/>
      <c r="N937" s="1648"/>
      <c r="O937" s="1648"/>
      <c r="P937" s="1648"/>
      <c r="Q937" s="1648"/>
      <c r="R937" s="1648"/>
      <c r="S937" s="1648"/>
      <c r="T937" s="1649"/>
      <c r="U937" s="1646" t="s">
        <v>590</v>
      </c>
      <c r="V937" s="1445"/>
      <c r="W937" s="1445"/>
      <c r="X937" s="1445"/>
      <c r="Y937" s="1445"/>
      <c r="Z937" s="1446"/>
      <c r="AA937" s="1650"/>
      <c r="AB937" s="1534"/>
      <c r="AC937" s="1534"/>
      <c r="AD937" s="1534"/>
      <c r="AE937" s="1534"/>
      <c r="AF937" s="1651"/>
      <c r="AU937" s="2"/>
      <c r="AZ937" s="34"/>
      <c r="BA937" s="34"/>
      <c r="BB937" s="34"/>
      <c r="BC937" s="34"/>
    </row>
    <row r="938" spans="6:55" ht="12.9" customHeight="1">
      <c r="F938" s="1647" t="s">
        <v>2149</v>
      </c>
      <c r="G938" s="1648"/>
      <c r="H938" s="1648"/>
      <c r="I938" s="1648"/>
      <c r="J938" s="1648"/>
      <c r="K938" s="1648"/>
      <c r="L938" s="1648"/>
      <c r="M938" s="1648"/>
      <c r="N938" s="1648"/>
      <c r="O938" s="1648"/>
      <c r="P938" s="1648"/>
      <c r="Q938" s="1648"/>
      <c r="R938" s="1648"/>
      <c r="S938" s="1648"/>
      <c r="T938" s="1649"/>
      <c r="U938" s="1646" t="s">
        <v>590</v>
      </c>
      <c r="V938" s="1445"/>
      <c r="W938" s="1445"/>
      <c r="X938" s="1445"/>
      <c r="Y938" s="1445"/>
      <c r="Z938" s="1446"/>
      <c r="AA938" s="1650"/>
      <c r="AB938" s="1534"/>
      <c r="AC938" s="1534"/>
      <c r="AD938" s="1534"/>
      <c r="AE938" s="1534"/>
      <c r="AF938" s="1651"/>
      <c r="AU938" s="2"/>
      <c r="AZ938" s="34"/>
      <c r="BA938" s="34"/>
      <c r="BB938" s="34"/>
      <c r="BC938" s="34"/>
    </row>
    <row r="939" spans="6:55" ht="12.9" customHeight="1">
      <c r="F939" s="1647" t="s">
        <v>2150</v>
      </c>
      <c r="G939" s="1648"/>
      <c r="H939" s="1648"/>
      <c r="I939" s="1648"/>
      <c r="J939" s="1648"/>
      <c r="K939" s="1648"/>
      <c r="L939" s="1648"/>
      <c r="M939" s="1648"/>
      <c r="N939" s="1648"/>
      <c r="O939" s="1648"/>
      <c r="P939" s="1648"/>
      <c r="Q939" s="1648"/>
      <c r="R939" s="1648"/>
      <c r="S939" s="1648"/>
      <c r="T939" s="1649"/>
      <c r="U939" s="1646" t="s">
        <v>590</v>
      </c>
      <c r="V939" s="1445"/>
      <c r="W939" s="1445"/>
      <c r="X939" s="1445"/>
      <c r="Y939" s="1445"/>
      <c r="Z939" s="1446"/>
      <c r="AA939" s="1650"/>
      <c r="AB939" s="1534"/>
      <c r="AC939" s="1534"/>
      <c r="AD939" s="1534"/>
      <c r="AE939" s="1534"/>
      <c r="AF939" s="1651"/>
      <c r="AU939" s="2"/>
      <c r="AZ939" s="34"/>
      <c r="BA939" s="34"/>
      <c r="BB939" s="34"/>
      <c r="BC939" s="34"/>
    </row>
    <row r="940" spans="6:55" ht="12.9" customHeight="1">
      <c r="F940" s="1647" t="s">
        <v>2151</v>
      </c>
      <c r="G940" s="1648"/>
      <c r="H940" s="1648"/>
      <c r="I940" s="1648"/>
      <c r="J940" s="1648"/>
      <c r="K940" s="1648"/>
      <c r="L940" s="1648"/>
      <c r="M940" s="1648"/>
      <c r="N940" s="1648"/>
      <c r="O940" s="1648"/>
      <c r="P940" s="1648"/>
      <c r="Q940" s="1648"/>
      <c r="R940" s="1648"/>
      <c r="S940" s="1648"/>
      <c r="T940" s="1649"/>
      <c r="U940" s="1646" t="s">
        <v>590</v>
      </c>
      <c r="V940" s="1445"/>
      <c r="W940" s="1445"/>
      <c r="X940" s="1445"/>
      <c r="Y940" s="1445"/>
      <c r="Z940" s="1446"/>
      <c r="AA940" s="1650"/>
      <c r="AB940" s="1534"/>
      <c r="AC940" s="1534"/>
      <c r="AD940" s="1534"/>
      <c r="AE940" s="1534"/>
      <c r="AF940" s="1651"/>
      <c r="AU940" s="2"/>
      <c r="AZ940" s="34"/>
      <c r="BA940" s="34"/>
      <c r="BB940" s="34"/>
      <c r="BC940" s="34"/>
    </row>
    <row r="941" spans="6:55" ht="12.9" customHeight="1">
      <c r="F941" s="1647" t="s">
        <v>2152</v>
      </c>
      <c r="G941" s="1648"/>
      <c r="H941" s="1648"/>
      <c r="I941" s="1648"/>
      <c r="J941" s="1648"/>
      <c r="K941" s="1648"/>
      <c r="L941" s="1648"/>
      <c r="M941" s="1648"/>
      <c r="N941" s="1648"/>
      <c r="O941" s="1648"/>
      <c r="P941" s="1648"/>
      <c r="Q941" s="1648"/>
      <c r="R941" s="1648"/>
      <c r="S941" s="1648"/>
      <c r="T941" s="1649"/>
      <c r="U941" s="1646" t="s">
        <v>590</v>
      </c>
      <c r="V941" s="1445"/>
      <c r="W941" s="1445"/>
      <c r="X941" s="1445"/>
      <c r="Y941" s="1445"/>
      <c r="Z941" s="1446"/>
      <c r="AA941" s="1650"/>
      <c r="AB941" s="1534"/>
      <c r="AC941" s="1534"/>
      <c r="AD941" s="1534"/>
      <c r="AE941" s="1534"/>
      <c r="AF941" s="1651"/>
      <c r="AZ941" s="30"/>
      <c r="BA941" s="30"/>
    </row>
    <row r="942" spans="6:55" ht="12.9" customHeight="1">
      <c r="F942" s="178" t="s">
        <v>675</v>
      </c>
      <c r="G942" s="5"/>
      <c r="H942" s="5"/>
      <c r="I942" s="5"/>
      <c r="J942" s="5"/>
      <c r="K942" s="5"/>
      <c r="L942" s="5"/>
      <c r="M942" s="5"/>
      <c r="N942" s="5"/>
      <c r="O942" s="5"/>
      <c r="P942" s="5"/>
      <c r="Q942" s="5"/>
      <c r="R942" s="5"/>
      <c r="S942" s="5"/>
      <c r="T942" s="46"/>
      <c r="U942" s="1646" t="s">
        <v>590</v>
      </c>
      <c r="V942" s="1445"/>
      <c r="W942" s="1445"/>
      <c r="X942" s="1445"/>
      <c r="Y942" s="1445"/>
      <c r="Z942" s="1446"/>
      <c r="AA942" s="1650"/>
      <c r="AB942" s="1534"/>
      <c r="AC942" s="1534"/>
      <c r="AD942" s="1534"/>
      <c r="AE942" s="1534"/>
      <c r="AF942" s="1651"/>
    </row>
    <row r="943" spans="6:55" ht="12.9" customHeight="1">
      <c r="F943" s="121" t="s">
        <v>1276</v>
      </c>
      <c r="G943" s="5"/>
      <c r="H943" s="5"/>
      <c r="I943" s="5"/>
      <c r="J943" s="5"/>
      <c r="K943" s="5"/>
      <c r="L943" s="5"/>
      <c r="M943" s="5"/>
      <c r="N943" s="5"/>
      <c r="O943" s="5"/>
      <c r="P943" s="5"/>
      <c r="Q943" s="5"/>
      <c r="R943" s="5"/>
      <c r="S943" s="5"/>
      <c r="T943" s="46"/>
      <c r="U943" s="1646" t="s">
        <v>590</v>
      </c>
      <c r="V943" s="1445"/>
      <c r="W943" s="1445"/>
      <c r="X943" s="1445"/>
      <c r="Y943" s="1445"/>
      <c r="Z943" s="1446"/>
      <c r="AA943" s="1650"/>
      <c r="AB943" s="1534"/>
      <c r="AC943" s="1534"/>
      <c r="AD943" s="1534"/>
      <c r="AE943" s="1534"/>
      <c r="AF943" s="1651"/>
      <c r="AZ943" s="30"/>
      <c r="BA943" s="14"/>
    </row>
    <row r="944" spans="6:55" ht="12.9" customHeight="1">
      <c r="F944" s="66" t="s">
        <v>801</v>
      </c>
      <c r="G944" s="5"/>
      <c r="H944" s="5"/>
      <c r="I944" s="5"/>
      <c r="J944" s="5"/>
      <c r="K944" s="5"/>
      <c r="L944" s="5"/>
      <c r="M944" s="5"/>
      <c r="N944" s="5"/>
      <c r="O944" s="5"/>
      <c r="P944" s="5"/>
      <c r="Q944" s="5"/>
      <c r="R944" s="5"/>
      <c r="S944" s="5"/>
      <c r="T944" s="46"/>
      <c r="U944" s="1646" t="s">
        <v>590</v>
      </c>
      <c r="V944" s="1445"/>
      <c r="W944" s="1445"/>
      <c r="X944" s="1445"/>
      <c r="Y944" s="1445"/>
      <c r="Z944" s="1446"/>
      <c r="AA944" s="1650"/>
      <c r="AB944" s="1534"/>
      <c r="AC944" s="1534"/>
      <c r="AD944" s="1534"/>
      <c r="AE944" s="1534"/>
      <c r="AF944" s="1651"/>
      <c r="AZ944" s="30"/>
      <c r="BA944" s="14"/>
    </row>
    <row r="945" spans="6:55" ht="12.9" customHeight="1">
      <c r="F945" s="1643" t="s">
        <v>2156</v>
      </c>
      <c r="G945" s="1644"/>
      <c r="H945" s="1644"/>
      <c r="I945" s="1644"/>
      <c r="J945" s="1644"/>
      <c r="K945" s="1644"/>
      <c r="L945" s="1644"/>
      <c r="M945" s="1644"/>
      <c r="N945" s="1644"/>
      <c r="O945" s="1644"/>
      <c r="P945" s="1644"/>
      <c r="Q945" s="1644"/>
      <c r="R945" s="1644"/>
      <c r="S945" s="1644"/>
      <c r="T945" s="1645"/>
      <c r="U945" s="1646" t="s">
        <v>590</v>
      </c>
      <c r="V945" s="1445"/>
      <c r="W945" s="1445"/>
      <c r="X945" s="1445"/>
      <c r="Y945" s="1445"/>
      <c r="Z945" s="1446"/>
      <c r="AA945" s="1650"/>
      <c r="AB945" s="1534"/>
      <c r="AC945" s="1534"/>
      <c r="AD945" s="1534"/>
      <c r="AE945" s="1534"/>
      <c r="AF945" s="1651"/>
      <c r="AZ945" s="30"/>
      <c r="BA945" s="14"/>
    </row>
    <row r="946" spans="6:55" ht="12.9" customHeight="1">
      <c r="F946" s="1643" t="s">
        <v>2157</v>
      </c>
      <c r="G946" s="1644"/>
      <c r="H946" s="1644"/>
      <c r="I946" s="1644"/>
      <c r="J946" s="1644"/>
      <c r="K946" s="1644"/>
      <c r="L946" s="1644"/>
      <c r="M946" s="1644"/>
      <c r="N946" s="1644"/>
      <c r="O946" s="1644"/>
      <c r="P946" s="1644"/>
      <c r="Q946" s="1644"/>
      <c r="R946" s="1644"/>
      <c r="S946" s="1644"/>
      <c r="T946" s="1645"/>
      <c r="U946" s="1646" t="s">
        <v>590</v>
      </c>
      <c r="V946" s="1445"/>
      <c r="W946" s="1445"/>
      <c r="X946" s="1445"/>
      <c r="Y946" s="1445"/>
      <c r="Z946" s="1446"/>
      <c r="AA946" s="1650"/>
      <c r="AB946" s="1534"/>
      <c r="AC946" s="1534"/>
      <c r="AD946" s="1534"/>
      <c r="AE946" s="1534"/>
      <c r="AF946" s="1651"/>
      <c r="AZ946" s="30"/>
      <c r="BA946" s="30"/>
    </row>
    <row r="947" spans="6:55" ht="12.9" customHeight="1">
      <c r="F947" s="1647" t="s">
        <v>2153</v>
      </c>
      <c r="G947" s="1648"/>
      <c r="H947" s="1648"/>
      <c r="I947" s="1648"/>
      <c r="J947" s="1648"/>
      <c r="K947" s="1648"/>
      <c r="L947" s="1648"/>
      <c r="M947" s="1648"/>
      <c r="N947" s="1648"/>
      <c r="O947" s="1648"/>
      <c r="P947" s="1648"/>
      <c r="Q947" s="1648"/>
      <c r="R947" s="1648"/>
      <c r="S947" s="1648"/>
      <c r="T947" s="1649"/>
      <c r="U947" s="1646" t="s">
        <v>590</v>
      </c>
      <c r="V947" s="1445"/>
      <c r="W947" s="1445"/>
      <c r="X947" s="1445"/>
      <c r="Y947" s="1445"/>
      <c r="Z947" s="1446"/>
      <c r="AA947" s="1650"/>
      <c r="AB947" s="1534"/>
      <c r="AC947" s="1534"/>
      <c r="AD947" s="1534"/>
      <c r="AE947" s="1534"/>
      <c r="AF947" s="1651"/>
      <c r="AZ947" s="30"/>
      <c r="BA947" s="30"/>
    </row>
    <row r="948" spans="6:55" ht="12.9" customHeight="1">
      <c r="F948" s="1647" t="s">
        <v>2154</v>
      </c>
      <c r="G948" s="1648"/>
      <c r="H948" s="1648"/>
      <c r="I948" s="1648"/>
      <c r="J948" s="1648"/>
      <c r="K948" s="1648"/>
      <c r="L948" s="1648"/>
      <c r="M948" s="1648"/>
      <c r="N948" s="1648"/>
      <c r="O948" s="1648"/>
      <c r="P948" s="1648"/>
      <c r="Q948" s="1648"/>
      <c r="R948" s="1648"/>
      <c r="S948" s="1648"/>
      <c r="T948" s="1649"/>
      <c r="U948" s="1646" t="s">
        <v>590</v>
      </c>
      <c r="V948" s="1445"/>
      <c r="W948" s="1445"/>
      <c r="X948" s="1445"/>
      <c r="Y948" s="1445"/>
      <c r="Z948" s="1446"/>
      <c r="AA948" s="1650"/>
      <c r="AB948" s="1534"/>
      <c r="AC948" s="1534"/>
      <c r="AD948" s="1534"/>
      <c r="AE948" s="1534"/>
      <c r="AF948" s="1651"/>
      <c r="AZ948" s="30"/>
      <c r="BA948" s="30"/>
    </row>
    <row r="949" spans="6:55" ht="12.9" customHeight="1">
      <c r="F949" s="1647" t="s">
        <v>2155</v>
      </c>
      <c r="G949" s="1648"/>
      <c r="H949" s="1648"/>
      <c r="I949" s="1648"/>
      <c r="J949" s="1648"/>
      <c r="K949" s="1648"/>
      <c r="L949" s="1648"/>
      <c r="M949" s="1648"/>
      <c r="N949" s="1648"/>
      <c r="O949" s="1648"/>
      <c r="P949" s="1648"/>
      <c r="Q949" s="1648"/>
      <c r="R949" s="1648"/>
      <c r="S949" s="1648"/>
      <c r="T949" s="1649"/>
      <c r="U949" s="1646" t="s">
        <v>590</v>
      </c>
      <c r="V949" s="1445"/>
      <c r="W949" s="1445"/>
      <c r="X949" s="1445"/>
      <c r="Y949" s="1445"/>
      <c r="Z949" s="1446"/>
      <c r="AA949" s="1650"/>
      <c r="AB949" s="1534"/>
      <c r="AC949" s="1534"/>
      <c r="AD949" s="1534"/>
      <c r="AE949" s="1534"/>
      <c r="AF949" s="1651"/>
      <c r="AZ949" s="34"/>
      <c r="BA949" s="34"/>
      <c r="BB949" s="14"/>
      <c r="BC949" s="14"/>
    </row>
    <row r="950" spans="6:55" ht="12.9" customHeight="1">
      <c r="F950" s="121" t="s">
        <v>1260</v>
      </c>
      <c r="G950" s="5"/>
      <c r="H950" s="5"/>
      <c r="I950" s="5"/>
      <c r="J950" s="5"/>
      <c r="K950" s="5"/>
      <c r="L950" s="5"/>
      <c r="M950" s="5"/>
      <c r="N950" s="5"/>
      <c r="O950" s="5"/>
      <c r="P950" s="5"/>
      <c r="Q950" s="5"/>
      <c r="R950" s="5"/>
      <c r="S950" s="5"/>
      <c r="T950" s="46"/>
      <c r="U950" s="1646" t="s">
        <v>590</v>
      </c>
      <c r="V950" s="1445"/>
      <c r="W950" s="1445"/>
      <c r="X950" s="1445"/>
      <c r="Y950" s="1445"/>
      <c r="Z950" s="1446"/>
      <c r="AA950" s="1650"/>
      <c r="AB950" s="1534"/>
      <c r="AC950" s="1534"/>
      <c r="AD950" s="1534"/>
      <c r="AE950" s="1534"/>
      <c r="AF950" s="1651"/>
      <c r="AZ950" s="34"/>
      <c r="BA950" s="34"/>
      <c r="BB950" s="14"/>
      <c r="BC950" s="14"/>
    </row>
    <row r="951" spans="6:55" ht="12.9" customHeight="1">
      <c r="F951" s="1643" t="s">
        <v>2158</v>
      </c>
      <c r="G951" s="1644"/>
      <c r="H951" s="1644"/>
      <c r="I951" s="1644"/>
      <c r="J951" s="1644"/>
      <c r="K951" s="1644"/>
      <c r="L951" s="1644"/>
      <c r="M951" s="1644"/>
      <c r="N951" s="1644"/>
      <c r="O951" s="1644"/>
      <c r="P951" s="1644"/>
      <c r="Q951" s="1644"/>
      <c r="R951" s="1644"/>
      <c r="S951" s="1644"/>
      <c r="T951" s="1645"/>
      <c r="U951" s="1646" t="s">
        <v>590</v>
      </c>
      <c r="V951" s="1445"/>
      <c r="W951" s="1445"/>
      <c r="X951" s="1445"/>
      <c r="Y951" s="1445"/>
      <c r="Z951" s="1446"/>
      <c r="AA951" s="1650"/>
      <c r="AB951" s="1534"/>
      <c r="AC951" s="1534"/>
      <c r="AD951" s="1534"/>
      <c r="AE951" s="1534"/>
      <c r="AF951" s="1651"/>
      <c r="AZ951" s="34"/>
      <c r="BA951" s="34"/>
      <c r="BB951" s="34"/>
      <c r="BC951" s="34"/>
    </row>
    <row r="952" spans="6:55" ht="12.9" customHeight="1">
      <c r="F952" s="121" t="s">
        <v>1261</v>
      </c>
      <c r="G952" s="5"/>
      <c r="H952" s="5"/>
      <c r="I952" s="5"/>
      <c r="J952" s="5"/>
      <c r="K952" s="5"/>
      <c r="L952" s="5"/>
      <c r="M952" s="5"/>
      <c r="N952" s="5"/>
      <c r="O952" s="5"/>
      <c r="P952" s="5"/>
      <c r="Q952" s="5"/>
      <c r="R952" s="5"/>
      <c r="S952" s="5"/>
      <c r="T952" s="46"/>
      <c r="U952" s="1646" t="s">
        <v>590</v>
      </c>
      <c r="V952" s="1445"/>
      <c r="W952" s="1445"/>
      <c r="X952" s="1445"/>
      <c r="Y952" s="1445"/>
      <c r="Z952" s="1446"/>
      <c r="AA952" s="1650"/>
      <c r="AB952" s="1534"/>
      <c r="AC952" s="1534"/>
      <c r="AD952" s="1534"/>
      <c r="AE952" s="1534"/>
      <c r="AF952" s="1651"/>
      <c r="AZ952" s="34"/>
      <c r="BA952" s="34"/>
      <c r="BB952" s="34"/>
      <c r="BC952" s="34"/>
    </row>
    <row r="953" spans="6:55" ht="12.9" customHeight="1">
      <c r="F953" s="1643" t="s">
        <v>2159</v>
      </c>
      <c r="G953" s="1644"/>
      <c r="H953" s="1644"/>
      <c r="I953" s="1644"/>
      <c r="J953" s="1644"/>
      <c r="K953" s="1644"/>
      <c r="L953" s="1644"/>
      <c r="M953" s="1644"/>
      <c r="N953" s="1644"/>
      <c r="O953" s="1644"/>
      <c r="P953" s="1644"/>
      <c r="Q953" s="1644"/>
      <c r="R953" s="1644"/>
      <c r="S953" s="1644"/>
      <c r="T953" s="1645"/>
      <c r="U953" s="1646" t="s">
        <v>590</v>
      </c>
      <c r="V953" s="1445"/>
      <c r="W953" s="1445"/>
      <c r="X953" s="1445"/>
      <c r="Y953" s="1445"/>
      <c r="Z953" s="1446"/>
      <c r="AA953" s="1650"/>
      <c r="AB953" s="1534"/>
      <c r="AC953" s="1534"/>
      <c r="AD953" s="1534"/>
      <c r="AE953" s="1534"/>
      <c r="AF953" s="1651"/>
      <c r="AZ953" s="34"/>
      <c r="BA953" s="34"/>
      <c r="BB953" s="34"/>
      <c r="BC953" s="34"/>
    </row>
    <row r="954" spans="6:55" ht="12.9" customHeight="1">
      <c r="F954" s="45" t="s">
        <v>805</v>
      </c>
      <c r="G954" s="5"/>
      <c r="H954" s="5"/>
      <c r="I954" s="5"/>
      <c r="J954" s="5"/>
      <c r="K954" s="5"/>
      <c r="L954" s="5"/>
      <c r="M954" s="5"/>
      <c r="N954" s="5"/>
      <c r="O954" s="5"/>
      <c r="P954" s="1646" t="s">
        <v>668</v>
      </c>
      <c r="Q954" s="1445"/>
      <c r="R954" s="1445"/>
      <c r="S954" s="1445"/>
      <c r="T954" s="1446"/>
      <c r="U954" s="1646" t="s">
        <v>590</v>
      </c>
      <c r="V954" s="1445"/>
      <c r="W954" s="1445"/>
      <c r="X954" s="1445"/>
      <c r="Y954" s="1445"/>
      <c r="Z954" s="1446"/>
      <c r="AA954" s="1650"/>
      <c r="AB954" s="1534"/>
      <c r="AC954" s="1534"/>
      <c r="AD954" s="1534"/>
      <c r="AE954" s="1534"/>
      <c r="AF954" s="1651"/>
      <c r="AZ954" s="34"/>
      <c r="BA954" s="34"/>
      <c r="BB954" s="34"/>
      <c r="BC954" s="34"/>
    </row>
    <row r="955" spans="6:55" ht="12.9" customHeight="1">
      <c r="F955" s="1647" t="s">
        <v>2146</v>
      </c>
      <c r="G955" s="1648"/>
      <c r="H955" s="1649"/>
      <c r="I955" s="1618" t="s">
        <v>333</v>
      </c>
      <c r="J955" s="1619"/>
      <c r="K955" s="1619"/>
      <c r="L955" s="1619"/>
      <c r="M955" s="1619"/>
      <c r="N955" s="1619"/>
      <c r="O955" s="1619"/>
      <c r="P955" s="1619"/>
      <c r="Q955" s="1619"/>
      <c r="R955" s="1619"/>
      <c r="S955" s="1619"/>
      <c r="T955" s="1620"/>
      <c r="U955" s="1646" t="s">
        <v>590</v>
      </c>
      <c r="V955" s="1445"/>
      <c r="W955" s="1445"/>
      <c r="X955" s="1445"/>
      <c r="Y955" s="1445"/>
      <c r="Z955" s="1446"/>
      <c r="AA955" s="1650"/>
      <c r="AB955" s="1534"/>
      <c r="AC955" s="1534"/>
      <c r="AD955" s="1534"/>
      <c r="AE955" s="1534"/>
      <c r="AF955" s="1651"/>
      <c r="AZ955" s="34"/>
      <c r="BA955" s="34"/>
      <c r="BB955" s="34"/>
      <c r="BC955" s="34"/>
    </row>
    <row r="956" spans="6:55" ht="12.9" customHeight="1">
      <c r="F956" s="45" t="s">
        <v>86</v>
      </c>
      <c r="G956" s="48"/>
      <c r="H956" s="48"/>
      <c r="I956" s="1618" t="s">
        <v>333</v>
      </c>
      <c r="J956" s="1619"/>
      <c r="K956" s="1619"/>
      <c r="L956" s="1619"/>
      <c r="M956" s="1619"/>
      <c r="N956" s="1619"/>
      <c r="O956" s="1619"/>
      <c r="P956" s="1619"/>
      <c r="Q956" s="1619"/>
      <c r="R956" s="1619"/>
      <c r="S956" s="1619"/>
      <c r="T956" s="1620"/>
      <c r="U956" s="1646" t="s">
        <v>590</v>
      </c>
      <c r="V956" s="1445"/>
      <c r="W956" s="1445"/>
      <c r="X956" s="1445"/>
      <c r="Y956" s="1445"/>
      <c r="Z956" s="1446"/>
      <c r="AA956" s="1650"/>
      <c r="AB956" s="1534"/>
      <c r="AC956" s="1534"/>
      <c r="AD956" s="1534"/>
      <c r="AE956" s="1534"/>
      <c r="AF956" s="1651"/>
      <c r="AZ956" s="34"/>
      <c r="BA956" s="34"/>
      <c r="BB956" s="34"/>
      <c r="BC956" s="34"/>
    </row>
    <row r="957" spans="6:55" ht="12.9" customHeight="1">
      <c r="F957" s="45" t="s">
        <v>10</v>
      </c>
      <c r="G957" s="48"/>
      <c r="H957" s="48"/>
      <c r="I957" s="1699" t="s">
        <v>333</v>
      </c>
      <c r="J957" s="1688"/>
      <c r="K957" s="1688"/>
      <c r="L957" s="1688"/>
      <c r="M957" s="1688"/>
      <c r="N957" s="1688"/>
      <c r="O957" s="1688"/>
      <c r="P957" s="1688"/>
      <c r="Q957" s="1688"/>
      <c r="R957" s="1688"/>
      <c r="S957" s="1688"/>
      <c r="T957" s="1689"/>
      <c r="U957" s="1646" t="s">
        <v>590</v>
      </c>
      <c r="V957" s="1445"/>
      <c r="W957" s="1445"/>
      <c r="X957" s="1445"/>
      <c r="Y957" s="1445"/>
      <c r="Z957" s="1446"/>
      <c r="AA957" s="1650"/>
      <c r="AB957" s="1534"/>
      <c r="AC957" s="1534"/>
      <c r="AD957" s="1534"/>
      <c r="AE957" s="1534"/>
      <c r="AF957" s="1651"/>
      <c r="AV957" s="2"/>
      <c r="AW957" s="2"/>
      <c r="AX957" s="2"/>
      <c r="AY957" s="2"/>
      <c r="AZ957" s="34"/>
      <c r="BA957" s="34"/>
      <c r="BB957" s="34"/>
      <c r="BC957" s="34"/>
    </row>
    <row r="958" spans="6:55" ht="12.9" customHeight="1">
      <c r="F958" s="47" t="s">
        <v>169</v>
      </c>
      <c r="G958" s="48"/>
      <c r="H958" s="48"/>
      <c r="I958" s="1618" t="s">
        <v>2673</v>
      </c>
      <c r="J958" s="1688"/>
      <c r="K958" s="1688"/>
      <c r="L958" s="1688"/>
      <c r="M958" s="1688"/>
      <c r="N958" s="1688"/>
      <c r="O958" s="1688"/>
      <c r="P958" s="1688"/>
      <c r="Q958" s="1688"/>
      <c r="R958" s="1688"/>
      <c r="S958" s="1688"/>
      <c r="T958" s="1689"/>
      <c r="U958" s="1646" t="s">
        <v>544</v>
      </c>
      <c r="V958" s="1445"/>
      <c r="W958" s="1445"/>
      <c r="X958" s="1445"/>
      <c r="Y958" s="1445"/>
      <c r="Z958" s="1446"/>
      <c r="AA958" s="1650">
        <f>AO636</f>
        <v>48249556</v>
      </c>
      <c r="AB958" s="1534"/>
      <c r="AC958" s="1534"/>
      <c r="AD958" s="1534"/>
      <c r="AE958" s="1534"/>
      <c r="AF958" s="1651"/>
      <c r="AU958" s="2"/>
      <c r="AZ958" s="34"/>
      <c r="BA958" s="34"/>
      <c r="BB958" s="34"/>
      <c r="BC958" s="34"/>
    </row>
    <row r="959" spans="6:55" ht="12.9" customHeight="1">
      <c r="F959" s="47" t="s">
        <v>169</v>
      </c>
      <c r="G959" s="48"/>
      <c r="H959" s="48"/>
      <c r="I959" s="1699" t="s">
        <v>333</v>
      </c>
      <c r="J959" s="1688"/>
      <c r="K959" s="1688"/>
      <c r="L959" s="1688"/>
      <c r="M959" s="1688"/>
      <c r="N959" s="1688"/>
      <c r="O959" s="1688"/>
      <c r="P959" s="1688"/>
      <c r="Q959" s="1688"/>
      <c r="R959" s="1688"/>
      <c r="S959" s="1688"/>
      <c r="T959" s="1689"/>
      <c r="U959" s="1646" t="s">
        <v>590</v>
      </c>
      <c r="V959" s="1445"/>
      <c r="W959" s="1445"/>
      <c r="X959" s="1445"/>
      <c r="Y959" s="1445"/>
      <c r="Z959" s="1446"/>
      <c r="AA959" s="1650"/>
      <c r="AB959" s="1534"/>
      <c r="AC959" s="1534"/>
      <c r="AD959" s="1534"/>
      <c r="AE959" s="1534"/>
      <c r="AF959" s="1651"/>
      <c r="AU959" s="2"/>
      <c r="AZ959" s="34"/>
      <c r="BA959" s="34"/>
      <c r="BB959" s="34"/>
      <c r="BC959" s="34"/>
    </row>
    <row r="960" spans="6:55" ht="12.9" customHeight="1">
      <c r="AU960" s="2"/>
      <c r="AZ960" s="34"/>
      <c r="BA960" s="34"/>
      <c r="BB960" s="34"/>
      <c r="BC960" s="34"/>
    </row>
    <row r="961" spans="1:64" ht="12.9" customHeight="1">
      <c r="A961" s="2" t="s">
        <v>575</v>
      </c>
      <c r="C961" s="2" t="s">
        <v>750</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720"/>
      <c r="N964" s="1541"/>
      <c r="O964" s="1541"/>
      <c r="P964" s="1541"/>
      <c r="Q964" s="1541"/>
      <c r="R964" s="1541"/>
      <c r="S964" s="1633"/>
      <c r="U964" s="66" t="s">
        <v>11</v>
      </c>
      <c r="V964" s="5"/>
      <c r="W964" s="5"/>
      <c r="X964" s="5"/>
      <c r="Y964" s="5"/>
      <c r="Z964" s="5"/>
      <c r="AA964" s="5"/>
      <c r="AB964" s="5"/>
      <c r="AC964" s="5"/>
      <c r="AD964" s="46"/>
      <c r="AE964" s="1720"/>
      <c r="AF964" s="1541"/>
      <c r="AG964" s="1541"/>
      <c r="AH964" s="1541"/>
      <c r="AI964" s="1541"/>
      <c r="AJ964" s="1541"/>
      <c r="AK964" s="1633"/>
      <c r="AZ964" s="34"/>
      <c r="BA964" s="34"/>
      <c r="BB964" s="34"/>
      <c r="BC964" s="34"/>
    </row>
    <row r="965" spans="1:64" ht="12.9" customHeight="1">
      <c r="C965" s="66" t="s">
        <v>12</v>
      </c>
      <c r="D965" s="5"/>
      <c r="E965" s="5"/>
      <c r="F965" s="5"/>
      <c r="G965" s="5"/>
      <c r="H965" s="5"/>
      <c r="I965" s="5"/>
      <c r="J965" s="5"/>
      <c r="K965" s="5"/>
      <c r="L965" s="46"/>
      <c r="M965" s="1591"/>
      <c r="N965" s="1483"/>
      <c r="O965" s="1483"/>
      <c r="P965" s="1483"/>
      <c r="Q965" s="1483"/>
      <c r="R965" s="1483"/>
      <c r="S965" s="1694"/>
      <c r="U965" s="66" t="s">
        <v>12</v>
      </c>
      <c r="V965" s="5"/>
      <c r="W965" s="5"/>
      <c r="X965" s="5"/>
      <c r="Y965" s="5"/>
      <c r="Z965" s="5"/>
      <c r="AA965" s="5"/>
      <c r="AB965" s="5"/>
      <c r="AC965" s="5"/>
      <c r="AD965" s="46"/>
      <c r="AE965" s="1591"/>
      <c r="AF965" s="1483"/>
      <c r="AG965" s="1483"/>
      <c r="AH965" s="1483"/>
      <c r="AI965" s="1483"/>
      <c r="AJ965" s="1483"/>
      <c r="AK965" s="1694"/>
      <c r="AZ965" s="34"/>
      <c r="BA965" s="34"/>
      <c r="BB965" s="34"/>
      <c r="BC965" s="34"/>
    </row>
    <row r="966" spans="1:64" ht="12.9" customHeight="1">
      <c r="C966" s="66" t="s">
        <v>879</v>
      </c>
      <c r="D966" s="5"/>
      <c r="E966" s="5"/>
      <c r="J966" s="1695" t="s">
        <v>306</v>
      </c>
      <c r="K966" s="1696"/>
      <c r="L966" s="1696"/>
      <c r="M966" s="1696"/>
      <c r="N966" s="1696"/>
      <c r="O966" s="1696"/>
      <c r="P966" s="1696"/>
      <c r="Q966" s="1696"/>
      <c r="R966" s="1696"/>
      <c r="S966" s="1697"/>
      <c r="U966" s="66" t="s">
        <v>879</v>
      </c>
      <c r="V966" s="5"/>
      <c r="W966" s="5"/>
      <c r="AB966" s="1695" t="s">
        <v>306</v>
      </c>
      <c r="AC966" s="1696"/>
      <c r="AD966" s="1696"/>
      <c r="AE966" s="1696"/>
      <c r="AF966" s="1696"/>
      <c r="AG966" s="1696"/>
      <c r="AH966" s="1696"/>
      <c r="AI966" s="1696"/>
      <c r="AJ966" s="1696"/>
      <c r="AK966" s="1697"/>
      <c r="AZ966" s="34"/>
      <c r="BA966" s="34"/>
      <c r="BB966" s="34"/>
      <c r="BC966" s="34"/>
    </row>
    <row r="967" spans="1:64" ht="12.9" customHeight="1">
      <c r="C967" s="66" t="s">
        <v>13</v>
      </c>
      <c r="D967" s="5"/>
      <c r="E967" s="5"/>
      <c r="F967" s="5"/>
      <c r="G967" s="5"/>
      <c r="H967" s="5"/>
      <c r="I967" s="5"/>
      <c r="J967" s="5"/>
      <c r="K967" s="5"/>
      <c r="L967" s="46"/>
      <c r="M967" s="1721"/>
      <c r="N967" s="1722"/>
      <c r="O967" s="1722"/>
      <c r="P967" s="1722"/>
      <c r="Q967" s="1722"/>
      <c r="R967" s="1722"/>
      <c r="S967" s="1723"/>
      <c r="U967" s="66" t="s">
        <v>13</v>
      </c>
      <c r="V967" s="5"/>
      <c r="W967" s="5"/>
      <c r="X967" s="5"/>
      <c r="Y967" s="5"/>
      <c r="Z967" s="5"/>
      <c r="AA967" s="5"/>
      <c r="AB967" s="5"/>
      <c r="AC967" s="5"/>
      <c r="AD967" s="46"/>
      <c r="AE967" s="1737"/>
      <c r="AF967" s="1722"/>
      <c r="AG967" s="1722"/>
      <c r="AH967" s="1722"/>
      <c r="AI967" s="1722"/>
      <c r="AJ967" s="1722"/>
      <c r="AK967" s="1723"/>
      <c r="AZ967" s="34"/>
      <c r="BA967" s="34"/>
      <c r="BB967" s="34"/>
      <c r="BC967" s="34"/>
    </row>
    <row r="968" spans="1:64" ht="12.9" customHeight="1">
      <c r="C968" s="66" t="s">
        <v>14</v>
      </c>
      <c r="D968" s="5"/>
      <c r="E968" s="5"/>
      <c r="F968" s="5"/>
      <c r="G968" s="5"/>
      <c r="H968" s="5"/>
      <c r="I968" s="5"/>
      <c r="J968" s="5"/>
      <c r="K968" s="5"/>
      <c r="L968" s="46"/>
      <c r="M968" s="1698"/>
      <c r="N968" s="1628"/>
      <c r="O968" s="1628"/>
      <c r="P968" s="1628"/>
      <c r="Q968" s="1628"/>
      <c r="R968" s="1628"/>
      <c r="S968" s="1629"/>
      <c r="U968" s="66" t="s">
        <v>14</v>
      </c>
      <c r="V968" s="5"/>
      <c r="W968" s="5"/>
      <c r="X968" s="5"/>
      <c r="Y968" s="5"/>
      <c r="Z968" s="5"/>
      <c r="AA968" s="5"/>
      <c r="AB968" s="5"/>
      <c r="AC968" s="5"/>
      <c r="AD968" s="46"/>
      <c r="AE968" s="1698"/>
      <c r="AF968" s="1628"/>
      <c r="AG968" s="1628"/>
      <c r="AH968" s="1628"/>
      <c r="AI968" s="1628"/>
      <c r="AJ968" s="1628"/>
      <c r="AK968" s="1629"/>
      <c r="AV968" s="2"/>
      <c r="AW968" s="2"/>
      <c r="AX968" s="2"/>
      <c r="AY968" s="2"/>
      <c r="AZ968" s="34"/>
      <c r="BA968" s="34"/>
      <c r="BB968" s="34"/>
      <c r="BC968" s="34"/>
    </row>
    <row r="969" spans="1:64" ht="12.9" customHeight="1">
      <c r="C969" s="66" t="s">
        <v>15</v>
      </c>
      <c r="D969" s="5"/>
      <c r="E969" s="5"/>
      <c r="F969" s="5"/>
      <c r="G969" s="5"/>
      <c r="H969" s="5"/>
      <c r="I969" s="5"/>
      <c r="J969" s="5"/>
      <c r="K969" s="5"/>
      <c r="L969" s="46"/>
      <c r="M969" s="1650"/>
      <c r="N969" s="1534"/>
      <c r="O969" s="1534"/>
      <c r="P969" s="1534"/>
      <c r="Q969" s="1534"/>
      <c r="R969" s="1534"/>
      <c r="S969" s="1651"/>
      <c r="U969" s="66" t="s">
        <v>15</v>
      </c>
      <c r="V969" s="5"/>
      <c r="W969" s="5"/>
      <c r="X969" s="5"/>
      <c r="Y969" s="5"/>
      <c r="Z969" s="5"/>
      <c r="AA969" s="5"/>
      <c r="AB969" s="5"/>
      <c r="AC969" s="5"/>
      <c r="AD969" s="46"/>
      <c r="AE969" s="1650"/>
      <c r="AF969" s="1534"/>
      <c r="AG969" s="1534"/>
      <c r="AH969" s="1534"/>
      <c r="AI969" s="1534"/>
      <c r="AJ969" s="1534"/>
      <c r="AK969" s="1651"/>
      <c r="AV969" s="2"/>
      <c r="AW969" s="2"/>
      <c r="AX969" s="2"/>
      <c r="AY969" s="2"/>
      <c r="AZ969" s="34"/>
      <c r="BA969" s="34"/>
      <c r="BB969" s="34"/>
      <c r="BC969" s="34"/>
    </row>
    <row r="970" spans="1:64" ht="12.9" customHeight="1">
      <c r="C970" s="66" t="s">
        <v>16</v>
      </c>
      <c r="D970" s="5"/>
      <c r="E970" s="5"/>
      <c r="F970" s="5"/>
      <c r="G970" s="5"/>
      <c r="H970" s="5"/>
      <c r="I970" s="5"/>
      <c r="J970" s="5"/>
      <c r="K970" s="5"/>
      <c r="L970" s="46"/>
      <c r="M970" s="1650"/>
      <c r="N970" s="1534"/>
      <c r="O970" s="1534"/>
      <c r="P970" s="1534"/>
      <c r="Q970" s="1534"/>
      <c r="R970" s="1534"/>
      <c r="S970" s="1651"/>
      <c r="U970" s="66" t="s">
        <v>16</v>
      </c>
      <c r="V970" s="5"/>
      <c r="W970" s="5"/>
      <c r="X970" s="5"/>
      <c r="Y970" s="5"/>
      <c r="Z970" s="5"/>
      <c r="AA970" s="5"/>
      <c r="AB970" s="5"/>
      <c r="AC970" s="5"/>
      <c r="AD970" s="46"/>
      <c r="AE970" s="1650"/>
      <c r="AF970" s="1534"/>
      <c r="AG970" s="1534"/>
      <c r="AH970" s="1534"/>
      <c r="AI970" s="1534"/>
      <c r="AJ970" s="1534"/>
      <c r="AK970" s="1651"/>
      <c r="AV970" s="2"/>
      <c r="AW970" s="2"/>
      <c r="AX970" s="2"/>
      <c r="AY970" s="2"/>
      <c r="AZ970" s="34"/>
      <c r="BB970" s="34"/>
      <c r="BC970" s="34"/>
    </row>
    <row r="971" spans="1:64" ht="12.9" customHeight="1">
      <c r="C971" s="121" t="s">
        <v>1649</v>
      </c>
      <c r="D971" s="5"/>
      <c r="E971" s="5"/>
      <c r="F971" s="5"/>
      <c r="G971" s="5"/>
      <c r="H971" s="5"/>
      <c r="I971" s="5"/>
      <c r="J971" s="5"/>
      <c r="K971" s="5"/>
      <c r="L971" s="46"/>
      <c r="M971" s="1734"/>
      <c r="N971" s="1735"/>
      <c r="O971" s="1735"/>
      <c r="P971" s="1735"/>
      <c r="Q971" s="1735"/>
      <c r="R971" s="1735"/>
      <c r="S971" s="1736"/>
      <c r="U971" s="121" t="s">
        <v>1649</v>
      </c>
      <c r="V971" s="5"/>
      <c r="W971" s="5"/>
      <c r="X971" s="5"/>
      <c r="Y971" s="5"/>
      <c r="Z971" s="5"/>
      <c r="AA971" s="5"/>
      <c r="AB971" s="5"/>
      <c r="AC971" s="5"/>
      <c r="AD971" s="46"/>
      <c r="AE971" s="1734"/>
      <c r="AF971" s="1735"/>
      <c r="AG971" s="1735"/>
      <c r="AH971" s="1735"/>
      <c r="AI971" s="1735"/>
      <c r="AJ971" s="1735"/>
      <c r="AK971" s="1736"/>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1705"/>
      <c r="N976" s="1706"/>
      <c r="O976" s="1706"/>
      <c r="P976" s="1706"/>
      <c r="Q976" s="1706"/>
      <c r="R976" s="1706"/>
      <c r="S976" s="1707"/>
      <c r="T976" s="66" t="s">
        <v>789</v>
      </c>
      <c r="U976" s="5"/>
      <c r="V976" s="5"/>
      <c r="W976" s="5"/>
      <c r="X976" s="5"/>
      <c r="Y976" s="5"/>
      <c r="Z976" s="46"/>
      <c r="AA976" s="1705"/>
      <c r="AB976" s="1706"/>
      <c r="AC976" s="1706"/>
      <c r="AD976" s="1706"/>
      <c r="AE976" s="1706"/>
      <c r="AF976" s="1706"/>
      <c r="AG976" s="170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1705"/>
      <c r="N977" s="1706"/>
      <c r="O977" s="1706"/>
      <c r="P977" s="1706"/>
      <c r="Q977" s="1706"/>
      <c r="R977" s="1706"/>
      <c r="S977" s="1707"/>
      <c r="T977" s="66" t="s">
        <v>788</v>
      </c>
      <c r="U977" s="5"/>
      <c r="V977" s="5"/>
      <c r="W977" s="5"/>
      <c r="X977" s="5"/>
      <c r="Y977" s="5"/>
      <c r="Z977" s="46"/>
      <c r="AA977" s="1705"/>
      <c r="AB977" s="1706"/>
      <c r="AC977" s="1706"/>
      <c r="AD977" s="1706"/>
      <c r="AE977" s="1706"/>
      <c r="AF977" s="1706"/>
      <c r="AG977" s="170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900</v>
      </c>
      <c r="G978" s="5"/>
      <c r="H978" s="5"/>
      <c r="I978" s="5"/>
      <c r="J978" s="5"/>
      <c r="K978" s="5"/>
      <c r="L978" s="46"/>
      <c r="M978" s="1715" t="s">
        <v>590</v>
      </c>
      <c r="N978" s="1716"/>
      <c r="O978" s="1716"/>
      <c r="P978" s="1716"/>
      <c r="Q978" s="1716"/>
      <c r="R978" s="1716"/>
      <c r="S978" s="1717"/>
      <c r="T978" s="45" t="s">
        <v>336</v>
      </c>
      <c r="U978" s="5"/>
      <c r="V978" s="5"/>
      <c r="W978" s="5"/>
      <c r="X978" s="5"/>
      <c r="Y978" s="5"/>
      <c r="Z978" s="46"/>
      <c r="AA978" s="1705"/>
      <c r="AB978" s="1706"/>
      <c r="AC978" s="1706"/>
      <c r="AD978" s="1706"/>
      <c r="AE978" s="1706"/>
      <c r="AF978" s="1706"/>
      <c r="AG978" s="170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1705"/>
      <c r="N979" s="1706"/>
      <c r="O979" s="1706"/>
      <c r="P979" s="1706"/>
      <c r="Q979" s="1706"/>
      <c r="R979" s="1706"/>
      <c r="S979" s="1707"/>
      <c r="T979" s="45" t="s">
        <v>337</v>
      </c>
      <c r="U979" s="5"/>
      <c r="V979" s="5"/>
      <c r="W979" s="5"/>
      <c r="X979" s="5"/>
      <c r="Y979" s="5"/>
      <c r="Z979" s="46"/>
      <c r="AA979" s="1705"/>
      <c r="AB979" s="1706"/>
      <c r="AC979" s="1706"/>
      <c r="AD979" s="1706"/>
      <c r="AE979" s="1706"/>
      <c r="AF979" s="1706"/>
      <c r="AG979" s="170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1705"/>
      <c r="N980" s="1706"/>
      <c r="O980" s="1706"/>
      <c r="P980" s="1706"/>
      <c r="Q980" s="1706"/>
      <c r="R980" s="1706"/>
      <c r="S980" s="1707"/>
      <c r="T980" s="45" t="s">
        <v>375</v>
      </c>
      <c r="U980" s="5"/>
      <c r="V980" s="5"/>
      <c r="W980" s="5"/>
      <c r="X980" s="5"/>
      <c r="Y980" s="5"/>
      <c r="Z980" s="46"/>
      <c r="AA980" s="1705"/>
      <c r="AB980" s="1706"/>
      <c r="AC980" s="1706"/>
      <c r="AD980" s="1706"/>
      <c r="AE980" s="1706"/>
      <c r="AF980" s="1706"/>
      <c r="AG980" s="170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879</v>
      </c>
      <c r="G981" s="42"/>
      <c r="H981" s="42"/>
      <c r="I981" s="42"/>
      <c r="J981" s="42"/>
      <c r="K981" s="42"/>
      <c r="L981" s="58"/>
      <c r="M981" s="1695" t="s">
        <v>306</v>
      </c>
      <c r="N981" s="1696"/>
      <c r="O981" s="1696"/>
      <c r="P981" s="1696"/>
      <c r="Q981" s="1696"/>
      <c r="R981" s="1696"/>
      <c r="S981" s="1697"/>
      <c r="T981" s="1808"/>
      <c r="U981" s="1809"/>
      <c r="V981" s="1809"/>
      <c r="W981" s="1809"/>
      <c r="X981" s="1809"/>
      <c r="Y981" s="1809"/>
      <c r="Z981" s="1810"/>
      <c r="AA981" s="1705"/>
      <c r="AB981" s="1706"/>
      <c r="AC981" s="1706"/>
      <c r="AD981" s="1706"/>
      <c r="AE981" s="1706"/>
      <c r="AF981" s="1706"/>
      <c r="AG981" s="170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1705"/>
      <c r="N982" s="1706"/>
      <c r="O982" s="1706"/>
      <c r="P982" s="1706"/>
      <c r="Q982" s="1706"/>
      <c r="R982" s="1706"/>
      <c r="S982" s="1707"/>
      <c r="T982" s="1808"/>
      <c r="U982" s="1809"/>
      <c r="V982" s="1809"/>
      <c r="W982" s="1809"/>
      <c r="X982" s="1809"/>
      <c r="Y982" s="1809"/>
      <c r="Z982" s="1810"/>
      <c r="AA982" s="1705"/>
      <c r="AB982" s="1706"/>
      <c r="AC982" s="1706"/>
      <c r="AD982" s="1706"/>
      <c r="AE982" s="1706"/>
      <c r="AF982" s="1706"/>
      <c r="AG982" s="170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387" t="s">
        <v>668</v>
      </c>
      <c r="P983" s="1389"/>
      <c r="Q983" s="92"/>
      <c r="R983" s="92"/>
      <c r="S983" s="93"/>
      <c r="T983" s="41" t="s">
        <v>169</v>
      </c>
      <c r="U983" s="42"/>
      <c r="V983" s="42"/>
      <c r="W983" s="1821" t="s">
        <v>333</v>
      </c>
      <c r="X983" s="1822"/>
      <c r="Y983" s="1822"/>
      <c r="Z983" s="1822"/>
      <c r="AA983" s="1822"/>
      <c r="AB983" s="1822"/>
      <c r="AC983" s="1822"/>
      <c r="AD983" s="1822"/>
      <c r="AE983" s="1822"/>
      <c r="AF983" s="1822"/>
      <c r="AG983" s="1823"/>
      <c r="AU983" s="68"/>
      <c r="AV983" s="95"/>
      <c r="AW983" s="95"/>
      <c r="AX983" s="95"/>
      <c r="AY983" s="95"/>
      <c r="AZ983" s="34"/>
      <c r="BB983" s="34"/>
      <c r="BC983" s="34"/>
      <c r="BD983" s="34"/>
      <c r="BE983" s="34"/>
      <c r="BF983" s="34"/>
      <c r="BG983" s="34"/>
      <c r="BH983" s="34"/>
      <c r="BI983" s="34"/>
      <c r="BJ983" s="34"/>
      <c r="BK983" s="34"/>
      <c r="BL983" s="34"/>
    </row>
    <row r="984" spans="1:64" ht="12.9" customHeight="1">
      <c r="F984" s="1641" t="s">
        <v>33</v>
      </c>
      <c r="G984" s="1496"/>
      <c r="H984" s="1496"/>
      <c r="I984" s="1496"/>
      <c r="J984" s="1496"/>
      <c r="K984" s="1496"/>
      <c r="L984" s="1496"/>
      <c r="M984" s="1705"/>
      <c r="N984" s="1706"/>
      <c r="O984" s="1706"/>
      <c r="P984" s="1706"/>
      <c r="Q984" s="1706"/>
      <c r="R984" s="1706"/>
      <c r="S984" s="1707"/>
      <c r="T984" s="47"/>
      <c r="U984" s="48"/>
      <c r="V984" s="48"/>
      <c r="W984" s="48"/>
      <c r="X984" s="48"/>
      <c r="Y984" s="48"/>
      <c r="Z984" s="124" t="s">
        <v>134</v>
      </c>
      <c r="AA984" s="1788"/>
      <c r="AB984" s="1789"/>
      <c r="AC984" s="1789"/>
      <c r="AD984" s="1789"/>
      <c r="AE984" s="1789"/>
      <c r="AF984" s="1789"/>
      <c r="AG984" s="1790"/>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52"/>
      <c r="BH985" s="1652"/>
      <c r="BI985" s="1652"/>
      <c r="BJ985" s="1652"/>
      <c r="BK985" s="1652"/>
      <c r="BL985" s="1652"/>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547" t="s">
        <v>547</v>
      </c>
      <c r="B988" s="1547"/>
      <c r="C988" s="1547"/>
      <c r="D988" s="1547"/>
      <c r="E988" s="1547"/>
      <c r="F988" s="1547"/>
      <c r="G988" s="1547"/>
      <c r="H988" s="1547"/>
      <c r="I988" s="1547"/>
      <c r="J988" s="1547"/>
      <c r="K988" s="1547"/>
      <c r="L988" s="1547"/>
      <c r="M988" s="1547"/>
      <c r="N988" s="1547"/>
      <c r="O988" s="1547"/>
      <c r="P988" s="1547"/>
      <c r="Q988" s="1547"/>
      <c r="R988" s="1547"/>
      <c r="S988" s="1547"/>
      <c r="T988" s="1547"/>
      <c r="U988" s="1547"/>
      <c r="V988" s="1547"/>
      <c r="W988" s="1547"/>
      <c r="X988" s="1547"/>
      <c r="Y988" s="1547"/>
      <c r="Z988" s="1547"/>
      <c r="AA988" s="1547"/>
      <c r="AB988" s="1547"/>
      <c r="AC988" s="1547"/>
      <c r="AD988" s="1547"/>
      <c r="AE988" s="1547"/>
      <c r="AF988" s="1547"/>
      <c r="AG988" s="1547"/>
      <c r="AH988" s="1547"/>
      <c r="AI988" s="1547"/>
      <c r="AJ988" s="1547"/>
      <c r="AK988" s="1547"/>
      <c r="AL988" s="1547"/>
      <c r="AM988" s="1547"/>
      <c r="AN988" s="1547"/>
      <c r="AO988" s="1547"/>
      <c r="AP988" s="1547"/>
      <c r="AQ988" s="1547"/>
      <c r="AR988" s="1547"/>
      <c r="AS988" s="1547"/>
      <c r="AT988" s="1547"/>
      <c r="AU988" s="68"/>
      <c r="AV988" s="68"/>
      <c r="AW988" s="68"/>
      <c r="AX988" s="68"/>
      <c r="AY988" s="68"/>
      <c r="AZ988" s="14"/>
      <c r="BA988" s="14"/>
      <c r="BB988" s="908"/>
      <c r="BC988" s="908"/>
    </row>
    <row r="989" spans="1:64" ht="12.9" customHeight="1">
      <c r="A989" s="1547"/>
      <c r="B989" s="1547"/>
      <c r="C989" s="1547"/>
      <c r="D989" s="1547"/>
      <c r="E989" s="1547"/>
      <c r="F989" s="1547"/>
      <c r="G989" s="1547"/>
      <c r="H989" s="1547"/>
      <c r="I989" s="1547"/>
      <c r="J989" s="1547"/>
      <c r="K989" s="1547"/>
      <c r="L989" s="1547"/>
      <c r="M989" s="1547"/>
      <c r="N989" s="1547"/>
      <c r="O989" s="1547"/>
      <c r="P989" s="1547"/>
      <c r="Q989" s="1547"/>
      <c r="R989" s="1547"/>
      <c r="S989" s="1547"/>
      <c r="T989" s="1547"/>
      <c r="U989" s="1547"/>
      <c r="V989" s="1547"/>
      <c r="W989" s="1547"/>
      <c r="X989" s="1547"/>
      <c r="Y989" s="1547"/>
      <c r="Z989" s="1547"/>
      <c r="AA989" s="1547"/>
      <c r="AB989" s="1547"/>
      <c r="AC989" s="1547"/>
      <c r="AD989" s="1547"/>
      <c r="AE989" s="1547"/>
      <c r="AF989" s="1547"/>
      <c r="AG989" s="1547"/>
      <c r="AH989" s="1547"/>
      <c r="AI989" s="1547"/>
      <c r="AJ989" s="1547"/>
      <c r="AK989" s="1547"/>
      <c r="AL989" s="1547"/>
      <c r="AM989" s="1547"/>
      <c r="AN989" s="1547"/>
      <c r="AO989" s="1547"/>
      <c r="AP989" s="1547"/>
      <c r="AQ989" s="1547"/>
      <c r="AR989" s="1547"/>
      <c r="AS989" s="1547"/>
      <c r="AT989" s="1547"/>
      <c r="AU989" s="68"/>
      <c r="AV989" s="68"/>
      <c r="AW989" s="68"/>
      <c r="AX989" s="68"/>
      <c r="AY989" s="68"/>
      <c r="AZ989" s="30"/>
      <c r="BA989" s="14"/>
      <c r="BB989" s="14"/>
      <c r="BC989" s="14"/>
    </row>
    <row r="990" spans="1:64" ht="12.9" customHeight="1">
      <c r="A990" s="1547"/>
      <c r="B990" s="1547"/>
      <c r="C990" s="1547"/>
      <c r="D990" s="1547"/>
      <c r="E990" s="1547"/>
      <c r="F990" s="1547"/>
      <c r="G990" s="1547"/>
      <c r="H990" s="1547"/>
      <c r="I990" s="1547"/>
      <c r="J990" s="1547"/>
      <c r="K990" s="1547"/>
      <c r="L990" s="1547"/>
      <c r="M990" s="1547"/>
      <c r="N990" s="1547"/>
      <c r="O990" s="1547"/>
      <c r="P990" s="1547"/>
      <c r="Q990" s="1547"/>
      <c r="R990" s="1547"/>
      <c r="S990" s="1547"/>
      <c r="T990" s="1547"/>
      <c r="U990" s="1547"/>
      <c r="V990" s="1547"/>
      <c r="W990" s="1547"/>
      <c r="X990" s="1547"/>
      <c r="Y990" s="1547"/>
      <c r="Z990" s="1547"/>
      <c r="AA990" s="1547"/>
      <c r="AB990" s="1547"/>
      <c r="AC990" s="1547"/>
      <c r="AD990" s="1547"/>
      <c r="AE990" s="1547"/>
      <c r="AF990" s="1547"/>
      <c r="AG990" s="1547"/>
      <c r="AH990" s="1547"/>
      <c r="AI990" s="1547"/>
      <c r="AJ990" s="1547"/>
      <c r="AK990" s="1547"/>
      <c r="AL990" s="1547"/>
      <c r="AM990" s="1547"/>
      <c r="AN990" s="1547"/>
      <c r="AO990" s="1547"/>
      <c r="AP990" s="1547"/>
      <c r="AQ990" s="1547"/>
      <c r="AR990" s="1547"/>
      <c r="AS990" s="1547"/>
      <c r="AT990" s="1547"/>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817" t="s">
        <v>637</v>
      </c>
      <c r="E994" s="1818"/>
      <c r="F994" s="1818"/>
      <c r="G994" s="1818"/>
      <c r="H994" s="1818"/>
      <c r="I994" s="1818"/>
      <c r="J994" s="1818"/>
      <c r="K994" s="1818"/>
      <c r="L994" s="1818"/>
      <c r="M994" s="1818"/>
      <c r="N994" s="1818"/>
      <c r="O994" s="1818"/>
      <c r="P994" s="1818"/>
      <c r="Q994" s="1819"/>
      <c r="R994" s="1817" t="s">
        <v>638</v>
      </c>
      <c r="S994" s="1818"/>
      <c r="T994" s="1818"/>
      <c r="U994" s="1818"/>
      <c r="V994" s="1818"/>
      <c r="W994" s="1818"/>
      <c r="X994" s="1818"/>
      <c r="Y994" s="1818"/>
      <c r="Z994" s="1818"/>
      <c r="AA994" s="1819"/>
      <c r="AB994" s="1817" t="s">
        <v>639</v>
      </c>
      <c r="AC994" s="1818"/>
      <c r="AD994" s="1818"/>
      <c r="AE994" s="1818"/>
      <c r="AF994" s="1818"/>
      <c r="AG994" s="1818"/>
      <c r="AH994" s="1818"/>
      <c r="AI994" s="1819"/>
      <c r="AJ994" s="1817" t="s">
        <v>640</v>
      </c>
      <c r="AK994" s="1818"/>
      <c r="AL994" s="1818"/>
      <c r="AM994" s="1818"/>
      <c r="AN994" s="1818"/>
      <c r="AO994" s="1818"/>
      <c r="AP994" s="1818"/>
      <c r="AQ994" s="1819"/>
      <c r="AR994" s="68"/>
      <c r="AS994" s="68"/>
      <c r="AT994" s="68"/>
      <c r="AU994" s="68"/>
      <c r="AV994" s="68"/>
      <c r="AW994" s="68"/>
      <c r="AX994" s="68"/>
      <c r="AY994" s="68"/>
      <c r="AZ994" s="30"/>
      <c r="BB994" s="14"/>
      <c r="BC994" s="14"/>
    </row>
    <row r="995" spans="1:55" ht="12.9" customHeight="1">
      <c r="A995" s="14"/>
      <c r="B995" s="73"/>
      <c r="C995" s="925"/>
      <c r="D995" s="1676" t="s">
        <v>632</v>
      </c>
      <c r="E995" s="1677"/>
      <c r="F995" s="1677"/>
      <c r="G995" s="1677"/>
      <c r="H995" s="1677"/>
      <c r="I995" s="1677"/>
      <c r="J995" s="1677"/>
      <c r="K995" s="1677"/>
      <c r="L995" s="1677"/>
      <c r="M995" s="1677"/>
      <c r="N995" s="1677"/>
      <c r="O995" s="1677"/>
      <c r="P995" s="1677"/>
      <c r="Q995" s="1678"/>
      <c r="R995" s="1745">
        <f>IF(ISNA(IF($CU$122="4%",(INDEX($CS$160:$CW$217,MATCH($DG$122,$CR$160:$CR$217,0),MATCH(D995,$CS$159:$CW$159,0))),(INDEX($CZ$160:$DD$217,MATCH($DG$122,$CY$160:$CY$217,0),MATCH(D995,$CZ$159:$DD$159,0))))),0,IF($CU$122="4%",(INDEX($CS$160:$CW$217,MATCH($DG$122,$CR$160:$CR$217,0),MATCH(D995,$CS$159:$CW$159,0))),(INDEX($CZ$160:$DD$217,MATCH($DG$122,$CY$160:$CY$217,0),MATCH(D995,$CZ$159:$DD$159,0)))))</f>
        <v>532060</v>
      </c>
      <c r="S995" s="1745"/>
      <c r="T995" s="1745"/>
      <c r="U995" s="1745"/>
      <c r="V995" s="1745"/>
      <c r="W995" s="1745"/>
      <c r="X995" s="1745"/>
      <c r="Y995" s="1745"/>
      <c r="Z995" s="1745"/>
      <c r="AA995" s="1745"/>
      <c r="AB995" s="1742">
        <f>CP810</f>
        <v>65</v>
      </c>
      <c r="AC995" s="1743"/>
      <c r="AD995" s="1743"/>
      <c r="AE995" s="1743"/>
      <c r="AF995" s="1743"/>
      <c r="AG995" s="1743"/>
      <c r="AH995" s="1743"/>
      <c r="AI995" s="1744"/>
      <c r="AJ995" s="1708">
        <f>IF(ISERROR((R995*AB995)),0,(R995*AB995))</f>
        <v>34583900</v>
      </c>
      <c r="AK995" s="1709"/>
      <c r="AL995" s="1709"/>
      <c r="AM995" s="1709"/>
      <c r="AN995" s="1709"/>
      <c r="AO995" s="1709"/>
      <c r="AP995" s="1709"/>
      <c r="AQ995" s="1710"/>
      <c r="AR995" s="68"/>
      <c r="AS995" s="68"/>
      <c r="AT995" s="68"/>
      <c r="AU995" s="68"/>
      <c r="AV995" s="68"/>
      <c r="AW995" s="68"/>
      <c r="AX995" s="68"/>
      <c r="AY995" s="68"/>
      <c r="AZ995" s="30"/>
      <c r="BB995" s="14"/>
      <c r="BC995" s="14"/>
    </row>
    <row r="996" spans="1:55" ht="12.9" customHeight="1">
      <c r="A996" s="14"/>
      <c r="B996" s="73"/>
      <c r="C996" s="83"/>
      <c r="D996" s="1676" t="s">
        <v>324</v>
      </c>
      <c r="E996" s="1677"/>
      <c r="F996" s="1677"/>
      <c r="G996" s="1677"/>
      <c r="H996" s="1677"/>
      <c r="I996" s="1677"/>
      <c r="J996" s="1677"/>
      <c r="K996" s="1677"/>
      <c r="L996" s="1677"/>
      <c r="M996" s="1677"/>
      <c r="N996" s="1677"/>
      <c r="O996" s="1677"/>
      <c r="P996" s="1677"/>
      <c r="Q996" s="1678"/>
      <c r="R996" s="1745">
        <f>IF(ISNA(IF($CU$122="4%",(INDEX($CS$160:$CW$217,MATCH($DG$122,$CR$160:$CR$217,0),MATCH(D996,$CS$159:$CW$159,0))),(INDEX($CZ$160:$DD$217,MATCH($DG$122,$CY$160:$CY$217,0),MATCH(D996,$CZ$159:$DD$159,0))))),0,IF($CU$122="4%",(INDEX($CS$160:$CW$217,MATCH($DG$122,$CR$160:$CR$217,0),MATCH(D996,$CS$159:$CW$159,0))),(INDEX($CZ$160:$DD$217,MATCH($DG$122,$CY$160:$CY$217,0),MATCH(D996,$CZ$159:$DD$159,0)))))</f>
        <v>613460</v>
      </c>
      <c r="S996" s="1745"/>
      <c r="T996" s="1745"/>
      <c r="U996" s="1745"/>
      <c r="V996" s="1745"/>
      <c r="W996" s="1745"/>
      <c r="X996" s="1745"/>
      <c r="Y996" s="1745"/>
      <c r="Z996" s="1745"/>
      <c r="AA996" s="1745"/>
      <c r="AB996" s="1742">
        <f>CU810</f>
        <v>48</v>
      </c>
      <c r="AC996" s="1743"/>
      <c r="AD996" s="1743"/>
      <c r="AE996" s="1743"/>
      <c r="AF996" s="1743"/>
      <c r="AG996" s="1743"/>
      <c r="AH996" s="1743"/>
      <c r="AI996" s="1744"/>
      <c r="AJ996" s="1708">
        <f>IF(ISERROR((R996*AB996)),0,(R996*AB996))</f>
        <v>29446080</v>
      </c>
      <c r="AK996" s="1709"/>
      <c r="AL996" s="1709"/>
      <c r="AM996" s="1709"/>
      <c r="AN996" s="1709"/>
      <c r="AO996" s="1709"/>
      <c r="AP996" s="1709"/>
      <c r="AQ996" s="1710"/>
      <c r="AR996" s="68"/>
      <c r="AS996" s="68"/>
      <c r="AT996" s="68"/>
      <c r="AU996" s="68"/>
      <c r="AV996" s="68"/>
      <c r="AW996" s="68"/>
      <c r="AX996" s="68"/>
      <c r="AY996" s="68"/>
      <c r="AZ996" s="30"/>
      <c r="BB996" s="14"/>
      <c r="BC996" s="14"/>
    </row>
    <row r="997" spans="1:55" ht="12.9" customHeight="1">
      <c r="A997" s="14"/>
      <c r="B997" s="73"/>
      <c r="C997" s="83"/>
      <c r="D997" s="1676" t="s">
        <v>163</v>
      </c>
      <c r="E997" s="1677"/>
      <c r="F997" s="1677"/>
      <c r="G997" s="1677"/>
      <c r="H997" s="1677"/>
      <c r="I997" s="1677"/>
      <c r="J997" s="1677"/>
      <c r="K997" s="1677"/>
      <c r="L997" s="1677"/>
      <c r="M997" s="1677"/>
      <c r="N997" s="1677"/>
      <c r="O997" s="1677"/>
      <c r="P997" s="1677"/>
      <c r="Q997" s="1678"/>
      <c r="R997" s="1745">
        <f>IF(ISNA(IF($CU$122="4%",(INDEX($CS$160:$CW$217,MATCH($DG$122,$CR$160:$CR$217,0),MATCH(D997,$CS$159:$CW$159,0))),(INDEX($CZ$160:$DD$217,MATCH($DG$122,$CY$160:$CY$217,0),MATCH(D997,$CZ$159:$DD$159,0))))),0,IF($CU$122="4%",(INDEX($CS$160:$CW$217,MATCH($DG$122,$CR$160:$CR$217,0),MATCH(D997,$CS$159:$CW$159,0))),(INDEX($CZ$160:$DD$217,MATCH($DG$122,$CY$160:$CY$217,0),MATCH(D997,$CZ$159:$DD$159,0)))))</f>
        <v>740000</v>
      </c>
      <c r="S997" s="1745"/>
      <c r="T997" s="1745"/>
      <c r="U997" s="1745"/>
      <c r="V997" s="1745"/>
      <c r="W997" s="1745"/>
      <c r="X997" s="1745"/>
      <c r="Y997" s="1745"/>
      <c r="Z997" s="1745"/>
      <c r="AA997" s="1745"/>
      <c r="AB997" s="1742">
        <f>CZ810</f>
        <v>61</v>
      </c>
      <c r="AC997" s="1743"/>
      <c r="AD997" s="1743"/>
      <c r="AE997" s="1743"/>
      <c r="AF997" s="1743"/>
      <c r="AG997" s="1743"/>
      <c r="AH997" s="1743"/>
      <c r="AI997" s="1744"/>
      <c r="AJ997" s="1708">
        <f>IF(ISERROR((R997*AB997)),0,(R997*AB997))</f>
        <v>45140000</v>
      </c>
      <c r="AK997" s="1709"/>
      <c r="AL997" s="1709"/>
      <c r="AM997" s="1709"/>
      <c r="AN997" s="1709"/>
      <c r="AO997" s="1709"/>
      <c r="AP997" s="1709"/>
      <c r="AQ997" s="1710"/>
      <c r="AR997" s="68"/>
      <c r="AS997" s="68"/>
      <c r="AT997" s="68"/>
      <c r="AU997" s="68"/>
      <c r="AV997" s="68"/>
      <c r="AW997" s="68"/>
      <c r="AX997" s="68"/>
      <c r="AY997" s="68"/>
      <c r="AZ997" s="30"/>
      <c r="BB997" s="14"/>
      <c r="BC997" s="14"/>
    </row>
    <row r="998" spans="1:55" ht="12.9" customHeight="1">
      <c r="A998" s="14"/>
      <c r="B998" s="73"/>
      <c r="C998" s="83"/>
      <c r="D998" s="1676" t="s">
        <v>164</v>
      </c>
      <c r="E998" s="1677"/>
      <c r="F998" s="1677"/>
      <c r="G998" s="1677"/>
      <c r="H998" s="1677"/>
      <c r="I998" s="1677"/>
      <c r="J998" s="1677"/>
      <c r="K998" s="1677"/>
      <c r="L998" s="1677"/>
      <c r="M998" s="1677"/>
      <c r="N998" s="1677"/>
      <c r="O998" s="1677"/>
      <c r="P998" s="1677"/>
      <c r="Q998" s="1678"/>
      <c r="R998" s="1745">
        <f>IF(ISNA(IF($CU$122="4%",(INDEX($CS$160:$CW$217,MATCH($DG$122,$CR$160:$CR$217,0),MATCH(D998,$CS$159:$CW$159,0))),(INDEX($CZ$160:$DD$217,MATCH($DG$122,$CY$160:$CY$217,0),MATCH(D998,$CZ$159:$DD$159,0))))),0,IF($CU$122="4%",(INDEX($CS$160:$CW$217,MATCH($DG$122,$CR$160:$CR$217,0),MATCH(D998,$CS$159:$CW$159,0))),(INDEX($CZ$160:$DD$217,MATCH($DG$122,$CY$160:$CY$217,0),MATCH(D998,$CZ$159:$DD$159,0)))))</f>
        <v>947200</v>
      </c>
      <c r="S998" s="1745"/>
      <c r="T998" s="1745"/>
      <c r="U998" s="1745"/>
      <c r="V998" s="1745"/>
      <c r="W998" s="1745"/>
      <c r="X998" s="1745"/>
      <c r="Y998" s="1745"/>
      <c r="Z998" s="1745"/>
      <c r="AA998" s="1745"/>
      <c r="AB998" s="1742">
        <f>DE810</f>
        <v>60</v>
      </c>
      <c r="AC998" s="1743"/>
      <c r="AD998" s="1743"/>
      <c r="AE998" s="1743"/>
      <c r="AF998" s="1743"/>
      <c r="AG998" s="1743"/>
      <c r="AH998" s="1743"/>
      <c r="AI998" s="1744"/>
      <c r="AJ998" s="1708">
        <f>IF(ISERROR((R998*AB998)),0,(R998*AB998))</f>
        <v>56832000</v>
      </c>
      <c r="AK998" s="1709"/>
      <c r="AL998" s="1709"/>
      <c r="AM998" s="1709"/>
      <c r="AN998" s="1709"/>
      <c r="AO998" s="1709"/>
      <c r="AP998" s="1709"/>
      <c r="AQ998" s="1710"/>
      <c r="AR998" s="68"/>
      <c r="AS998" s="68"/>
      <c r="AT998" s="68"/>
      <c r="AU998" s="68"/>
      <c r="AV998" s="68"/>
      <c r="AW998" s="68"/>
      <c r="AX998" s="68"/>
      <c r="AY998" s="68"/>
      <c r="AZ998" s="30"/>
      <c r="BA998" s="34"/>
      <c r="BB998" s="14"/>
      <c r="BC998" s="14"/>
    </row>
    <row r="999" spans="1:55" ht="12.9" customHeight="1">
      <c r="A999" s="14"/>
      <c r="B999" s="47"/>
      <c r="C999" s="78"/>
      <c r="D999" s="1676" t="s">
        <v>459</v>
      </c>
      <c r="E999" s="1677"/>
      <c r="F999" s="1677"/>
      <c r="G999" s="1677"/>
      <c r="H999" s="1677"/>
      <c r="I999" s="1677"/>
      <c r="J999" s="1677"/>
      <c r="K999" s="1677"/>
      <c r="L999" s="1677"/>
      <c r="M999" s="1677"/>
      <c r="N999" s="1677"/>
      <c r="O999" s="1677"/>
      <c r="P999" s="1677"/>
      <c r="Q999" s="1678"/>
      <c r="R999" s="1745">
        <f>IF(ISNA(IF($CU$122="4%",(INDEX($CS$160:$CW$217,MATCH($DG$122,$CR$160:$CR$217,0),MATCH(D999,$CS$159:$CW$159,0))),(INDEX($CZ$160:$DD$217,MATCH($DG$122,$CY$160:$CY$217,0),MATCH(D999,$CZ$159:$DD$159,0))))),0,IF($CU$122="4%",(INDEX($CS$160:$CW$217,MATCH($DG$122,$CR$160:$CR$217,0),MATCH(D999,$CS$159:$CW$159,0))),(INDEX($CZ$160:$DD$217,MATCH($DG$122,$CY$160:$CY$217,0),MATCH(D999,$CZ$159:$DD$159,0)))))</f>
        <v>1055240</v>
      </c>
      <c r="S999" s="1745"/>
      <c r="T999" s="1745"/>
      <c r="U999" s="1745"/>
      <c r="V999" s="1745"/>
      <c r="W999" s="1745"/>
      <c r="X999" s="1745"/>
      <c r="Y999" s="1745"/>
      <c r="Z999" s="1745"/>
      <c r="AA999" s="1745"/>
      <c r="AB999" s="1742">
        <f>DO810+DJ810</f>
        <v>0</v>
      </c>
      <c r="AC999" s="1743"/>
      <c r="AD999" s="1743"/>
      <c r="AE999" s="1743"/>
      <c r="AF999" s="1743"/>
      <c r="AG999" s="1743"/>
      <c r="AH999" s="1743"/>
      <c r="AI999" s="1744"/>
      <c r="AJ999" s="1708">
        <f>IF(ISERROR((R999*AB999)),0,(R999*AB999))</f>
        <v>0</v>
      </c>
      <c r="AK999" s="1709"/>
      <c r="AL999" s="1709"/>
      <c r="AM999" s="1709"/>
      <c r="AN999" s="1709"/>
      <c r="AO999" s="1709"/>
      <c r="AP999" s="1709"/>
      <c r="AQ999" s="1710"/>
      <c r="AR999" s="68"/>
      <c r="AS999" s="68"/>
      <c r="AT999" s="68"/>
      <c r="AU999" s="68"/>
      <c r="AV999" s="68"/>
      <c r="AW999" s="68"/>
      <c r="AX999" s="68"/>
      <c r="AY999" s="68"/>
      <c r="AZ999" s="30"/>
      <c r="BB999" s="14"/>
      <c r="BC999" s="14"/>
    </row>
    <row r="1000" spans="1:55" ht="12.9" customHeight="1">
      <c r="A1000" s="14"/>
      <c r="B1000" s="1780" t="s">
        <v>790</v>
      </c>
      <c r="C1000" s="1781"/>
      <c r="D1000" s="1781"/>
      <c r="E1000" s="1781"/>
      <c r="F1000" s="1781"/>
      <c r="G1000" s="1781"/>
      <c r="H1000" s="1781"/>
      <c r="I1000" s="1781"/>
      <c r="J1000" s="1781"/>
      <c r="K1000" s="1781"/>
      <c r="L1000" s="1781"/>
      <c r="M1000" s="1781"/>
      <c r="N1000" s="1781"/>
      <c r="O1000" s="1781"/>
      <c r="P1000" s="1781"/>
      <c r="Q1000" s="1781"/>
      <c r="R1000" s="1781"/>
      <c r="S1000" s="1781"/>
      <c r="T1000" s="1781"/>
      <c r="U1000" s="1781"/>
      <c r="V1000" s="1781"/>
      <c r="W1000" s="1781"/>
      <c r="X1000" s="1781"/>
      <c r="Y1000" s="1781"/>
      <c r="Z1000" s="1781"/>
      <c r="AA1000" s="1782"/>
      <c r="AB1000" s="1742">
        <f>SUM(AB995:AI999)</f>
        <v>234</v>
      </c>
      <c r="AC1000" s="1743"/>
      <c r="AD1000" s="1743"/>
      <c r="AE1000" s="1743"/>
      <c r="AF1000" s="1743"/>
      <c r="AG1000" s="1743"/>
      <c r="AH1000" s="1743"/>
      <c r="AI1000" s="1744"/>
      <c r="AJ1000" s="1708"/>
      <c r="AK1000" s="1709"/>
      <c r="AL1000" s="1709"/>
      <c r="AM1000" s="1709"/>
      <c r="AN1000" s="1709"/>
      <c r="AO1000" s="1709"/>
      <c r="AP1000" s="1709"/>
      <c r="AQ1000" s="1710"/>
      <c r="AR1000" s="68"/>
      <c r="AS1000" s="68"/>
      <c r="AT1000" s="68"/>
      <c r="AU1000" s="68"/>
      <c r="AV1000" s="68"/>
      <c r="AW1000" s="68"/>
      <c r="AX1000" s="68"/>
      <c r="AY1000" s="68"/>
      <c r="AZ1000" s="34"/>
      <c r="BA1000" s="34"/>
      <c r="BB1000" s="14"/>
      <c r="BC1000" s="14"/>
    </row>
    <row r="1001" spans="1:55" ht="12.9" customHeight="1">
      <c r="A1001" s="14"/>
      <c r="B1001" s="1767" t="s">
        <v>511</v>
      </c>
      <c r="C1001" s="1768"/>
      <c r="D1001" s="1768"/>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8"/>
      <c r="AF1001" s="1768"/>
      <c r="AG1001" s="1768"/>
      <c r="AH1001" s="1768"/>
      <c r="AI1001" s="1769"/>
      <c r="AJ1001" s="1708">
        <f>SUM(AJ995:AQ999)</f>
        <v>166001980</v>
      </c>
      <c r="AK1001" s="1709"/>
      <c r="AL1001" s="1709"/>
      <c r="AM1001" s="1709"/>
      <c r="AN1001" s="1709"/>
      <c r="AO1001" s="1709"/>
      <c r="AP1001" s="1709"/>
      <c r="AQ1001" s="1710"/>
      <c r="AR1001" s="68"/>
      <c r="AS1001" s="68"/>
      <c r="AT1001" s="68"/>
      <c r="AU1001" s="68"/>
      <c r="AV1001" s="68"/>
      <c r="AW1001" s="68"/>
      <c r="AX1001" s="68"/>
      <c r="AY1001" s="68"/>
      <c r="AZ1001" s="34"/>
      <c r="BB1001" s="34"/>
      <c r="BC1001" s="34"/>
    </row>
    <row r="1002" spans="1:55" ht="12.9" customHeight="1">
      <c r="A1002" s="14"/>
      <c r="B1002" s="1764"/>
      <c r="C1002" s="1765"/>
      <c r="D1002" s="1765"/>
      <c r="E1002" s="1765"/>
      <c r="F1002" s="1765"/>
      <c r="G1002" s="1765"/>
      <c r="H1002" s="1765"/>
      <c r="I1002" s="1765"/>
      <c r="J1002" s="1765"/>
      <c r="K1002" s="1765"/>
      <c r="L1002" s="1765"/>
      <c r="M1002" s="1765"/>
      <c r="N1002" s="1765"/>
      <c r="O1002" s="1765"/>
      <c r="P1002" s="1765"/>
      <c r="Q1002" s="1765"/>
      <c r="R1002" s="1765"/>
      <c r="S1002" s="1765"/>
      <c r="T1002" s="1765"/>
      <c r="U1002" s="1765"/>
      <c r="V1002" s="1765"/>
      <c r="W1002" s="1765"/>
      <c r="X1002" s="1765"/>
      <c r="Y1002" s="1765"/>
      <c r="Z1002" s="1765"/>
      <c r="AA1002" s="1765"/>
      <c r="AB1002" s="1765"/>
      <c r="AC1002" s="1765"/>
      <c r="AD1002" s="1765"/>
      <c r="AE1002" s="1766"/>
      <c r="AF1002" s="1791" t="s">
        <v>665</v>
      </c>
      <c r="AG1002" s="1792"/>
      <c r="AH1002" s="1792"/>
      <c r="AI1002" s="1793"/>
      <c r="AJ1002" s="1764"/>
      <c r="AK1002" s="1765"/>
      <c r="AL1002" s="1765"/>
      <c r="AM1002" s="1765"/>
      <c r="AN1002" s="1765"/>
      <c r="AO1002" s="1765"/>
      <c r="AP1002" s="1765"/>
      <c r="AQ1002" s="1766"/>
      <c r="AR1002" s="68"/>
      <c r="AS1002" s="68"/>
      <c r="AT1002" s="68"/>
      <c r="AU1002" s="68"/>
      <c r="AV1002" s="68"/>
      <c r="AW1002" s="68"/>
      <c r="AX1002" s="68"/>
      <c r="AY1002" s="68"/>
      <c r="AZ1002" s="34"/>
      <c r="BA1002" s="34"/>
      <c r="BB1002" s="34"/>
      <c r="BC1002" s="34"/>
    </row>
    <row r="1003" spans="1:55" ht="12.9" customHeight="1">
      <c r="A1003" s="14"/>
      <c r="B1003" s="73"/>
      <c r="C1003" s="923" t="s">
        <v>667</v>
      </c>
      <c r="D1003" s="1777" t="s">
        <v>1219</v>
      </c>
      <c r="E1003" s="1778"/>
      <c r="F1003" s="1778"/>
      <c r="G1003" s="1778"/>
      <c r="H1003" s="1778"/>
      <c r="I1003" s="1778"/>
      <c r="J1003" s="1778"/>
      <c r="K1003" s="1778"/>
      <c r="L1003" s="1778"/>
      <c r="M1003" s="1778"/>
      <c r="N1003" s="1778"/>
      <c r="O1003" s="1778"/>
      <c r="P1003" s="1778"/>
      <c r="Q1003" s="1778"/>
      <c r="R1003" s="1778"/>
      <c r="S1003" s="1778"/>
      <c r="T1003" s="1778"/>
      <c r="U1003" s="1778"/>
      <c r="V1003" s="1778"/>
      <c r="W1003" s="1778"/>
      <c r="X1003" s="1778"/>
      <c r="Y1003" s="1778"/>
      <c r="Z1003" s="1778"/>
      <c r="AA1003" s="1778"/>
      <c r="AB1003" s="1778"/>
      <c r="AC1003" s="1778"/>
      <c r="AD1003" s="1778"/>
      <c r="AE1003" s="1779"/>
      <c r="AF1003" s="79"/>
      <c r="AG1003" s="1794" t="s">
        <v>544</v>
      </c>
      <c r="AH1003" s="1795"/>
      <c r="AI1003" s="87"/>
      <c r="AJ1003" s="1749">
        <f>ROUND(IF(AND(AG1003="yes",D1009&gt;0),AJ1001*0.2,0),0)</f>
        <v>33200396</v>
      </c>
      <c r="AK1003" s="1750"/>
      <c r="AL1003" s="1750"/>
      <c r="AM1003" s="1750"/>
      <c r="AN1003" s="1750"/>
      <c r="AO1003" s="1750"/>
      <c r="AP1003" s="1750"/>
      <c r="AQ1003" s="1751"/>
      <c r="AR1003" s="68"/>
      <c r="AS1003" s="68"/>
      <c r="AT1003" s="68"/>
      <c r="AU1003" s="68"/>
      <c r="AV1003" s="68"/>
      <c r="AW1003" s="68"/>
      <c r="AX1003" s="68"/>
      <c r="AY1003" s="68"/>
      <c r="AZ1003" s="34"/>
      <c r="BA1003" s="34"/>
      <c r="BB1003" s="34"/>
      <c r="BC1003" s="34"/>
    </row>
    <row r="1004" spans="1:55" ht="12.9" customHeight="1">
      <c r="A1004" s="14"/>
      <c r="B1004" s="257"/>
      <c r="C1004" s="256"/>
      <c r="D1004" s="1805" t="s">
        <v>2189</v>
      </c>
      <c r="E1004" s="1806"/>
      <c r="F1004" s="1806"/>
      <c r="G1004" s="1806"/>
      <c r="H1004" s="1806"/>
      <c r="I1004" s="1806"/>
      <c r="J1004" s="1806"/>
      <c r="K1004" s="1806"/>
      <c r="L1004" s="1806"/>
      <c r="M1004" s="1806"/>
      <c r="N1004" s="1806"/>
      <c r="O1004" s="1806"/>
      <c r="P1004" s="1806"/>
      <c r="Q1004" s="1806"/>
      <c r="R1004" s="1806"/>
      <c r="S1004" s="1806"/>
      <c r="T1004" s="1806"/>
      <c r="U1004" s="1806"/>
      <c r="V1004" s="1806"/>
      <c r="W1004" s="1806"/>
      <c r="X1004" s="1806"/>
      <c r="Y1004" s="1806"/>
      <c r="Z1004" s="1806"/>
      <c r="AA1004" s="1806"/>
      <c r="AB1004" s="1806"/>
      <c r="AC1004" s="1806"/>
      <c r="AD1004" s="1806"/>
      <c r="AE1004" s="1807"/>
      <c r="AF1004" s="73"/>
      <c r="AG1004" s="14"/>
      <c r="AH1004" s="14"/>
      <c r="AI1004" s="83"/>
      <c r="AJ1004" s="1752"/>
      <c r="AK1004" s="1753"/>
      <c r="AL1004" s="1753"/>
      <c r="AM1004" s="1753"/>
      <c r="AN1004" s="1753"/>
      <c r="AO1004" s="1753"/>
      <c r="AP1004" s="1753"/>
      <c r="AQ1004" s="1754"/>
      <c r="AR1004" s="68"/>
      <c r="AS1004" s="68"/>
      <c r="AT1004" s="68"/>
      <c r="AU1004" s="68"/>
      <c r="AV1004" s="68"/>
      <c r="AW1004" s="68"/>
      <c r="AX1004" s="68"/>
      <c r="AY1004" s="68"/>
      <c r="AZ1004" s="34"/>
      <c r="BA1004" s="34"/>
      <c r="BB1004" s="34"/>
      <c r="BC1004" s="34"/>
    </row>
    <row r="1005" spans="1:55" ht="12.9" customHeight="1">
      <c r="A1005" s="14"/>
      <c r="B1005" s="257"/>
      <c r="C1005" s="256"/>
      <c r="D1005" s="1805"/>
      <c r="E1005" s="1806"/>
      <c r="F1005" s="1806"/>
      <c r="G1005" s="1806"/>
      <c r="H1005" s="1806"/>
      <c r="I1005" s="1806"/>
      <c r="J1005" s="1806"/>
      <c r="K1005" s="1806"/>
      <c r="L1005" s="1806"/>
      <c r="M1005" s="1806"/>
      <c r="N1005" s="1806"/>
      <c r="O1005" s="1806"/>
      <c r="P1005" s="1806"/>
      <c r="Q1005" s="1806"/>
      <c r="R1005" s="1806"/>
      <c r="S1005" s="1806"/>
      <c r="T1005" s="1806"/>
      <c r="U1005" s="1806"/>
      <c r="V1005" s="1806"/>
      <c r="W1005" s="1806"/>
      <c r="X1005" s="1806"/>
      <c r="Y1005" s="1806"/>
      <c r="Z1005" s="1806"/>
      <c r="AA1005" s="1806"/>
      <c r="AB1005" s="1806"/>
      <c r="AC1005" s="1806"/>
      <c r="AD1005" s="1806"/>
      <c r="AE1005" s="1807"/>
      <c r="AF1005" s="73"/>
      <c r="AG1005" s="14"/>
      <c r="AH1005" s="14"/>
      <c r="AI1005" s="83"/>
      <c r="AJ1005" s="1752"/>
      <c r="AK1005" s="1753"/>
      <c r="AL1005" s="1753"/>
      <c r="AM1005" s="1753"/>
      <c r="AN1005" s="1753"/>
      <c r="AO1005" s="1753"/>
      <c r="AP1005" s="1753"/>
      <c r="AQ1005" s="1754"/>
      <c r="AR1005" s="68"/>
      <c r="AS1005" s="68"/>
      <c r="AT1005" s="68"/>
      <c r="AU1005" s="68"/>
      <c r="AV1005" s="68"/>
      <c r="AW1005" s="68"/>
      <c r="AX1005" s="68"/>
      <c r="AY1005" s="68"/>
      <c r="AZ1005" s="34"/>
      <c r="BA1005" s="34"/>
      <c r="BB1005" s="34"/>
      <c r="BC1005" s="34"/>
    </row>
    <row r="1006" spans="1:55" ht="12.9" customHeight="1">
      <c r="A1006" s="14"/>
      <c r="B1006" s="257"/>
      <c r="C1006" s="256"/>
      <c r="D1006" s="1805"/>
      <c r="E1006" s="1806"/>
      <c r="F1006" s="1806"/>
      <c r="G1006" s="1806"/>
      <c r="H1006" s="1806"/>
      <c r="I1006" s="1806"/>
      <c r="J1006" s="1806"/>
      <c r="K1006" s="1806"/>
      <c r="L1006" s="1806"/>
      <c r="M1006" s="1806"/>
      <c r="N1006" s="1806"/>
      <c r="O1006" s="1806"/>
      <c r="P1006" s="1806"/>
      <c r="Q1006" s="1806"/>
      <c r="R1006" s="1806"/>
      <c r="S1006" s="1806"/>
      <c r="T1006" s="1806"/>
      <c r="U1006" s="1806"/>
      <c r="V1006" s="1806"/>
      <c r="W1006" s="1806"/>
      <c r="X1006" s="1806"/>
      <c r="Y1006" s="1806"/>
      <c r="Z1006" s="1806"/>
      <c r="AA1006" s="1806"/>
      <c r="AB1006" s="1806"/>
      <c r="AC1006" s="1806"/>
      <c r="AD1006" s="1806"/>
      <c r="AE1006" s="1807"/>
      <c r="AF1006" s="73"/>
      <c r="AG1006" s="14"/>
      <c r="AH1006" s="14"/>
      <c r="AI1006" s="83"/>
      <c r="AJ1006" s="1752"/>
      <c r="AK1006" s="1753"/>
      <c r="AL1006" s="1753"/>
      <c r="AM1006" s="1753"/>
      <c r="AN1006" s="1753"/>
      <c r="AO1006" s="1753"/>
      <c r="AP1006" s="1753"/>
      <c r="AQ1006" s="1754"/>
      <c r="AR1006" s="68"/>
      <c r="AS1006" s="68"/>
      <c r="AT1006" s="68"/>
      <c r="AU1006" s="68"/>
      <c r="AV1006" s="68"/>
      <c r="AW1006" s="68"/>
      <c r="AX1006" s="68"/>
      <c r="AY1006" s="68"/>
      <c r="AZ1006" s="34"/>
      <c r="BA1006" s="34"/>
      <c r="BB1006" s="34"/>
      <c r="BC1006" s="34"/>
    </row>
    <row r="1007" spans="1:55" ht="12.9" customHeight="1">
      <c r="A1007" s="14"/>
      <c r="B1007" s="257"/>
      <c r="C1007" s="256"/>
      <c r="D1007" s="1805"/>
      <c r="E1007" s="1806"/>
      <c r="F1007" s="1806"/>
      <c r="G1007" s="1806"/>
      <c r="H1007" s="1806"/>
      <c r="I1007" s="1806"/>
      <c r="J1007" s="1806"/>
      <c r="K1007" s="1806"/>
      <c r="L1007" s="1806"/>
      <c r="M1007" s="1806"/>
      <c r="N1007" s="1806"/>
      <c r="O1007" s="1806"/>
      <c r="P1007" s="1806"/>
      <c r="Q1007" s="1806"/>
      <c r="R1007" s="1806"/>
      <c r="S1007" s="1806"/>
      <c r="T1007" s="1806"/>
      <c r="U1007" s="1806"/>
      <c r="V1007" s="1806"/>
      <c r="W1007" s="1806"/>
      <c r="X1007" s="1806"/>
      <c r="Y1007" s="1806"/>
      <c r="Z1007" s="1806"/>
      <c r="AA1007" s="1806"/>
      <c r="AB1007" s="1806"/>
      <c r="AC1007" s="1806"/>
      <c r="AD1007" s="1806"/>
      <c r="AE1007" s="1807"/>
      <c r="AF1007" s="73"/>
      <c r="AG1007" s="14"/>
      <c r="AH1007" s="14"/>
      <c r="AI1007" s="83"/>
      <c r="AJ1007" s="1752"/>
      <c r="AK1007" s="1753"/>
      <c r="AL1007" s="1753"/>
      <c r="AM1007" s="1753"/>
      <c r="AN1007" s="1753"/>
      <c r="AO1007" s="1753"/>
      <c r="AP1007" s="1753"/>
      <c r="AQ1007" s="1754"/>
      <c r="AR1007" s="68"/>
      <c r="AS1007" s="68"/>
      <c r="AT1007" s="68"/>
      <c r="AU1007" s="68"/>
      <c r="AV1007" s="68"/>
      <c r="AW1007" s="68"/>
      <c r="AX1007" s="68"/>
      <c r="AY1007" s="68"/>
      <c r="AZ1007" s="34"/>
      <c r="BA1007" s="34"/>
      <c r="BB1007" s="34"/>
      <c r="BC1007" s="34"/>
    </row>
    <row r="1008" spans="1:55" ht="12.9" customHeight="1">
      <c r="A1008" s="14"/>
      <c r="B1008" s="257"/>
      <c r="C1008" s="256"/>
      <c r="D1008" s="1746" t="s">
        <v>2160</v>
      </c>
      <c r="E1008" s="1747"/>
      <c r="F1008" s="1747"/>
      <c r="G1008" s="1747"/>
      <c r="H1008" s="1747"/>
      <c r="I1008" s="1747"/>
      <c r="J1008" s="1747"/>
      <c r="K1008" s="1747"/>
      <c r="L1008" s="1747"/>
      <c r="M1008" s="1747"/>
      <c r="N1008" s="1747"/>
      <c r="O1008" s="1747"/>
      <c r="P1008" s="1747"/>
      <c r="Q1008" s="1747"/>
      <c r="R1008" s="1747"/>
      <c r="S1008" s="1747"/>
      <c r="T1008" s="1747"/>
      <c r="U1008" s="1747"/>
      <c r="V1008" s="1747"/>
      <c r="W1008" s="1747"/>
      <c r="X1008" s="1747"/>
      <c r="Y1008" s="1747"/>
      <c r="Z1008" s="1747"/>
      <c r="AA1008" s="1747"/>
      <c r="AB1008" s="1747"/>
      <c r="AC1008" s="1747"/>
      <c r="AD1008" s="1747"/>
      <c r="AE1008" s="1748"/>
      <c r="AF1008" s="73"/>
      <c r="AG1008" s="14"/>
      <c r="AH1008" s="14"/>
      <c r="AI1008" s="83"/>
      <c r="AJ1008" s="1752"/>
      <c r="AK1008" s="1753"/>
      <c r="AL1008" s="1753"/>
      <c r="AM1008" s="1753"/>
      <c r="AN1008" s="1753"/>
      <c r="AO1008" s="1753"/>
      <c r="AP1008" s="1753"/>
      <c r="AQ1008" s="1754"/>
      <c r="AR1008" s="68"/>
      <c r="AS1008" s="68"/>
      <c r="AT1008" s="68"/>
      <c r="AU1008" s="68"/>
      <c r="AV1008" s="68"/>
      <c r="AW1008" s="68"/>
      <c r="AX1008" s="68"/>
      <c r="AY1008" s="68"/>
      <c r="AZ1008" s="34"/>
      <c r="BA1008" s="34"/>
      <c r="BB1008" s="34"/>
      <c r="BC1008" s="34"/>
    </row>
    <row r="1009" spans="1:55" ht="12.9" customHeight="1">
      <c r="A1009" s="14"/>
      <c r="B1009" s="257"/>
      <c r="C1009" s="256"/>
      <c r="D1009" s="1830" t="s">
        <v>2758</v>
      </c>
      <c r="E1009" s="1831"/>
      <c r="F1009" s="1831"/>
      <c r="G1009" s="1831"/>
      <c r="H1009" s="1831"/>
      <c r="I1009" s="1831"/>
      <c r="J1009" s="1831"/>
      <c r="K1009" s="1831"/>
      <c r="L1009" s="1831"/>
      <c r="M1009" s="1831"/>
      <c r="N1009" s="1831"/>
      <c r="O1009" s="1831"/>
      <c r="P1009" s="1831"/>
      <c r="Q1009" s="1831"/>
      <c r="R1009" s="1831"/>
      <c r="S1009" s="1831"/>
      <c r="T1009" s="1831"/>
      <c r="U1009" s="1831"/>
      <c r="V1009" s="1831"/>
      <c r="W1009" s="1831"/>
      <c r="X1009" s="1831"/>
      <c r="Y1009" s="1831"/>
      <c r="Z1009" s="1831"/>
      <c r="AA1009" s="1831"/>
      <c r="AB1009" s="1831"/>
      <c r="AC1009" s="1831"/>
      <c r="AD1009" s="1831"/>
      <c r="AE1009" s="1832"/>
      <c r="AF1009" s="77"/>
      <c r="AG1009" s="7"/>
      <c r="AH1009" s="7"/>
      <c r="AI1009" s="78"/>
      <c r="AJ1009" s="1761"/>
      <c r="AK1009" s="1762"/>
      <c r="AL1009" s="1762"/>
      <c r="AM1009" s="1762"/>
      <c r="AN1009" s="1762"/>
      <c r="AO1009" s="1762"/>
      <c r="AP1009" s="1762"/>
      <c r="AQ1009" s="1763"/>
      <c r="AR1009" s="68"/>
      <c r="AS1009" s="68"/>
      <c r="AT1009" s="68"/>
      <c r="AU1009" s="68"/>
      <c r="AV1009" s="68"/>
      <c r="AW1009" s="68"/>
      <c r="AX1009" s="68"/>
      <c r="AY1009" s="68"/>
      <c r="AZ1009" s="34"/>
      <c r="BA1009" s="34"/>
      <c r="BB1009" s="34"/>
      <c r="BC1009" s="34"/>
    </row>
    <row r="1010" spans="1:55" ht="12.9" customHeight="1">
      <c r="A1010" s="14"/>
      <c r="B1010" s="255"/>
      <c r="C1010" s="318"/>
      <c r="D1010" s="1731" t="s">
        <v>1285</v>
      </c>
      <c r="E1010" s="1732"/>
      <c r="F1010" s="1732"/>
      <c r="G1010" s="1732"/>
      <c r="H1010" s="1732"/>
      <c r="I1010" s="1732"/>
      <c r="J1010" s="1732"/>
      <c r="K1010" s="1732"/>
      <c r="L1010" s="1732"/>
      <c r="M1010" s="1732"/>
      <c r="N1010" s="1732"/>
      <c r="O1010" s="1732"/>
      <c r="P1010" s="1732"/>
      <c r="Q1010" s="1732"/>
      <c r="R1010" s="1732"/>
      <c r="S1010" s="1732"/>
      <c r="T1010" s="1732"/>
      <c r="U1010" s="1732"/>
      <c r="V1010" s="1732"/>
      <c r="W1010" s="1732"/>
      <c r="X1010" s="1732"/>
      <c r="Y1010" s="1732"/>
      <c r="Z1010" s="1732"/>
      <c r="AA1010" s="1732"/>
      <c r="AB1010" s="1732"/>
      <c r="AC1010" s="1732"/>
      <c r="AD1010" s="1732"/>
      <c r="AE1010" s="1733"/>
      <c r="AF1010" s="79"/>
      <c r="AG1010" s="1770" t="s">
        <v>668</v>
      </c>
      <c r="AH1010" s="1771"/>
      <c r="AI1010" s="87"/>
      <c r="AJ1010" s="1749">
        <f>ROUND(IF(AG1010="yes",AJ1001*0.05,0),0)</f>
        <v>0</v>
      </c>
      <c r="AK1010" s="1750"/>
      <c r="AL1010" s="1750"/>
      <c r="AM1010" s="1750"/>
      <c r="AN1010" s="1750"/>
      <c r="AO1010" s="1750"/>
      <c r="AP1010" s="1750"/>
      <c r="AQ1010" s="1751"/>
      <c r="AR1010" s="68"/>
      <c r="AS1010" s="68"/>
      <c r="AT1010" s="68"/>
      <c r="AU1010" s="68"/>
      <c r="AV1010" s="68"/>
      <c r="AW1010" s="68"/>
      <c r="AX1010" s="68"/>
      <c r="AY1010" s="68"/>
      <c r="AZ1010" s="34"/>
      <c r="BA1010" s="34"/>
      <c r="BB1010" s="34"/>
      <c r="BC1010" s="34"/>
    </row>
    <row r="1011" spans="1:55" ht="12.9" customHeight="1">
      <c r="A1011" s="14"/>
      <c r="B1011" s="257"/>
      <c r="C1011" s="82"/>
      <c r="D1011" s="1805" t="s">
        <v>1283</v>
      </c>
      <c r="E1011" s="1806"/>
      <c r="F1011" s="1806"/>
      <c r="G1011" s="1806"/>
      <c r="H1011" s="1806"/>
      <c r="I1011" s="1806"/>
      <c r="J1011" s="1806"/>
      <c r="K1011" s="1806"/>
      <c r="L1011" s="1806"/>
      <c r="M1011" s="1806"/>
      <c r="N1011" s="1806"/>
      <c r="O1011" s="1806"/>
      <c r="P1011" s="1806"/>
      <c r="Q1011" s="1806"/>
      <c r="R1011" s="1806"/>
      <c r="S1011" s="1806"/>
      <c r="T1011" s="1806"/>
      <c r="U1011" s="1806"/>
      <c r="V1011" s="1806"/>
      <c r="W1011" s="1806"/>
      <c r="X1011" s="1806"/>
      <c r="Y1011" s="1806"/>
      <c r="Z1011" s="1806"/>
      <c r="AA1011" s="1806"/>
      <c r="AB1011" s="1806"/>
      <c r="AC1011" s="1806"/>
      <c r="AD1011" s="1806"/>
      <c r="AE1011" s="1807"/>
      <c r="AF1011" s="73"/>
      <c r="AG1011" s="14"/>
      <c r="AH1011" s="14"/>
      <c r="AI1011" s="83"/>
      <c r="AJ1011" s="1752"/>
      <c r="AK1011" s="1753"/>
      <c r="AL1011" s="1753"/>
      <c r="AM1011" s="1753"/>
      <c r="AN1011" s="1753"/>
      <c r="AO1011" s="1753"/>
      <c r="AP1011" s="1753"/>
      <c r="AQ1011" s="1754"/>
      <c r="AR1011" s="68"/>
      <c r="AS1011" s="68"/>
      <c r="AT1011" s="68"/>
      <c r="AU1011" s="68"/>
      <c r="AV1011" s="68"/>
      <c r="AW1011" s="68"/>
      <c r="AX1011" s="68"/>
      <c r="AY1011" s="34"/>
      <c r="AZ1011" s="34"/>
      <c r="BB1011" s="34"/>
    </row>
    <row r="1012" spans="1:55" ht="12.9" customHeight="1">
      <c r="A1012" s="14"/>
      <c r="B1012" s="257"/>
      <c r="C1012" s="82"/>
      <c r="D1012" s="1805"/>
      <c r="E1012" s="1806"/>
      <c r="F1012" s="1806"/>
      <c r="G1012" s="1806"/>
      <c r="H1012" s="1806"/>
      <c r="I1012" s="1806"/>
      <c r="J1012" s="1806"/>
      <c r="K1012" s="1806"/>
      <c r="L1012" s="1806"/>
      <c r="M1012" s="1806"/>
      <c r="N1012" s="1806"/>
      <c r="O1012" s="1806"/>
      <c r="P1012" s="1806"/>
      <c r="Q1012" s="1806"/>
      <c r="R1012" s="1806"/>
      <c r="S1012" s="1806"/>
      <c r="T1012" s="1806"/>
      <c r="U1012" s="1806"/>
      <c r="V1012" s="1806"/>
      <c r="W1012" s="1806"/>
      <c r="X1012" s="1806"/>
      <c r="Y1012" s="1806"/>
      <c r="Z1012" s="1806"/>
      <c r="AA1012" s="1806"/>
      <c r="AB1012" s="1806"/>
      <c r="AC1012" s="1806"/>
      <c r="AD1012" s="1806"/>
      <c r="AE1012" s="1807"/>
      <c r="AF1012" s="73"/>
      <c r="AG1012" s="14"/>
      <c r="AH1012" s="14"/>
      <c r="AI1012" s="83"/>
      <c r="AJ1012" s="1752"/>
      <c r="AK1012" s="1753"/>
      <c r="AL1012" s="1753"/>
      <c r="AM1012" s="1753"/>
      <c r="AN1012" s="1753"/>
      <c r="AO1012" s="1753"/>
      <c r="AP1012" s="1753"/>
      <c r="AQ1012" s="1754"/>
      <c r="AR1012" s="68"/>
      <c r="AS1012" s="68"/>
      <c r="AT1012" s="68"/>
      <c r="AU1012" s="68"/>
      <c r="AV1012" s="68"/>
      <c r="AW1012" s="68"/>
      <c r="AX1012" s="68"/>
      <c r="AY1012" s="910">
        <f>G761+O805</f>
        <v>232</v>
      </c>
      <c r="AZ1012" s="34"/>
      <c r="BB1012" s="34"/>
    </row>
    <row r="1013" spans="1:55" ht="12.9" customHeight="1">
      <c r="A1013" s="14"/>
      <c r="B1013" s="257"/>
      <c r="C1013" s="82"/>
      <c r="D1013" s="1805"/>
      <c r="E1013" s="1806"/>
      <c r="F1013" s="1806"/>
      <c r="G1013" s="1806"/>
      <c r="H1013" s="1806"/>
      <c r="I1013" s="1806"/>
      <c r="J1013" s="1806"/>
      <c r="K1013" s="1806"/>
      <c r="L1013" s="1806"/>
      <c r="M1013" s="1806"/>
      <c r="N1013" s="1806"/>
      <c r="O1013" s="1806"/>
      <c r="P1013" s="1806"/>
      <c r="Q1013" s="1806"/>
      <c r="R1013" s="1806"/>
      <c r="S1013" s="1806"/>
      <c r="T1013" s="1806"/>
      <c r="U1013" s="1806"/>
      <c r="V1013" s="1806"/>
      <c r="W1013" s="1806"/>
      <c r="X1013" s="1806"/>
      <c r="Y1013" s="1806"/>
      <c r="Z1013" s="1806"/>
      <c r="AA1013" s="1806"/>
      <c r="AB1013" s="1806"/>
      <c r="AC1013" s="1806"/>
      <c r="AD1013" s="1806"/>
      <c r="AE1013" s="1807"/>
      <c r="AF1013" s="73"/>
      <c r="AG1013" s="14"/>
      <c r="AH1013" s="14"/>
      <c r="AI1013" s="83"/>
      <c r="AJ1013" s="1752"/>
      <c r="AK1013" s="1753"/>
      <c r="AL1013" s="1753"/>
      <c r="AM1013" s="1753"/>
      <c r="AN1013" s="1753"/>
      <c r="AO1013" s="1753"/>
      <c r="AP1013" s="1753"/>
      <c r="AQ1013" s="1754"/>
      <c r="AR1013" s="68"/>
      <c r="AS1013" s="68"/>
      <c r="AT1013" s="68"/>
      <c r="AU1013" s="68"/>
      <c r="AV1013" s="68"/>
      <c r="AW1013" s="68"/>
      <c r="AX1013" s="68"/>
      <c r="AY1013" s="14"/>
      <c r="AZ1013" s="34"/>
      <c r="BB1013" s="34"/>
    </row>
    <row r="1014" spans="1:55" ht="12.9" customHeight="1">
      <c r="A1014" s="14"/>
      <c r="B1014" s="257"/>
      <c r="C1014" s="82"/>
      <c r="D1014" s="1805"/>
      <c r="E1014" s="1806"/>
      <c r="F1014" s="1806"/>
      <c r="G1014" s="1806"/>
      <c r="H1014" s="1806"/>
      <c r="I1014" s="1806"/>
      <c r="J1014" s="1806"/>
      <c r="K1014" s="1806"/>
      <c r="L1014" s="1806"/>
      <c r="M1014" s="1806"/>
      <c r="N1014" s="1806"/>
      <c r="O1014" s="1806"/>
      <c r="P1014" s="1806"/>
      <c r="Q1014" s="1806"/>
      <c r="R1014" s="1806"/>
      <c r="S1014" s="1806"/>
      <c r="T1014" s="1806"/>
      <c r="U1014" s="1806"/>
      <c r="V1014" s="1806"/>
      <c r="W1014" s="1806"/>
      <c r="X1014" s="1806"/>
      <c r="Y1014" s="1806"/>
      <c r="Z1014" s="1806"/>
      <c r="AA1014" s="1806"/>
      <c r="AB1014" s="1806"/>
      <c r="AC1014" s="1806"/>
      <c r="AD1014" s="1806"/>
      <c r="AE1014" s="1807"/>
      <c r="AF1014" s="73"/>
      <c r="AG1014" s="14"/>
      <c r="AH1014" s="14"/>
      <c r="AI1014" s="83"/>
      <c r="AJ1014" s="1752"/>
      <c r="AK1014" s="1753"/>
      <c r="AL1014" s="1753"/>
      <c r="AM1014" s="1753"/>
      <c r="AN1014" s="1753"/>
      <c r="AO1014" s="1753"/>
      <c r="AP1014" s="1753"/>
      <c r="AQ1014" s="1754"/>
      <c r="AR1014" s="68"/>
      <c r="AS1014" s="68"/>
      <c r="AT1014" s="68"/>
      <c r="AU1014" s="68"/>
      <c r="AV1014" s="68"/>
      <c r="AW1014" s="68"/>
      <c r="AX1014" s="68"/>
      <c r="AY1014" s="909">
        <f>ROUNDDOWN(X1057/I1057,2)</f>
        <v>0.19</v>
      </c>
      <c r="AZ1014" s="34"/>
      <c r="BB1014" s="34"/>
    </row>
    <row r="1015" spans="1:55" ht="12.9" customHeight="1">
      <c r="A1015" s="14"/>
      <c r="B1015" s="75"/>
      <c r="C1015" s="76"/>
      <c r="D1015" s="1746"/>
      <c r="E1015" s="1747"/>
      <c r="F1015" s="1747"/>
      <c r="G1015" s="1747"/>
      <c r="H1015" s="1747"/>
      <c r="I1015" s="1747"/>
      <c r="J1015" s="1747"/>
      <c r="K1015" s="1747"/>
      <c r="L1015" s="1747"/>
      <c r="M1015" s="1747"/>
      <c r="N1015" s="1747"/>
      <c r="O1015" s="1747"/>
      <c r="P1015" s="1747"/>
      <c r="Q1015" s="1747"/>
      <c r="R1015" s="1747"/>
      <c r="S1015" s="1747"/>
      <c r="T1015" s="1747"/>
      <c r="U1015" s="1747"/>
      <c r="V1015" s="1747"/>
      <c r="W1015" s="1747"/>
      <c r="X1015" s="1747"/>
      <c r="Y1015" s="1747"/>
      <c r="Z1015" s="1747"/>
      <c r="AA1015" s="1747"/>
      <c r="AB1015" s="1747"/>
      <c r="AC1015" s="1747"/>
      <c r="AD1015" s="1747"/>
      <c r="AE1015" s="1748"/>
      <c r="AF1015" s="77"/>
      <c r="AG1015" s="7"/>
      <c r="AH1015" s="7"/>
      <c r="AI1015" s="78"/>
      <c r="AJ1015" s="1761"/>
      <c r="AK1015" s="1762"/>
      <c r="AL1015" s="1762"/>
      <c r="AM1015" s="1762"/>
      <c r="AN1015" s="1762"/>
      <c r="AO1015" s="1762"/>
      <c r="AP1015" s="1762"/>
      <c r="AQ1015" s="1763"/>
      <c r="AR1015" s="68"/>
      <c r="AS1015" s="68"/>
      <c r="AT1015" s="68"/>
      <c r="AU1015" s="68"/>
      <c r="AV1015" s="68"/>
      <c r="AW1015" s="68"/>
      <c r="AX1015" s="68"/>
      <c r="AY1015" s="909">
        <f>ROUNDDOWN(X1061/I1061,2)</f>
        <v>0.1</v>
      </c>
      <c r="AZ1015" s="34"/>
      <c r="BB1015" s="34"/>
    </row>
    <row r="1016" spans="1:55" ht="12.9" customHeight="1">
      <c r="A1016" s="14"/>
      <c r="B1016" s="255"/>
      <c r="C1016" s="80" t="s">
        <v>671</v>
      </c>
      <c r="D1016" s="1731" t="s">
        <v>1671</v>
      </c>
      <c r="E1016" s="1732"/>
      <c r="F1016" s="1732"/>
      <c r="G1016" s="1732"/>
      <c r="H1016" s="1732"/>
      <c r="I1016" s="1732"/>
      <c r="J1016" s="1732"/>
      <c r="K1016" s="1732"/>
      <c r="L1016" s="1732"/>
      <c r="M1016" s="1732"/>
      <c r="N1016" s="1732"/>
      <c r="O1016" s="1732"/>
      <c r="P1016" s="1732"/>
      <c r="Q1016" s="1732"/>
      <c r="R1016" s="1732"/>
      <c r="S1016" s="1732"/>
      <c r="T1016" s="1732"/>
      <c r="U1016" s="1732"/>
      <c r="V1016" s="1732"/>
      <c r="W1016" s="1732"/>
      <c r="X1016" s="1732"/>
      <c r="Y1016" s="1732"/>
      <c r="Z1016" s="1732"/>
      <c r="AA1016" s="1732"/>
      <c r="AB1016" s="1732"/>
      <c r="AC1016" s="1732"/>
      <c r="AD1016" s="1732"/>
      <c r="AE1016" s="1733"/>
      <c r="AF1016" s="86"/>
      <c r="AG1016" s="1770" t="s">
        <v>544</v>
      </c>
      <c r="AH1016" s="1771"/>
      <c r="AI1016" s="87"/>
      <c r="AJ1016" s="1749">
        <f>ROUND(IF(AG1016="yes",AJ1001*0.1,0),0)</f>
        <v>16600198</v>
      </c>
      <c r="AK1016" s="1750"/>
      <c r="AL1016" s="1750"/>
      <c r="AM1016" s="1750"/>
      <c r="AN1016" s="1750"/>
      <c r="AO1016" s="1750"/>
      <c r="AP1016" s="1750"/>
      <c r="AQ1016" s="1751"/>
      <c r="AR1016" s="68"/>
      <c r="AS1016" s="68"/>
      <c r="AT1016" s="68"/>
      <c r="AU1016" s="68"/>
      <c r="AV1016" s="68"/>
      <c r="AW1016" s="68"/>
      <c r="AX1016" s="68"/>
      <c r="BB1016" s="34"/>
    </row>
    <row r="1017" spans="1:55" ht="12.9" customHeight="1">
      <c r="A1017" s="14"/>
      <c r="B1017" s="73"/>
      <c r="C1017" s="74"/>
      <c r="D1017" s="1755" t="s">
        <v>1284</v>
      </c>
      <c r="E1017" s="1756"/>
      <c r="F1017" s="1756"/>
      <c r="G1017" s="1756"/>
      <c r="H1017" s="1756"/>
      <c r="I1017" s="1756"/>
      <c r="J1017" s="1756"/>
      <c r="K1017" s="1756"/>
      <c r="L1017" s="1756"/>
      <c r="M1017" s="1756"/>
      <c r="N1017" s="1756"/>
      <c r="O1017" s="1756"/>
      <c r="P1017" s="1756"/>
      <c r="Q1017" s="1756"/>
      <c r="R1017" s="1756"/>
      <c r="S1017" s="1756"/>
      <c r="T1017" s="1756"/>
      <c r="U1017" s="1756"/>
      <c r="V1017" s="1756"/>
      <c r="W1017" s="1756"/>
      <c r="X1017" s="1756"/>
      <c r="Y1017" s="1756"/>
      <c r="Z1017" s="1756"/>
      <c r="AA1017" s="1756"/>
      <c r="AB1017" s="1756"/>
      <c r="AC1017" s="1756"/>
      <c r="AD1017" s="1756"/>
      <c r="AE1017" s="1757"/>
      <c r="AF1017" s="73"/>
      <c r="AI1017" s="83"/>
      <c r="AJ1017" s="1752"/>
      <c r="AK1017" s="1753"/>
      <c r="AL1017" s="1753"/>
      <c r="AM1017" s="1753"/>
      <c r="AN1017" s="1753"/>
      <c r="AO1017" s="1753"/>
      <c r="AP1017" s="1753"/>
      <c r="AQ1017" s="1754"/>
      <c r="AR1017" s="68"/>
      <c r="AS1017" s="68"/>
      <c r="AT1017" s="68"/>
      <c r="AU1017" s="68"/>
      <c r="AV1017" s="68"/>
      <c r="AW1017" s="68"/>
      <c r="AX1017" s="68"/>
    </row>
    <row r="1018" spans="1:55" ht="12.9" customHeight="1">
      <c r="A1018" s="14"/>
      <c r="B1018" s="73"/>
      <c r="C1018" s="74"/>
      <c r="D1018" s="1755"/>
      <c r="E1018" s="1756"/>
      <c r="F1018" s="1756"/>
      <c r="G1018" s="1756"/>
      <c r="H1018" s="1756"/>
      <c r="I1018" s="1756"/>
      <c r="J1018" s="1756"/>
      <c r="K1018" s="1756"/>
      <c r="L1018" s="1756"/>
      <c r="M1018" s="1756"/>
      <c r="N1018" s="1756"/>
      <c r="O1018" s="1756"/>
      <c r="P1018" s="1756"/>
      <c r="Q1018" s="1756"/>
      <c r="R1018" s="1756"/>
      <c r="S1018" s="1756"/>
      <c r="T1018" s="1756"/>
      <c r="U1018" s="1756"/>
      <c r="V1018" s="1756"/>
      <c r="W1018" s="1756"/>
      <c r="X1018" s="1756"/>
      <c r="Y1018" s="1756"/>
      <c r="Z1018" s="1756"/>
      <c r="AA1018" s="1756"/>
      <c r="AB1018" s="1756"/>
      <c r="AC1018" s="1756"/>
      <c r="AD1018" s="1756"/>
      <c r="AE1018" s="1757"/>
      <c r="AF1018" s="73"/>
      <c r="AG1018" s="14"/>
      <c r="AH1018" s="14"/>
      <c r="AI1018" s="83"/>
      <c r="AJ1018" s="1752"/>
      <c r="AK1018" s="1753"/>
      <c r="AL1018" s="1753"/>
      <c r="AM1018" s="1753"/>
      <c r="AN1018" s="1753"/>
      <c r="AO1018" s="1753"/>
      <c r="AP1018" s="1753"/>
      <c r="AQ1018" s="1754"/>
      <c r="AR1018" s="68"/>
      <c r="AS1018" s="68"/>
      <c r="AT1018" s="68"/>
      <c r="AU1018" s="68"/>
      <c r="AV1018" s="68"/>
      <c r="AW1018" s="68"/>
      <c r="AX1018" s="68"/>
    </row>
    <row r="1019" spans="1:55" ht="12.9" customHeight="1">
      <c r="A1019" s="14"/>
      <c r="B1019" s="85"/>
      <c r="C1019" s="76"/>
      <c r="D1019" s="1758"/>
      <c r="E1019" s="1759"/>
      <c r="F1019" s="1759"/>
      <c r="G1019" s="1759"/>
      <c r="H1019" s="1759"/>
      <c r="I1019" s="1759"/>
      <c r="J1019" s="1759"/>
      <c r="K1019" s="1759"/>
      <c r="L1019" s="1759"/>
      <c r="M1019" s="1759"/>
      <c r="N1019" s="1759"/>
      <c r="O1019" s="1759"/>
      <c r="P1019" s="1759"/>
      <c r="Q1019" s="1759"/>
      <c r="R1019" s="1759"/>
      <c r="S1019" s="1759"/>
      <c r="T1019" s="1759"/>
      <c r="U1019" s="1759"/>
      <c r="V1019" s="1759"/>
      <c r="W1019" s="1759"/>
      <c r="X1019" s="1759"/>
      <c r="Y1019" s="1759"/>
      <c r="Z1019" s="1759"/>
      <c r="AA1019" s="1759"/>
      <c r="AB1019" s="1759"/>
      <c r="AC1019" s="1759"/>
      <c r="AD1019" s="1759"/>
      <c r="AE1019" s="1760"/>
      <c r="AF1019" s="77"/>
      <c r="AG1019" s="7"/>
      <c r="AH1019" s="7"/>
      <c r="AI1019" s="78"/>
      <c r="AJ1019" s="1761"/>
      <c r="AK1019" s="1762"/>
      <c r="AL1019" s="1762"/>
      <c r="AM1019" s="1762"/>
      <c r="AN1019" s="1762"/>
      <c r="AO1019" s="1762"/>
      <c r="AP1019" s="1762"/>
      <c r="AQ1019" s="1763"/>
      <c r="AR1019" s="68"/>
      <c r="AS1019" s="68"/>
      <c r="AT1019" s="68"/>
      <c r="AU1019" s="68"/>
      <c r="AV1019" s="68"/>
      <c r="AW1019" s="68"/>
      <c r="AX1019" s="68"/>
    </row>
    <row r="1020" spans="1:55" ht="12.9" customHeight="1">
      <c r="A1020" s="14"/>
      <c r="B1020" s="79"/>
      <c r="C1020" s="80" t="s">
        <v>211</v>
      </c>
      <c r="D1020" s="1731" t="s">
        <v>1286</v>
      </c>
      <c r="E1020" s="1732"/>
      <c r="F1020" s="1732"/>
      <c r="G1020" s="1732"/>
      <c r="H1020" s="1732"/>
      <c r="I1020" s="1732"/>
      <c r="J1020" s="1732"/>
      <c r="K1020" s="1732"/>
      <c r="L1020" s="1732"/>
      <c r="M1020" s="1732"/>
      <c r="N1020" s="1732"/>
      <c r="O1020" s="1732"/>
      <c r="P1020" s="1732"/>
      <c r="Q1020" s="1732"/>
      <c r="R1020" s="1732"/>
      <c r="S1020" s="1732"/>
      <c r="T1020" s="1732"/>
      <c r="U1020" s="1732"/>
      <c r="V1020" s="1732"/>
      <c r="W1020" s="1732"/>
      <c r="X1020" s="1732"/>
      <c r="Y1020" s="1732"/>
      <c r="Z1020" s="1732"/>
      <c r="AA1020" s="1732"/>
      <c r="AB1020" s="1732"/>
      <c r="AC1020" s="1732"/>
      <c r="AD1020" s="1732"/>
      <c r="AE1020" s="1733"/>
      <c r="AF1020" s="79"/>
      <c r="AG1020" s="1770" t="s">
        <v>668</v>
      </c>
      <c r="AH1020" s="1771"/>
      <c r="AI1020" s="87"/>
      <c r="AJ1020" s="1749">
        <f>ROUND(IF(AG1020="yes",AJ1001*0.02,0),0)</f>
        <v>0</v>
      </c>
      <c r="AK1020" s="1750"/>
      <c r="AL1020" s="1750"/>
      <c r="AM1020" s="1750"/>
      <c r="AN1020" s="1750"/>
      <c r="AO1020" s="1750"/>
      <c r="AP1020" s="1750"/>
      <c r="AQ1020" s="1751"/>
      <c r="AR1020" s="68"/>
      <c r="AS1020" s="68"/>
      <c r="AT1020" s="68"/>
      <c r="AU1020" s="68"/>
      <c r="AV1020" s="68"/>
      <c r="AW1020" s="68"/>
      <c r="AX1020" s="68"/>
    </row>
    <row r="1021" spans="1:55" ht="14.25" customHeight="1">
      <c r="A1021" s="14"/>
      <c r="B1021" s="73"/>
      <c r="C1021" s="74"/>
      <c r="D1021" s="1758" t="s">
        <v>1287</v>
      </c>
      <c r="E1021" s="1759"/>
      <c r="F1021" s="1759"/>
      <c r="G1021" s="1759"/>
      <c r="H1021" s="1759"/>
      <c r="I1021" s="1759"/>
      <c r="J1021" s="1759"/>
      <c r="K1021" s="1759"/>
      <c r="L1021" s="1759"/>
      <c r="M1021" s="1759"/>
      <c r="N1021" s="1759"/>
      <c r="O1021" s="1759"/>
      <c r="P1021" s="1759"/>
      <c r="Q1021" s="1759"/>
      <c r="R1021" s="1759"/>
      <c r="S1021" s="1759"/>
      <c r="T1021" s="1759"/>
      <c r="U1021" s="1759"/>
      <c r="V1021" s="1759"/>
      <c r="W1021" s="1759"/>
      <c r="X1021" s="1759"/>
      <c r="Y1021" s="1759"/>
      <c r="Z1021" s="1759"/>
      <c r="AA1021" s="1759"/>
      <c r="AB1021" s="1759"/>
      <c r="AC1021" s="1759"/>
      <c r="AD1021" s="1759"/>
      <c r="AE1021" s="1760"/>
      <c r="AF1021" s="77"/>
      <c r="AG1021" s="7"/>
      <c r="AH1021" s="7"/>
      <c r="AI1021" s="78"/>
      <c r="AJ1021" s="1761"/>
      <c r="AK1021" s="1762"/>
      <c r="AL1021" s="1762"/>
      <c r="AM1021" s="1762"/>
      <c r="AN1021" s="1762"/>
      <c r="AO1021" s="1762"/>
      <c r="AP1021" s="1762"/>
      <c r="AQ1021" s="1763"/>
      <c r="AR1021" s="68"/>
      <c r="AS1021" s="68"/>
      <c r="AT1021" s="68"/>
      <c r="AU1021" s="68"/>
      <c r="AV1021" s="68"/>
      <c r="AW1021" s="68"/>
      <c r="AX1021" s="3" t="s">
        <v>1817</v>
      </c>
      <c r="AZ1021" s="3" t="s">
        <v>2533</v>
      </c>
    </row>
    <row r="1022" spans="1:55" ht="12.9" customHeight="1">
      <c r="A1022" s="14"/>
      <c r="B1022" s="79"/>
      <c r="C1022" s="80" t="s">
        <v>214</v>
      </c>
      <c r="D1022" s="1731" t="s">
        <v>1288</v>
      </c>
      <c r="E1022" s="1732"/>
      <c r="F1022" s="1732"/>
      <c r="G1022" s="1732"/>
      <c r="H1022" s="1732"/>
      <c r="I1022" s="1732"/>
      <c r="J1022" s="1732"/>
      <c r="K1022" s="1732"/>
      <c r="L1022" s="1732"/>
      <c r="M1022" s="1732"/>
      <c r="N1022" s="1732"/>
      <c r="O1022" s="1732"/>
      <c r="P1022" s="1732"/>
      <c r="Q1022" s="1732"/>
      <c r="R1022" s="1732"/>
      <c r="S1022" s="1732"/>
      <c r="T1022" s="1732"/>
      <c r="U1022" s="1732"/>
      <c r="V1022" s="1732"/>
      <c r="W1022" s="1732"/>
      <c r="X1022" s="1732"/>
      <c r="Y1022" s="1732"/>
      <c r="Z1022" s="1732"/>
      <c r="AA1022" s="1732"/>
      <c r="AB1022" s="1732"/>
      <c r="AC1022" s="1732"/>
      <c r="AD1022" s="1732"/>
      <c r="AE1022" s="1733"/>
      <c r="AF1022" s="79"/>
      <c r="AG1022" s="1770" t="s">
        <v>668</v>
      </c>
      <c r="AH1022" s="1771"/>
      <c r="AI1022" s="79"/>
      <c r="AJ1022" s="1749">
        <f>ROUND(IF(AG1022="yes",AJ1001*0.02,0),0)</f>
        <v>0</v>
      </c>
      <c r="AK1022" s="1750"/>
      <c r="AL1022" s="1750"/>
      <c r="AM1022" s="1750"/>
      <c r="AN1022" s="1750"/>
      <c r="AO1022" s="1750"/>
      <c r="AP1022" s="1750"/>
      <c r="AQ1022" s="1751"/>
      <c r="AR1022" s="68"/>
      <c r="AS1022" s="68"/>
      <c r="AT1022" s="68"/>
      <c r="AU1022" s="68"/>
      <c r="AV1022" s="68"/>
      <c r="AW1022" s="68"/>
      <c r="AX1022" s="3">
        <v>1</v>
      </c>
      <c r="AY1022" s="200">
        <f>IF((_xlfn.XLOOKUP(AX1022,$C$1074:$C$1112,$A$1074:$A$1112,"",0,1))="Yes",AZ1022,0)</f>
        <v>0</v>
      </c>
      <c r="AZ1022" s="1189">
        <v>0.2</v>
      </c>
    </row>
    <row r="1023" spans="1:55" ht="12.9" customHeight="1">
      <c r="A1023" s="14"/>
      <c r="B1023" s="73"/>
      <c r="C1023" s="74"/>
      <c r="D1023" s="1755" t="s">
        <v>1289</v>
      </c>
      <c r="E1023" s="1756"/>
      <c r="F1023" s="1756"/>
      <c r="G1023" s="1756"/>
      <c r="H1023" s="1756"/>
      <c r="I1023" s="1756"/>
      <c r="J1023" s="1756"/>
      <c r="K1023" s="1756"/>
      <c r="L1023" s="1756"/>
      <c r="M1023" s="1756"/>
      <c r="N1023" s="1756"/>
      <c r="O1023" s="1756"/>
      <c r="P1023" s="1756"/>
      <c r="Q1023" s="1756"/>
      <c r="R1023" s="1756"/>
      <c r="S1023" s="1756"/>
      <c r="T1023" s="1756"/>
      <c r="U1023" s="1756"/>
      <c r="V1023" s="1756"/>
      <c r="W1023" s="1756"/>
      <c r="X1023" s="1756"/>
      <c r="Y1023" s="1756"/>
      <c r="Z1023" s="1756"/>
      <c r="AA1023" s="1756"/>
      <c r="AB1023" s="1756"/>
      <c r="AC1023" s="1756"/>
      <c r="AD1023" s="1756"/>
      <c r="AE1023" s="1757"/>
      <c r="AF1023" s="1861" t="str">
        <f>IF(AND(AG1022="yes",T212&lt;&gt;1),"The project may not be eligible for this boost","")</f>
        <v/>
      </c>
      <c r="AG1023" s="1862"/>
      <c r="AH1023" s="1862"/>
      <c r="AI1023" s="1863"/>
      <c r="AJ1023" s="1752"/>
      <c r="AK1023" s="1753"/>
      <c r="AL1023" s="1753"/>
      <c r="AM1023" s="1753"/>
      <c r="AN1023" s="1753"/>
      <c r="AO1023" s="1753"/>
      <c r="AP1023" s="1753"/>
      <c r="AQ1023" s="1754"/>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758"/>
      <c r="E1024" s="1759"/>
      <c r="F1024" s="1759"/>
      <c r="G1024" s="1759"/>
      <c r="H1024" s="1759"/>
      <c r="I1024" s="1759"/>
      <c r="J1024" s="1759"/>
      <c r="K1024" s="1759"/>
      <c r="L1024" s="1759"/>
      <c r="M1024" s="1759"/>
      <c r="N1024" s="1759"/>
      <c r="O1024" s="1759"/>
      <c r="P1024" s="1759"/>
      <c r="Q1024" s="1759"/>
      <c r="R1024" s="1759"/>
      <c r="S1024" s="1759"/>
      <c r="T1024" s="1759"/>
      <c r="U1024" s="1759"/>
      <c r="V1024" s="1759"/>
      <c r="W1024" s="1759"/>
      <c r="X1024" s="1759"/>
      <c r="Y1024" s="1759"/>
      <c r="Z1024" s="1759"/>
      <c r="AA1024" s="1759"/>
      <c r="AB1024" s="1759"/>
      <c r="AC1024" s="1759"/>
      <c r="AD1024" s="1759"/>
      <c r="AE1024" s="1760"/>
      <c r="AF1024" s="1864"/>
      <c r="AG1024" s="1865"/>
      <c r="AH1024" s="1865"/>
      <c r="AI1024" s="1866"/>
      <c r="AJ1024" s="1761"/>
      <c r="AK1024" s="1762"/>
      <c r="AL1024" s="1762"/>
      <c r="AM1024" s="1762"/>
      <c r="AN1024" s="1762"/>
      <c r="AO1024" s="1762"/>
      <c r="AP1024" s="1762"/>
      <c r="AQ1024" s="1763"/>
      <c r="AR1024" s="68"/>
      <c r="AS1024" s="68"/>
      <c r="AT1024" s="68"/>
      <c r="AU1024" s="68"/>
      <c r="AV1024" s="68"/>
      <c r="AW1024" s="68"/>
      <c r="AX1024" s="3">
        <v>3</v>
      </c>
      <c r="AY1024" s="200">
        <f t="shared" si="55"/>
        <v>0</v>
      </c>
      <c r="AZ1024" s="1189">
        <v>0.05</v>
      </c>
    </row>
    <row r="1025" spans="1:52" ht="12.9" customHeight="1">
      <c r="A1025" s="14"/>
      <c r="B1025" s="79"/>
      <c r="C1025" s="80" t="s">
        <v>217</v>
      </c>
      <c r="D1025" s="1777" t="s">
        <v>2190</v>
      </c>
      <c r="E1025" s="1778"/>
      <c r="F1025" s="1778"/>
      <c r="G1025" s="1778"/>
      <c r="H1025" s="1778"/>
      <c r="I1025" s="1778"/>
      <c r="J1025" s="1778"/>
      <c r="K1025" s="1778"/>
      <c r="L1025" s="1778"/>
      <c r="M1025" s="1778"/>
      <c r="N1025" s="1778"/>
      <c r="O1025" s="1778"/>
      <c r="P1025" s="1778"/>
      <c r="Q1025" s="1778"/>
      <c r="R1025" s="1778"/>
      <c r="S1025" s="1778"/>
      <c r="T1025" s="1778"/>
      <c r="U1025" s="1778"/>
      <c r="V1025" s="1778"/>
      <c r="W1025" s="1778"/>
      <c r="X1025" s="1778"/>
      <c r="Y1025" s="1778"/>
      <c r="Z1025" s="1778"/>
      <c r="AA1025" s="1778"/>
      <c r="AB1025" s="1778"/>
      <c r="AC1025" s="1778"/>
      <c r="AD1025" s="1778"/>
      <c r="AE1025" s="1779"/>
      <c r="AF1025" s="79"/>
      <c r="AG1025" s="1770" t="s">
        <v>668</v>
      </c>
      <c r="AH1025" s="1771"/>
      <c r="AI1025" s="87"/>
      <c r="AJ1025" s="1749">
        <f>IF(AG1025="yes",AJ1001*AY1033,0)</f>
        <v>0</v>
      </c>
      <c r="AK1025" s="1750"/>
      <c r="AL1025" s="1750"/>
      <c r="AM1025" s="1750"/>
      <c r="AN1025" s="1750"/>
      <c r="AO1025" s="1750"/>
      <c r="AP1025" s="1750"/>
      <c r="AQ1025" s="1751"/>
      <c r="AR1025" s="68"/>
      <c r="AS1025" s="68"/>
      <c r="AT1025" s="68"/>
      <c r="AU1025" s="68"/>
      <c r="AV1025" s="68"/>
      <c r="AW1025" s="68"/>
      <c r="AX1025" s="3">
        <v>4</v>
      </c>
      <c r="AY1025" s="200">
        <f t="shared" si="55"/>
        <v>0</v>
      </c>
      <c r="AZ1025" s="1189">
        <v>0.02</v>
      </c>
    </row>
    <row r="1026" spans="1:52" ht="12.9" customHeight="1">
      <c r="A1026" s="14"/>
      <c r="B1026" s="73"/>
      <c r="C1026" s="74"/>
      <c r="D1026" s="1755" t="s">
        <v>2599</v>
      </c>
      <c r="E1026" s="1756"/>
      <c r="F1026" s="1756"/>
      <c r="G1026" s="1756"/>
      <c r="H1026" s="1756"/>
      <c r="I1026" s="1756"/>
      <c r="J1026" s="1756"/>
      <c r="K1026" s="1756"/>
      <c r="L1026" s="1756"/>
      <c r="M1026" s="1756"/>
      <c r="N1026" s="1756"/>
      <c r="O1026" s="1756"/>
      <c r="P1026" s="1756"/>
      <c r="Q1026" s="1756"/>
      <c r="R1026" s="1756"/>
      <c r="S1026" s="1756"/>
      <c r="T1026" s="1756"/>
      <c r="U1026" s="1756"/>
      <c r="V1026" s="1756"/>
      <c r="W1026" s="1756"/>
      <c r="X1026" s="1756"/>
      <c r="Y1026" s="1756"/>
      <c r="Z1026" s="1756"/>
      <c r="AA1026" s="1756"/>
      <c r="AB1026" s="1756"/>
      <c r="AC1026" s="1756"/>
      <c r="AD1026" s="1756"/>
      <c r="AE1026" s="1757"/>
      <c r="AF1026" s="1855" t="str">
        <f>IF(AND(AG1025="Yes",AY1033=0),AY1036,"")</f>
        <v/>
      </c>
      <c r="AG1026" s="1856"/>
      <c r="AH1026" s="1856"/>
      <c r="AI1026" s="1857"/>
      <c r="AJ1026" s="1752"/>
      <c r="AK1026" s="1753"/>
      <c r="AL1026" s="1753"/>
      <c r="AM1026" s="1753"/>
      <c r="AN1026" s="1753"/>
      <c r="AO1026" s="1753"/>
      <c r="AP1026" s="1753"/>
      <c r="AQ1026" s="1754"/>
      <c r="AR1026" s="68"/>
      <c r="AS1026" s="68"/>
      <c r="AT1026" s="68"/>
      <c r="AU1026" s="68"/>
      <c r="AV1026" s="68"/>
      <c r="AW1026" s="68"/>
      <c r="AX1026" s="3">
        <v>5</v>
      </c>
      <c r="AY1026" s="200">
        <f t="shared" si="55"/>
        <v>0</v>
      </c>
      <c r="AZ1026" s="1189">
        <v>0.04</v>
      </c>
    </row>
    <row r="1027" spans="1:52" ht="12.9" customHeight="1">
      <c r="A1027" s="14"/>
      <c r="B1027" s="73"/>
      <c r="C1027" s="74"/>
      <c r="D1027" s="1755"/>
      <c r="E1027" s="1756"/>
      <c r="F1027" s="1756"/>
      <c r="G1027" s="1756"/>
      <c r="H1027" s="1756"/>
      <c r="I1027" s="1756"/>
      <c r="J1027" s="1756"/>
      <c r="K1027" s="1756"/>
      <c r="L1027" s="1756"/>
      <c r="M1027" s="1756"/>
      <c r="N1027" s="1756"/>
      <c r="O1027" s="1756"/>
      <c r="P1027" s="1756"/>
      <c r="Q1027" s="1756"/>
      <c r="R1027" s="1756"/>
      <c r="S1027" s="1756"/>
      <c r="T1027" s="1756"/>
      <c r="U1027" s="1756"/>
      <c r="V1027" s="1756"/>
      <c r="W1027" s="1756"/>
      <c r="X1027" s="1756"/>
      <c r="Y1027" s="1756"/>
      <c r="Z1027" s="1756"/>
      <c r="AA1027" s="1756"/>
      <c r="AB1027" s="1756"/>
      <c r="AC1027" s="1756"/>
      <c r="AD1027" s="1756"/>
      <c r="AE1027" s="1757"/>
      <c r="AF1027" s="1855"/>
      <c r="AG1027" s="1856"/>
      <c r="AH1027" s="1856"/>
      <c r="AI1027" s="1857"/>
      <c r="AJ1027" s="1752"/>
      <c r="AK1027" s="1753"/>
      <c r="AL1027" s="1753"/>
      <c r="AM1027" s="1753"/>
      <c r="AN1027" s="1753"/>
      <c r="AO1027" s="1753"/>
      <c r="AP1027" s="1753"/>
      <c r="AQ1027" s="1754"/>
      <c r="AR1027" s="68"/>
      <c r="AS1027" s="68"/>
      <c r="AT1027" s="68"/>
      <c r="AU1027" s="68"/>
      <c r="AV1027" s="68"/>
      <c r="AW1027" s="68"/>
      <c r="AX1027" s="3">
        <v>6</v>
      </c>
      <c r="AY1027" s="200">
        <f t="shared" si="55"/>
        <v>0</v>
      </c>
      <c r="AZ1027" s="1189">
        <v>0.04</v>
      </c>
    </row>
    <row r="1028" spans="1:52" ht="12.9" customHeight="1">
      <c r="A1028" s="14"/>
      <c r="B1028" s="81"/>
      <c r="C1028" s="82"/>
      <c r="D1028" s="1758"/>
      <c r="E1028" s="1759"/>
      <c r="F1028" s="1759"/>
      <c r="G1028" s="1759"/>
      <c r="H1028" s="1759"/>
      <c r="I1028" s="1759"/>
      <c r="J1028" s="1759"/>
      <c r="K1028" s="1759"/>
      <c r="L1028" s="1759"/>
      <c r="M1028" s="1759"/>
      <c r="N1028" s="1759"/>
      <c r="O1028" s="1759"/>
      <c r="P1028" s="1759"/>
      <c r="Q1028" s="1759"/>
      <c r="R1028" s="1759"/>
      <c r="S1028" s="1759"/>
      <c r="T1028" s="1759"/>
      <c r="U1028" s="1759"/>
      <c r="V1028" s="1759"/>
      <c r="W1028" s="1759"/>
      <c r="X1028" s="1759"/>
      <c r="Y1028" s="1759"/>
      <c r="Z1028" s="1759"/>
      <c r="AA1028" s="1759"/>
      <c r="AB1028" s="1759"/>
      <c r="AC1028" s="1759"/>
      <c r="AD1028" s="1759"/>
      <c r="AE1028" s="1760"/>
      <c r="AF1028" s="1858"/>
      <c r="AG1028" s="1859"/>
      <c r="AH1028" s="1859"/>
      <c r="AI1028" s="1860"/>
      <c r="AJ1028" s="1761"/>
      <c r="AK1028" s="1762"/>
      <c r="AL1028" s="1762"/>
      <c r="AM1028" s="1762"/>
      <c r="AN1028" s="1762"/>
      <c r="AO1028" s="1762"/>
      <c r="AP1028" s="1762"/>
      <c r="AQ1028" s="1763"/>
      <c r="AR1028" s="68"/>
      <c r="AS1028" s="68"/>
      <c r="AT1028" s="68"/>
      <c r="AU1028" s="68"/>
      <c r="AV1028" s="68"/>
      <c r="AW1028" s="68"/>
      <c r="AX1028" s="3">
        <v>7</v>
      </c>
      <c r="AY1028" s="200">
        <f t="shared" si="55"/>
        <v>0</v>
      </c>
      <c r="AZ1028" s="1189">
        <v>0.01</v>
      </c>
    </row>
    <row r="1029" spans="1:52" ht="12.9" customHeight="1">
      <c r="A1029" s="14"/>
      <c r="B1029" s="79"/>
      <c r="C1029" s="80" t="s">
        <v>222</v>
      </c>
      <c r="D1029" s="1796" t="s">
        <v>1290</v>
      </c>
      <c r="E1029" s="1797"/>
      <c r="F1029" s="1797"/>
      <c r="G1029" s="1797"/>
      <c r="H1029" s="1797"/>
      <c r="I1029" s="1797"/>
      <c r="J1029" s="1797"/>
      <c r="K1029" s="1797"/>
      <c r="L1029" s="1797"/>
      <c r="M1029" s="1797"/>
      <c r="N1029" s="1797"/>
      <c r="O1029" s="1797"/>
      <c r="P1029" s="1797"/>
      <c r="Q1029" s="1797"/>
      <c r="R1029" s="1797"/>
      <c r="S1029" s="1797"/>
      <c r="T1029" s="1797"/>
      <c r="U1029" s="1797"/>
      <c r="V1029" s="1797"/>
      <c r="W1029" s="1797"/>
      <c r="X1029" s="1797"/>
      <c r="Y1029" s="1797"/>
      <c r="Z1029" s="1797"/>
      <c r="AA1029" s="1797"/>
      <c r="AB1029" s="1797"/>
      <c r="AC1029" s="1797"/>
      <c r="AD1029" s="1797"/>
      <c r="AE1029" s="1798"/>
      <c r="AF1029" s="79"/>
      <c r="AG1029" s="1770" t="s">
        <v>668</v>
      </c>
      <c r="AH1029" s="1771"/>
      <c r="AI1029" s="87"/>
      <c r="AJ1029" s="1749">
        <f>ROUND(IF(AND(AG1029="Yes",J1033&lt;&gt;"N/A",AF1032&lt;&gt;""),MIN(AF1032,(0.15*AJ1001)),0),0)</f>
        <v>0</v>
      </c>
      <c r="AK1029" s="1750"/>
      <c r="AL1029" s="1750"/>
      <c r="AM1029" s="1750"/>
      <c r="AN1029" s="1750"/>
      <c r="AO1029" s="1750"/>
      <c r="AP1029" s="1750"/>
      <c r="AQ1029" s="1751"/>
      <c r="AR1029" s="68"/>
      <c r="AS1029" s="68"/>
      <c r="AT1029" s="68"/>
      <c r="AU1029" s="68"/>
      <c r="AV1029" s="68"/>
      <c r="AW1029" s="68"/>
      <c r="AX1029" s="3">
        <v>8</v>
      </c>
      <c r="AY1029" s="200">
        <f t="shared" si="55"/>
        <v>0</v>
      </c>
      <c r="AZ1029" s="1189">
        <v>0.01</v>
      </c>
    </row>
    <row r="1030" spans="1:52" ht="12.9" customHeight="1">
      <c r="A1030" s="14"/>
      <c r="B1030" s="81"/>
      <c r="C1030" s="84"/>
      <c r="D1030" s="1799"/>
      <c r="E1030" s="1800"/>
      <c r="F1030" s="1800"/>
      <c r="G1030" s="1800"/>
      <c r="H1030" s="1800"/>
      <c r="I1030" s="1800"/>
      <c r="J1030" s="1800"/>
      <c r="K1030" s="1800"/>
      <c r="L1030" s="1800"/>
      <c r="M1030" s="1800"/>
      <c r="N1030" s="1800"/>
      <c r="O1030" s="1800"/>
      <c r="P1030" s="1800"/>
      <c r="Q1030" s="1800"/>
      <c r="R1030" s="1800"/>
      <c r="S1030" s="1800"/>
      <c r="T1030" s="1800"/>
      <c r="U1030" s="1800"/>
      <c r="V1030" s="1800"/>
      <c r="W1030" s="1800"/>
      <c r="X1030" s="1800"/>
      <c r="Y1030" s="1800"/>
      <c r="Z1030" s="1800"/>
      <c r="AA1030" s="1800"/>
      <c r="AB1030" s="1800"/>
      <c r="AC1030" s="1800"/>
      <c r="AD1030" s="1800"/>
      <c r="AE1030" s="1801"/>
      <c r="AF1030" s="1824" t="str">
        <f>IF(AG1029="yes","Please Select Type and Enter Amount:","")</f>
        <v/>
      </c>
      <c r="AG1030" s="1825"/>
      <c r="AH1030" s="1825"/>
      <c r="AI1030" s="1826"/>
      <c r="AJ1030" s="1752"/>
      <c r="AK1030" s="1753"/>
      <c r="AL1030" s="1753"/>
      <c r="AM1030" s="1753"/>
      <c r="AN1030" s="1753"/>
      <c r="AO1030" s="1753"/>
      <c r="AP1030" s="1753"/>
      <c r="AQ1030" s="1754"/>
      <c r="AR1030" s="68"/>
      <c r="AS1030" s="68"/>
      <c r="AT1030" s="68"/>
      <c r="AU1030" s="68"/>
      <c r="AV1030" s="68"/>
      <c r="AW1030" s="68"/>
      <c r="AX1030" s="3">
        <v>9</v>
      </c>
      <c r="AY1030" s="200">
        <f t="shared" si="55"/>
        <v>0</v>
      </c>
      <c r="AZ1030" s="1189">
        <v>0.01</v>
      </c>
    </row>
    <row r="1031" spans="1:52" ht="12.9" customHeight="1">
      <c r="A1031" s="14"/>
      <c r="B1031" s="81"/>
      <c r="C1031" s="84"/>
      <c r="D1031" s="1755" t="s">
        <v>1291</v>
      </c>
      <c r="E1031" s="1756"/>
      <c r="F1031" s="1756"/>
      <c r="G1031" s="1756"/>
      <c r="H1031" s="1756"/>
      <c r="I1031" s="1756"/>
      <c r="J1031" s="1756"/>
      <c r="K1031" s="1756"/>
      <c r="L1031" s="1756"/>
      <c r="M1031" s="1756"/>
      <c r="N1031" s="1756"/>
      <c r="O1031" s="1756"/>
      <c r="P1031" s="1756"/>
      <c r="Q1031" s="1756"/>
      <c r="R1031" s="1756"/>
      <c r="S1031" s="1756"/>
      <c r="T1031" s="1756"/>
      <c r="U1031" s="1756"/>
      <c r="V1031" s="1756"/>
      <c r="W1031" s="1756"/>
      <c r="X1031" s="1756"/>
      <c r="Y1031" s="1756"/>
      <c r="Z1031" s="1756"/>
      <c r="AA1031" s="1756"/>
      <c r="AB1031" s="1756"/>
      <c r="AC1031" s="1756"/>
      <c r="AD1031" s="1756"/>
      <c r="AE1031" s="1757"/>
      <c r="AF1031" s="1824"/>
      <c r="AG1031" s="1825"/>
      <c r="AH1031" s="1825"/>
      <c r="AI1031" s="1826"/>
      <c r="AJ1031" s="1752"/>
      <c r="AK1031" s="1753"/>
      <c r="AL1031" s="1753"/>
      <c r="AM1031" s="1753"/>
      <c r="AN1031" s="1753"/>
      <c r="AO1031" s="1753"/>
      <c r="AP1031" s="1753"/>
      <c r="AQ1031" s="1754"/>
      <c r="AR1031" s="68"/>
      <c r="AS1031" s="68"/>
      <c r="AT1031" s="68"/>
      <c r="AU1031" s="68"/>
      <c r="AV1031" s="68"/>
      <c r="AW1031" s="68"/>
      <c r="AX1031" s="3">
        <v>10</v>
      </c>
      <c r="AY1031" s="200">
        <f t="shared" si="55"/>
        <v>0</v>
      </c>
      <c r="AZ1031" s="1189">
        <v>0.02</v>
      </c>
    </row>
    <row r="1032" spans="1:52" ht="12.9" customHeight="1">
      <c r="A1032" s="14"/>
      <c r="B1032" s="81"/>
      <c r="C1032" s="84"/>
      <c r="D1032" s="1755"/>
      <c r="E1032" s="1756"/>
      <c r="F1032" s="1756"/>
      <c r="G1032" s="1756"/>
      <c r="H1032" s="1756"/>
      <c r="I1032" s="1756"/>
      <c r="J1032" s="1756"/>
      <c r="K1032" s="1756"/>
      <c r="L1032" s="1756"/>
      <c r="M1032" s="1756"/>
      <c r="N1032" s="1756"/>
      <c r="O1032" s="1756"/>
      <c r="P1032" s="1756"/>
      <c r="Q1032" s="1756"/>
      <c r="R1032" s="1756"/>
      <c r="S1032" s="1756"/>
      <c r="T1032" s="1756"/>
      <c r="U1032" s="1756"/>
      <c r="V1032" s="1756"/>
      <c r="W1032" s="1756"/>
      <c r="X1032" s="1756"/>
      <c r="Y1032" s="1756"/>
      <c r="Z1032" s="1756"/>
      <c r="AA1032" s="1756"/>
      <c r="AB1032" s="1756"/>
      <c r="AC1032" s="1756"/>
      <c r="AD1032" s="1756"/>
      <c r="AE1032" s="1757"/>
      <c r="AF1032" s="1820"/>
      <c r="AG1032" s="1820"/>
      <c r="AH1032" s="1820"/>
      <c r="AI1032" s="1820"/>
      <c r="AJ1032" s="1752"/>
      <c r="AK1032" s="1753"/>
      <c r="AL1032" s="1753"/>
      <c r="AM1032" s="1753"/>
      <c r="AN1032" s="1753"/>
      <c r="AO1032" s="1753"/>
      <c r="AP1032" s="1753"/>
      <c r="AQ1032" s="1754"/>
      <c r="AR1032" s="68"/>
      <c r="AS1032" s="68"/>
      <c r="AT1032" s="68"/>
      <c r="AU1032" s="68"/>
      <c r="AV1032" s="68"/>
      <c r="AW1032" s="68"/>
      <c r="AX1032" s="3">
        <v>11</v>
      </c>
      <c r="AY1032" s="200">
        <f t="shared" si="55"/>
        <v>0</v>
      </c>
      <c r="AZ1032" s="1189">
        <v>0.02</v>
      </c>
    </row>
    <row r="1033" spans="1:52" ht="12.9" customHeight="1">
      <c r="A1033" s="14"/>
      <c r="B1033" s="81"/>
      <c r="C1033" s="84"/>
      <c r="D1033" s="526" t="s">
        <v>358</v>
      </c>
      <c r="E1033" s="90"/>
      <c r="F1033" s="90"/>
      <c r="G1033" s="104"/>
      <c r="H1033" s="104"/>
      <c r="I1033" s="49"/>
      <c r="J1033" s="1851" t="s">
        <v>590</v>
      </c>
      <c r="K1033" s="1852"/>
      <c r="L1033" s="1852"/>
      <c r="M1033" s="1852"/>
      <c r="N1033" s="1852"/>
      <c r="O1033" s="1852"/>
      <c r="P1033" s="1852"/>
      <c r="Q1033" s="1852"/>
      <c r="R1033" s="1852"/>
      <c r="S1033" s="1852"/>
      <c r="T1033" s="1852"/>
      <c r="U1033" s="1852"/>
      <c r="V1033" s="1852"/>
      <c r="W1033" s="1852"/>
      <c r="X1033" s="1852"/>
      <c r="Y1033" s="1852"/>
      <c r="Z1033" s="1852"/>
      <c r="AA1033" s="1852"/>
      <c r="AB1033" s="1852"/>
      <c r="AC1033" s="1852"/>
      <c r="AD1033" s="1852"/>
      <c r="AE1033" s="1853"/>
      <c r="AF1033" s="1820"/>
      <c r="AG1033" s="1820"/>
      <c r="AH1033" s="1820"/>
      <c r="AI1033" s="1820"/>
      <c r="AJ1033" s="1761"/>
      <c r="AK1033" s="1762"/>
      <c r="AL1033" s="1762"/>
      <c r="AM1033" s="1762"/>
      <c r="AN1033" s="1762"/>
      <c r="AO1033" s="1762"/>
      <c r="AP1033" s="1762"/>
      <c r="AQ1033" s="1763"/>
      <c r="AR1033" s="68"/>
      <c r="AS1033" s="68"/>
      <c r="AT1033" s="68"/>
      <c r="AU1033" s="68"/>
      <c r="AV1033" s="68"/>
      <c r="AW1033" s="68"/>
      <c r="AX1033" s="1027" t="s">
        <v>2532</v>
      </c>
      <c r="AY1033" s="201">
        <f>IF(SUM(AY1022:AY1032)&lt;=0.2,SUM(AY1022:AY1032),0.2)</f>
        <v>0</v>
      </c>
    </row>
    <row r="1034" spans="1:52" ht="12.9" customHeight="1">
      <c r="A1034" s="14"/>
      <c r="B1034" s="79"/>
      <c r="C1034" s="80" t="s">
        <v>228</v>
      </c>
      <c r="D1034" s="1731" t="s">
        <v>1292</v>
      </c>
      <c r="E1034" s="1732"/>
      <c r="F1034" s="1732"/>
      <c r="G1034" s="1732"/>
      <c r="H1034" s="1732"/>
      <c r="I1034" s="1732"/>
      <c r="J1034" s="1732"/>
      <c r="K1034" s="1732"/>
      <c r="L1034" s="1732"/>
      <c r="M1034" s="1732"/>
      <c r="N1034" s="1732"/>
      <c r="O1034" s="1732"/>
      <c r="P1034" s="1732"/>
      <c r="Q1034" s="1732"/>
      <c r="R1034" s="1732"/>
      <c r="S1034" s="1732"/>
      <c r="T1034" s="1732"/>
      <c r="U1034" s="1732"/>
      <c r="V1034" s="1732"/>
      <c r="W1034" s="1732"/>
      <c r="X1034" s="1732"/>
      <c r="Y1034" s="1732"/>
      <c r="Z1034" s="1732"/>
      <c r="AA1034" s="1732"/>
      <c r="AB1034" s="1732"/>
      <c r="AC1034" s="1732"/>
      <c r="AD1034" s="1732"/>
      <c r="AE1034" s="1733"/>
      <c r="AF1034" s="79"/>
      <c r="AG1034" s="1770" t="s">
        <v>544</v>
      </c>
      <c r="AH1034" s="1771"/>
      <c r="AI1034" s="87"/>
      <c r="AJ1034" s="1749">
        <f>ROUND(IF(AG1034="Yes",AF1036,0),0)</f>
        <v>3536354</v>
      </c>
      <c r="AK1034" s="1750"/>
      <c r="AL1034" s="1750"/>
      <c r="AM1034" s="1750"/>
      <c r="AN1034" s="1750"/>
      <c r="AO1034" s="1750"/>
      <c r="AP1034" s="1750"/>
      <c r="AQ1034" s="1751"/>
      <c r="AR1034" s="68"/>
      <c r="AS1034" s="68"/>
      <c r="AT1034" s="68"/>
      <c r="AU1034" s="68"/>
      <c r="AV1034" s="68"/>
      <c r="AW1034" s="68"/>
      <c r="AX1034" s="68"/>
      <c r="AY1034" s="68"/>
    </row>
    <row r="1035" spans="1:52" ht="12.9" customHeight="1">
      <c r="A1035" s="14"/>
      <c r="B1035" s="73"/>
      <c r="C1035" s="74"/>
      <c r="D1035" s="1755" t="s">
        <v>1678</v>
      </c>
      <c r="E1035" s="1756"/>
      <c r="F1035" s="1756"/>
      <c r="G1035" s="1756"/>
      <c r="H1035" s="1756"/>
      <c r="I1035" s="1756"/>
      <c r="J1035" s="1756"/>
      <c r="K1035" s="1756"/>
      <c r="L1035" s="1756"/>
      <c r="M1035" s="1756"/>
      <c r="N1035" s="1756"/>
      <c r="O1035" s="1756"/>
      <c r="P1035" s="1756"/>
      <c r="Q1035" s="1756"/>
      <c r="R1035" s="1756"/>
      <c r="S1035" s="1756"/>
      <c r="T1035" s="1756"/>
      <c r="U1035" s="1756"/>
      <c r="V1035" s="1756"/>
      <c r="W1035" s="1756"/>
      <c r="X1035" s="1756"/>
      <c r="Y1035" s="1756"/>
      <c r="Z1035" s="1756"/>
      <c r="AA1035" s="1756"/>
      <c r="AB1035" s="1756"/>
      <c r="AC1035" s="1756"/>
      <c r="AD1035" s="1756"/>
      <c r="AE1035" s="1757"/>
      <c r="AF1035" s="1802" t="str">
        <f>IF(AG1034="yes","Enter Amount:","")</f>
        <v>Enter Amount:</v>
      </c>
      <c r="AG1035" s="1803"/>
      <c r="AH1035" s="1803"/>
      <c r="AI1035" s="1804"/>
      <c r="AJ1035" s="1752"/>
      <c r="AK1035" s="1753"/>
      <c r="AL1035" s="1753"/>
      <c r="AM1035" s="1753"/>
      <c r="AN1035" s="1753"/>
      <c r="AO1035" s="1753"/>
      <c r="AP1035" s="1753"/>
      <c r="AQ1035" s="1754"/>
      <c r="AR1035" s="68"/>
      <c r="AS1035" s="68"/>
      <c r="AT1035" s="68"/>
      <c r="AU1035" s="68"/>
      <c r="AV1035" s="68"/>
      <c r="AW1035" s="68"/>
      <c r="AX1035" s="68"/>
      <c r="AY1035" s="68"/>
    </row>
    <row r="1036" spans="1:52" ht="12.9" customHeight="1">
      <c r="A1036" s="14"/>
      <c r="B1036" s="73"/>
      <c r="C1036" s="74"/>
      <c r="D1036" s="1755"/>
      <c r="E1036" s="1756"/>
      <c r="F1036" s="1756"/>
      <c r="G1036" s="1756"/>
      <c r="H1036" s="1756"/>
      <c r="I1036" s="1756"/>
      <c r="J1036" s="1756"/>
      <c r="K1036" s="1756"/>
      <c r="L1036" s="1756"/>
      <c r="M1036" s="1756"/>
      <c r="N1036" s="1756"/>
      <c r="O1036" s="1756"/>
      <c r="P1036" s="1756"/>
      <c r="Q1036" s="1756"/>
      <c r="R1036" s="1756"/>
      <c r="S1036" s="1756"/>
      <c r="T1036" s="1756"/>
      <c r="U1036" s="1756"/>
      <c r="V1036" s="1756"/>
      <c r="W1036" s="1756"/>
      <c r="X1036" s="1756"/>
      <c r="Y1036" s="1756"/>
      <c r="Z1036" s="1756"/>
      <c r="AA1036" s="1756"/>
      <c r="AB1036" s="1756"/>
      <c r="AC1036" s="1756"/>
      <c r="AD1036" s="1756"/>
      <c r="AE1036" s="1757"/>
      <c r="AF1036" s="1820">
        <f>'Sources and Uses Budget'!C85</f>
        <v>3536354</v>
      </c>
      <c r="AG1036" s="1820"/>
      <c r="AH1036" s="1820"/>
      <c r="AI1036" s="1820"/>
      <c r="AJ1036" s="1752"/>
      <c r="AK1036" s="1753"/>
      <c r="AL1036" s="1753"/>
      <c r="AM1036" s="1753"/>
      <c r="AN1036" s="1753"/>
      <c r="AO1036" s="1753"/>
      <c r="AP1036" s="1753"/>
      <c r="AQ1036" s="1754"/>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758"/>
      <c r="E1037" s="1759"/>
      <c r="F1037" s="1759"/>
      <c r="G1037" s="1759"/>
      <c r="H1037" s="1759"/>
      <c r="I1037" s="1759"/>
      <c r="J1037" s="1759"/>
      <c r="K1037" s="1759"/>
      <c r="L1037" s="1759"/>
      <c r="M1037" s="1759"/>
      <c r="N1037" s="1759"/>
      <c r="O1037" s="1759"/>
      <c r="P1037" s="1759"/>
      <c r="Q1037" s="1759"/>
      <c r="R1037" s="1759"/>
      <c r="S1037" s="1759"/>
      <c r="T1037" s="1759"/>
      <c r="U1037" s="1759"/>
      <c r="V1037" s="1759"/>
      <c r="W1037" s="1759"/>
      <c r="X1037" s="1759"/>
      <c r="Y1037" s="1759"/>
      <c r="Z1037" s="1759"/>
      <c r="AA1037" s="1759"/>
      <c r="AB1037" s="1759"/>
      <c r="AC1037" s="1759"/>
      <c r="AD1037" s="1759"/>
      <c r="AE1037" s="1760"/>
      <c r="AF1037" s="1820"/>
      <c r="AG1037" s="1820"/>
      <c r="AH1037" s="1820"/>
      <c r="AI1037" s="1820"/>
      <c r="AJ1037" s="1761"/>
      <c r="AK1037" s="1762"/>
      <c r="AL1037" s="1762"/>
      <c r="AM1037" s="1762"/>
      <c r="AN1037" s="1762"/>
      <c r="AO1037" s="1762"/>
      <c r="AP1037" s="1762"/>
      <c r="AQ1037" s="1763"/>
      <c r="AR1037" s="68"/>
      <c r="AS1037" s="68"/>
      <c r="AT1037" s="68"/>
      <c r="AU1037" s="68"/>
      <c r="AV1037" s="68"/>
      <c r="AW1037" s="68"/>
      <c r="AX1037" s="68"/>
      <c r="AY1037" s="68"/>
    </row>
    <row r="1038" spans="1:52" ht="12.9" customHeight="1">
      <c r="A1038" s="14"/>
      <c r="B1038" s="79"/>
      <c r="C1038" s="80" t="s">
        <v>233</v>
      </c>
      <c r="D1038" s="1777" t="s">
        <v>1293</v>
      </c>
      <c r="E1038" s="1778"/>
      <c r="F1038" s="1778"/>
      <c r="G1038" s="1778"/>
      <c r="H1038" s="1778"/>
      <c r="I1038" s="1778"/>
      <c r="J1038" s="1778"/>
      <c r="K1038" s="1778"/>
      <c r="L1038" s="1778"/>
      <c r="M1038" s="1778"/>
      <c r="N1038" s="1778"/>
      <c r="O1038" s="1778"/>
      <c r="P1038" s="1778"/>
      <c r="Q1038" s="1778"/>
      <c r="R1038" s="1778"/>
      <c r="S1038" s="1778"/>
      <c r="T1038" s="1778"/>
      <c r="U1038" s="1778"/>
      <c r="V1038" s="1778"/>
      <c r="W1038" s="1778"/>
      <c r="X1038" s="1778"/>
      <c r="Y1038" s="1778"/>
      <c r="Z1038" s="1778"/>
      <c r="AA1038" s="1778"/>
      <c r="AB1038" s="1778"/>
      <c r="AC1038" s="1778"/>
      <c r="AD1038" s="1778"/>
      <c r="AE1038" s="1779"/>
      <c r="AF1038" s="79"/>
      <c r="AG1038" s="1770" t="s">
        <v>544</v>
      </c>
      <c r="AH1038" s="1771"/>
      <c r="AI1038" s="87"/>
      <c r="AJ1038" s="1749">
        <f>ROUND(IF(AG1038="yes",(AJ1001*0.1),0),0)</f>
        <v>16600198</v>
      </c>
      <c r="AK1038" s="1750"/>
      <c r="AL1038" s="1750"/>
      <c r="AM1038" s="1750"/>
      <c r="AN1038" s="1750"/>
      <c r="AO1038" s="1750"/>
      <c r="AP1038" s="1750"/>
      <c r="AQ1038" s="1751"/>
      <c r="AR1038" s="68"/>
      <c r="AS1038" s="68"/>
      <c r="AT1038" s="68"/>
      <c r="AU1038" s="68"/>
      <c r="AV1038" s="68"/>
      <c r="AW1038" s="68"/>
      <c r="AX1038" s="68"/>
      <c r="AY1038" s="68"/>
    </row>
    <row r="1039" spans="1:52" ht="12.9" customHeight="1">
      <c r="A1039" s="14"/>
      <c r="B1039" s="73"/>
      <c r="C1039" s="74"/>
      <c r="D1039" s="1755" t="s">
        <v>1294</v>
      </c>
      <c r="E1039" s="1756"/>
      <c r="F1039" s="1756"/>
      <c r="G1039" s="1756"/>
      <c r="H1039" s="1756"/>
      <c r="I1039" s="1756"/>
      <c r="J1039" s="1756"/>
      <c r="K1039" s="1756"/>
      <c r="L1039" s="1756"/>
      <c r="M1039" s="1756"/>
      <c r="N1039" s="1756"/>
      <c r="O1039" s="1756"/>
      <c r="P1039" s="1756"/>
      <c r="Q1039" s="1756"/>
      <c r="R1039" s="1756"/>
      <c r="S1039" s="1756"/>
      <c r="T1039" s="1756"/>
      <c r="U1039" s="1756"/>
      <c r="V1039" s="1756"/>
      <c r="W1039" s="1756"/>
      <c r="X1039" s="1756"/>
      <c r="Y1039" s="1756"/>
      <c r="Z1039" s="1756"/>
      <c r="AA1039" s="1756"/>
      <c r="AB1039" s="1756"/>
      <c r="AC1039" s="1756"/>
      <c r="AD1039" s="1756"/>
      <c r="AE1039" s="1757"/>
      <c r="AF1039" s="73"/>
      <c r="AG1039" s="14"/>
      <c r="AH1039" s="14"/>
      <c r="AI1039" s="83"/>
      <c r="AJ1039" s="1752"/>
      <c r="AK1039" s="1753"/>
      <c r="AL1039" s="1753"/>
      <c r="AM1039" s="1753"/>
      <c r="AN1039" s="1753"/>
      <c r="AO1039" s="1753"/>
      <c r="AP1039" s="1753"/>
      <c r="AQ1039" s="1754"/>
      <c r="AR1039" s="68"/>
      <c r="AS1039" s="68"/>
      <c r="AT1039" s="68"/>
      <c r="AU1039" s="68"/>
      <c r="AV1039" s="68"/>
      <c r="AW1039" s="68"/>
      <c r="AX1039" s="68"/>
      <c r="AY1039" s="68"/>
    </row>
    <row r="1040" spans="1:52" ht="12.9" customHeight="1">
      <c r="A1040" s="14"/>
      <c r="B1040" s="77"/>
      <c r="C1040" s="74"/>
      <c r="D1040" s="1758"/>
      <c r="E1040" s="1759"/>
      <c r="F1040" s="1759"/>
      <c r="G1040" s="1759"/>
      <c r="H1040" s="1759"/>
      <c r="I1040" s="1759"/>
      <c r="J1040" s="1759"/>
      <c r="K1040" s="1759"/>
      <c r="L1040" s="1759"/>
      <c r="M1040" s="1759"/>
      <c r="N1040" s="1759"/>
      <c r="O1040" s="1759"/>
      <c r="P1040" s="1759"/>
      <c r="Q1040" s="1759"/>
      <c r="R1040" s="1759"/>
      <c r="S1040" s="1759"/>
      <c r="T1040" s="1759"/>
      <c r="U1040" s="1759"/>
      <c r="V1040" s="1759"/>
      <c r="W1040" s="1759"/>
      <c r="X1040" s="1759"/>
      <c r="Y1040" s="1759"/>
      <c r="Z1040" s="1759"/>
      <c r="AA1040" s="1759"/>
      <c r="AB1040" s="1759"/>
      <c r="AC1040" s="1759"/>
      <c r="AD1040" s="1759"/>
      <c r="AE1040" s="1760"/>
      <c r="AF1040" s="73"/>
      <c r="AG1040" s="14"/>
      <c r="AH1040" s="14"/>
      <c r="AI1040" s="83"/>
      <c r="AJ1040" s="1761"/>
      <c r="AK1040" s="1762"/>
      <c r="AL1040" s="1762"/>
      <c r="AM1040" s="1762"/>
      <c r="AN1040" s="1762"/>
      <c r="AO1040" s="1762"/>
      <c r="AP1040" s="1762"/>
      <c r="AQ1040" s="1763"/>
      <c r="AR1040" s="68"/>
      <c r="AS1040" s="68"/>
      <c r="AT1040" s="68"/>
      <c r="AU1040" s="68"/>
      <c r="AV1040" s="68"/>
      <c r="AW1040" s="68"/>
      <c r="AX1040" s="68"/>
      <c r="AY1040" s="68"/>
    </row>
    <row r="1041" spans="1:57" ht="12.9" customHeight="1">
      <c r="A1041" s="14"/>
      <c r="B1041" s="73"/>
      <c r="C1041" s="339" t="s">
        <v>686</v>
      </c>
      <c r="D1041" s="1731" t="s">
        <v>1674</v>
      </c>
      <c r="E1041" s="1732"/>
      <c r="F1041" s="1732"/>
      <c r="G1041" s="1732"/>
      <c r="H1041" s="1732"/>
      <c r="I1041" s="1732"/>
      <c r="J1041" s="1732"/>
      <c r="K1041" s="1732"/>
      <c r="L1041" s="1732"/>
      <c r="M1041" s="1732"/>
      <c r="N1041" s="1732"/>
      <c r="O1041" s="1732"/>
      <c r="P1041" s="1732"/>
      <c r="Q1041" s="1732"/>
      <c r="R1041" s="1732"/>
      <c r="S1041" s="1732"/>
      <c r="T1041" s="1732"/>
      <c r="U1041" s="1732"/>
      <c r="V1041" s="1732"/>
      <c r="W1041" s="1732"/>
      <c r="X1041" s="1732"/>
      <c r="Y1041" s="1732"/>
      <c r="Z1041" s="1732"/>
      <c r="AA1041" s="1732"/>
      <c r="AB1041" s="1732"/>
      <c r="AC1041" s="1732"/>
      <c r="AD1041" s="1732"/>
      <c r="AE1041" s="1733"/>
      <c r="AF1041" s="79"/>
      <c r="AG1041" s="1770" t="s">
        <v>668</v>
      </c>
      <c r="AH1041" s="1771"/>
      <c r="AI1041" s="87"/>
      <c r="AJ1041" s="1749">
        <f>ROUND(IF(AG1041="yes",(AJ1001*0.15),0),0)</f>
        <v>0</v>
      </c>
      <c r="AK1041" s="1750"/>
      <c r="AL1041" s="1750"/>
      <c r="AM1041" s="1750"/>
      <c r="AN1041" s="1750"/>
      <c r="AO1041" s="1750"/>
      <c r="AP1041" s="1750"/>
      <c r="AQ1041" s="1751"/>
      <c r="AR1041" s="68"/>
      <c r="AS1041" s="68"/>
      <c r="AT1041" s="68"/>
      <c r="AU1041" s="68"/>
      <c r="AV1041" s="68"/>
      <c r="AW1041" s="68"/>
      <c r="AX1041" s="68"/>
      <c r="AY1041" s="68"/>
    </row>
    <row r="1042" spans="1:57" ht="12.9" customHeight="1">
      <c r="A1042" s="14"/>
      <c r="B1042" s="73"/>
      <c r="C1042" s="74"/>
      <c r="D1042" s="1772"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3"/>
      <c r="AF1042" s="911"/>
      <c r="AG1042" s="912"/>
      <c r="AH1042" s="912"/>
      <c r="AI1042" s="913"/>
      <c r="AJ1042" s="1752"/>
      <c r="AK1042" s="1753"/>
      <c r="AL1042" s="1753"/>
      <c r="AM1042" s="1753"/>
      <c r="AN1042" s="1753"/>
      <c r="AO1042" s="1753"/>
      <c r="AP1042" s="1753"/>
      <c r="AQ1042" s="1754"/>
      <c r="AR1042" s="68"/>
      <c r="AS1042" s="68"/>
      <c r="AT1042" s="68"/>
      <c r="AU1042" s="68"/>
      <c r="AV1042" s="68"/>
      <c r="AW1042" s="68"/>
      <c r="AX1042" s="68"/>
      <c r="AY1042" s="68"/>
    </row>
    <row r="1043" spans="1:57" ht="12.9" customHeight="1">
      <c r="A1043" s="14"/>
      <c r="B1043" s="73"/>
      <c r="C1043" s="74"/>
      <c r="D1043" s="1772"/>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3"/>
      <c r="AF1043" s="911"/>
      <c r="AG1043" s="912"/>
      <c r="AH1043" s="912"/>
      <c r="AI1043" s="913"/>
      <c r="AJ1043" s="1752"/>
      <c r="AK1043" s="1753"/>
      <c r="AL1043" s="1753"/>
      <c r="AM1043" s="1753"/>
      <c r="AN1043" s="1753"/>
      <c r="AO1043" s="1753"/>
      <c r="AP1043" s="1753"/>
      <c r="AQ1043" s="1754"/>
      <c r="AR1043" s="68"/>
      <c r="AS1043" s="68"/>
      <c r="AT1043" s="68"/>
      <c r="AU1043" s="68"/>
      <c r="AV1043" s="68"/>
      <c r="AW1043" s="68"/>
      <c r="AX1043" s="68"/>
      <c r="AY1043" s="68"/>
    </row>
    <row r="1044" spans="1:57" ht="12.9" customHeight="1">
      <c r="A1044" s="14"/>
      <c r="B1044" s="73"/>
      <c r="C1044" s="74"/>
      <c r="D1044" s="1774"/>
      <c r="E1044" s="1775"/>
      <c r="F1044" s="1775"/>
      <c r="G1044" s="1775"/>
      <c r="H1044" s="1775"/>
      <c r="I1044" s="1775"/>
      <c r="J1044" s="1775"/>
      <c r="K1044" s="1775"/>
      <c r="L1044" s="1775"/>
      <c r="M1044" s="1775"/>
      <c r="N1044" s="1775"/>
      <c r="O1044" s="1775"/>
      <c r="P1044" s="1775"/>
      <c r="Q1044" s="1775"/>
      <c r="R1044" s="1775"/>
      <c r="S1044" s="1775"/>
      <c r="T1044" s="1775"/>
      <c r="U1044" s="1775"/>
      <c r="V1044" s="1775"/>
      <c r="W1044" s="1775"/>
      <c r="X1044" s="1775"/>
      <c r="Y1044" s="1775"/>
      <c r="Z1044" s="1775"/>
      <c r="AA1044" s="1775"/>
      <c r="AB1044" s="1775"/>
      <c r="AC1044" s="1775"/>
      <c r="AD1044" s="1775"/>
      <c r="AE1044" s="1776"/>
      <c r="AF1044" s="914"/>
      <c r="AG1044" s="915"/>
      <c r="AH1044" s="915"/>
      <c r="AI1044" s="916"/>
      <c r="AJ1044" s="1761"/>
      <c r="AK1044" s="1762"/>
      <c r="AL1044" s="1762"/>
      <c r="AM1044" s="1762"/>
      <c r="AN1044" s="1762"/>
      <c r="AO1044" s="1762"/>
      <c r="AP1044" s="1762"/>
      <c r="AQ1044" s="1763"/>
      <c r="AR1044" s="68"/>
      <c r="AS1044" s="68"/>
      <c r="AT1044" s="68"/>
      <c r="AU1044" s="68"/>
      <c r="AV1044" s="68"/>
      <c r="AW1044" s="68"/>
      <c r="AX1044" s="68"/>
      <c r="AY1044" s="68"/>
    </row>
    <row r="1045" spans="1:57" ht="12.9" customHeight="1">
      <c r="A1045" s="14"/>
      <c r="B1045" s="73"/>
      <c r="C1045" s="339" t="s">
        <v>686</v>
      </c>
      <c r="D1045" s="1777" t="s">
        <v>1676</v>
      </c>
      <c r="E1045" s="1778"/>
      <c r="F1045" s="1778"/>
      <c r="G1045" s="1778"/>
      <c r="H1045" s="1778"/>
      <c r="I1045" s="1778"/>
      <c r="J1045" s="1778"/>
      <c r="K1045" s="1778"/>
      <c r="L1045" s="1778"/>
      <c r="M1045" s="1778"/>
      <c r="N1045" s="1778"/>
      <c r="O1045" s="1778"/>
      <c r="P1045" s="1778"/>
      <c r="Q1045" s="1778"/>
      <c r="R1045" s="1778"/>
      <c r="S1045" s="1778"/>
      <c r="T1045" s="1778"/>
      <c r="U1045" s="1778"/>
      <c r="V1045" s="1778"/>
      <c r="W1045" s="1778"/>
      <c r="X1045" s="1778"/>
      <c r="Y1045" s="1778"/>
      <c r="Z1045" s="1778"/>
      <c r="AA1045" s="1778"/>
      <c r="AB1045" s="1778"/>
      <c r="AC1045" s="1778"/>
      <c r="AD1045" s="1778"/>
      <c r="AE1045" s="1779"/>
      <c r="AF1045" s="73"/>
      <c r="AG1045" s="1785" t="s">
        <v>544</v>
      </c>
      <c r="AH1045" s="1786"/>
      <c r="AI1045" s="83"/>
      <c r="AJ1045" s="1749">
        <f>ROUND(IF(AND(AG1045="yes",AJ1041=0),(AJ1001*0.1),0),0)</f>
        <v>16600198</v>
      </c>
      <c r="AK1045" s="1750"/>
      <c r="AL1045" s="1750"/>
      <c r="AM1045" s="1750"/>
      <c r="AN1045" s="1750"/>
      <c r="AO1045" s="1750"/>
      <c r="AP1045" s="1750"/>
      <c r="AQ1045" s="1751"/>
      <c r="AR1045" s="68"/>
      <c r="AS1045" s="68"/>
      <c r="AT1045" s="68"/>
      <c r="AU1045" s="68"/>
      <c r="AV1045" s="68"/>
      <c r="AW1045" s="68"/>
      <c r="AX1045" s="68"/>
      <c r="AY1045" s="68"/>
    </row>
    <row r="1046" spans="1:57" ht="12.9" customHeight="1">
      <c r="A1046" s="14"/>
      <c r="B1046" s="73"/>
      <c r="C1046" s="74"/>
      <c r="D1046" s="1772"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3"/>
      <c r="AF1046" s="73"/>
      <c r="AG1046" s="14"/>
      <c r="AH1046" s="14"/>
      <c r="AI1046" s="83"/>
      <c r="AJ1046" s="1752"/>
      <c r="AK1046" s="1753"/>
      <c r="AL1046" s="1753"/>
      <c r="AM1046" s="1753"/>
      <c r="AN1046" s="1753"/>
      <c r="AO1046" s="1753"/>
      <c r="AP1046" s="1753"/>
      <c r="AQ1046" s="1754"/>
      <c r="AR1046" s="68"/>
      <c r="AS1046" s="68"/>
      <c r="AT1046" s="68"/>
      <c r="AU1046" s="68"/>
      <c r="AV1046" s="68"/>
      <c r="AW1046" s="68"/>
      <c r="AX1046" s="68"/>
      <c r="AY1046" s="68"/>
    </row>
    <row r="1047" spans="1:57" ht="12.9" customHeight="1">
      <c r="A1047" s="14"/>
      <c r="B1047" s="73"/>
      <c r="C1047" s="74"/>
      <c r="D1047" s="1772"/>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3"/>
      <c r="AF1047" s="73"/>
      <c r="AG1047" s="14"/>
      <c r="AH1047" s="14"/>
      <c r="AI1047" s="83"/>
      <c r="AJ1047" s="1752"/>
      <c r="AK1047" s="1753"/>
      <c r="AL1047" s="1753"/>
      <c r="AM1047" s="1753"/>
      <c r="AN1047" s="1753"/>
      <c r="AO1047" s="1753"/>
      <c r="AP1047" s="1753"/>
      <c r="AQ1047" s="1754"/>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 customHeight="1">
      <c r="A1048" s="14"/>
      <c r="B1048" s="73"/>
      <c r="C1048" s="74"/>
      <c r="D1048" s="1772"/>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3"/>
      <c r="AF1048" s="73"/>
      <c r="AG1048" s="14"/>
      <c r="AH1048" s="14"/>
      <c r="AI1048" s="83"/>
      <c r="AJ1048" s="1752"/>
      <c r="AK1048" s="1753"/>
      <c r="AL1048" s="1753"/>
      <c r="AM1048" s="1753"/>
      <c r="AN1048" s="1753"/>
      <c r="AO1048" s="1753"/>
      <c r="AP1048" s="1753"/>
      <c r="AQ1048" s="1754"/>
      <c r="AR1048" s="68"/>
      <c r="AS1048" s="68"/>
      <c r="AT1048" s="68"/>
      <c r="AU1048" s="68"/>
      <c r="AV1048" s="68"/>
      <c r="AW1048" s="68"/>
      <c r="AX1048" s="68"/>
      <c r="AY1048" s="68"/>
      <c r="BA1048">
        <f>IFERROR((($CI$761+$CM$761)/$AG$449),0)</f>
        <v>0.30172413793103448</v>
      </c>
      <c r="BB1048" s="3" t="s">
        <v>2424</v>
      </c>
    </row>
    <row r="1049" spans="1:57" ht="12.9" customHeight="1">
      <c r="A1049" s="14"/>
      <c r="B1049" s="73"/>
      <c r="C1049" s="74"/>
      <c r="D1049" s="1774"/>
      <c r="E1049" s="1775"/>
      <c r="F1049" s="1775"/>
      <c r="G1049" s="1775"/>
      <c r="H1049" s="1775"/>
      <c r="I1049" s="1775"/>
      <c r="J1049" s="1775"/>
      <c r="K1049" s="1775"/>
      <c r="L1049" s="1775"/>
      <c r="M1049" s="1775"/>
      <c r="N1049" s="1775"/>
      <c r="O1049" s="1775"/>
      <c r="P1049" s="1775"/>
      <c r="Q1049" s="1775"/>
      <c r="R1049" s="1775"/>
      <c r="S1049" s="1775"/>
      <c r="T1049" s="1775"/>
      <c r="U1049" s="1775"/>
      <c r="V1049" s="1775"/>
      <c r="W1049" s="1775"/>
      <c r="X1049" s="1775"/>
      <c r="Y1049" s="1775"/>
      <c r="Z1049" s="1775"/>
      <c r="AA1049" s="1775"/>
      <c r="AB1049" s="1775"/>
      <c r="AC1049" s="1775"/>
      <c r="AD1049" s="1775"/>
      <c r="AE1049" s="1776"/>
      <c r="AF1049" s="73"/>
      <c r="AG1049" s="14"/>
      <c r="AH1049" s="14"/>
      <c r="AI1049" s="83"/>
      <c r="AJ1049" s="1752"/>
      <c r="AK1049" s="1753"/>
      <c r="AL1049" s="1753"/>
      <c r="AM1049" s="1753"/>
      <c r="AN1049" s="1753"/>
      <c r="AO1049" s="1753"/>
      <c r="AP1049" s="1753"/>
      <c r="AQ1049" s="1754"/>
      <c r="AR1049" s="68"/>
      <c r="AS1049" s="68"/>
      <c r="AT1049" s="68"/>
      <c r="AU1049" s="68"/>
      <c r="AV1049" s="68"/>
      <c r="AW1049" s="68"/>
      <c r="AX1049" s="68"/>
      <c r="AY1049" s="68"/>
      <c r="BA1049" t="b">
        <f>'Points System'!AJ163="Yes"</f>
        <v>0</v>
      </c>
      <c r="BB1049" s="3" t="s">
        <v>2421</v>
      </c>
    </row>
    <row r="1050" spans="1:57" ht="12.9" customHeight="1">
      <c r="A1050" s="14"/>
      <c r="B1050" s="79"/>
      <c r="C1050" s="131" t="s">
        <v>1009</v>
      </c>
      <c r="D1050" s="1731" t="s">
        <v>1295</v>
      </c>
      <c r="E1050" s="1732"/>
      <c r="F1050" s="1732"/>
      <c r="G1050" s="1732"/>
      <c r="H1050" s="1732"/>
      <c r="I1050" s="1732"/>
      <c r="J1050" s="1732"/>
      <c r="K1050" s="1732"/>
      <c r="L1050" s="1732"/>
      <c r="M1050" s="1732"/>
      <c r="N1050" s="1732"/>
      <c r="O1050" s="1732"/>
      <c r="P1050" s="1732"/>
      <c r="Q1050" s="1732"/>
      <c r="R1050" s="1732"/>
      <c r="S1050" s="1732"/>
      <c r="T1050" s="1732"/>
      <c r="U1050" s="1732"/>
      <c r="V1050" s="1732"/>
      <c r="W1050" s="1732"/>
      <c r="X1050" s="1732"/>
      <c r="Y1050" s="1732"/>
      <c r="Z1050" s="1732"/>
      <c r="AA1050" s="1732"/>
      <c r="AB1050" s="1732"/>
      <c r="AC1050" s="1732"/>
      <c r="AD1050" s="1732"/>
      <c r="AE1050" s="1733"/>
      <c r="AF1050" s="79"/>
      <c r="AG1050" s="1770" t="s">
        <v>668</v>
      </c>
      <c r="AH1050" s="1771"/>
      <c r="AI1050" s="87"/>
      <c r="AJ1050" s="1749">
        <f>ROUND(IF(AG1050="yes",(AJ1001*0.1),0),0)</f>
        <v>0</v>
      </c>
      <c r="AK1050" s="1750"/>
      <c r="AL1050" s="1750"/>
      <c r="AM1050" s="1750"/>
      <c r="AN1050" s="1750"/>
      <c r="AO1050" s="1750"/>
      <c r="AP1050" s="1750"/>
      <c r="AQ1050" s="1751"/>
      <c r="AR1050" s="68"/>
      <c r="AS1050" s="68"/>
      <c r="AT1050" s="68"/>
      <c r="AU1050" s="68"/>
      <c r="AV1050" s="68"/>
      <c r="AW1050" s="68"/>
      <c r="AX1050" s="68"/>
      <c r="AY1050" s="68"/>
      <c r="BA1050">
        <f>Q212</f>
        <v>0</v>
      </c>
      <c r="BB1050" s="3" t="s">
        <v>2422</v>
      </c>
    </row>
    <row r="1051" spans="1:57" ht="12.9" customHeight="1">
      <c r="A1051" s="14"/>
      <c r="B1051" s="73"/>
      <c r="C1051" s="74"/>
      <c r="D1051" s="1755" t="s">
        <v>2099</v>
      </c>
      <c r="E1051" s="1756"/>
      <c r="F1051" s="1756"/>
      <c r="G1051" s="1756"/>
      <c r="H1051" s="1756"/>
      <c r="I1051" s="1756"/>
      <c r="J1051" s="1756"/>
      <c r="K1051" s="1756"/>
      <c r="L1051" s="1756"/>
      <c r="M1051" s="1756"/>
      <c r="N1051" s="1756"/>
      <c r="O1051" s="1756"/>
      <c r="P1051" s="1756"/>
      <c r="Q1051" s="1756"/>
      <c r="R1051" s="1756"/>
      <c r="S1051" s="1756"/>
      <c r="T1051" s="1756"/>
      <c r="U1051" s="1756"/>
      <c r="V1051" s="1756"/>
      <c r="W1051" s="1756"/>
      <c r="X1051" s="1756"/>
      <c r="Y1051" s="1756"/>
      <c r="Z1051" s="1756"/>
      <c r="AA1051" s="1756"/>
      <c r="AB1051" s="1756"/>
      <c r="AC1051" s="1756"/>
      <c r="AD1051" s="1756"/>
      <c r="AE1051" s="1757"/>
      <c r="AF1051" s="73"/>
      <c r="AG1051" s="14"/>
      <c r="AH1051" s="14"/>
      <c r="AI1051" s="83"/>
      <c r="AJ1051" s="1752"/>
      <c r="AK1051" s="1753"/>
      <c r="AL1051" s="1753"/>
      <c r="AM1051" s="1753"/>
      <c r="AN1051" s="1753"/>
      <c r="AO1051" s="1753"/>
      <c r="AP1051" s="1753"/>
      <c r="AQ1051" s="1754"/>
      <c r="AR1051" s="68"/>
      <c r="AS1051" s="68"/>
      <c r="AT1051" s="68"/>
      <c r="AU1051" s="68"/>
      <c r="AV1051" s="68"/>
      <c r="AW1051" s="68"/>
      <c r="AX1051" s="68"/>
      <c r="AY1051" s="68"/>
      <c r="BA1051" s="1177">
        <f>T212</f>
        <v>0</v>
      </c>
      <c r="BB1051" s="3" t="s">
        <v>2423</v>
      </c>
    </row>
    <row r="1052" spans="1:57" ht="12.9" customHeight="1">
      <c r="A1052" s="14"/>
      <c r="B1052" s="73"/>
      <c r="C1052" s="74"/>
      <c r="D1052" s="1755"/>
      <c r="E1052" s="1756"/>
      <c r="F1052" s="1756"/>
      <c r="G1052" s="1756"/>
      <c r="H1052" s="1756"/>
      <c r="I1052" s="1756"/>
      <c r="J1052" s="1756"/>
      <c r="K1052" s="1756"/>
      <c r="L1052" s="1756"/>
      <c r="M1052" s="1756"/>
      <c r="N1052" s="1756"/>
      <c r="O1052" s="1756"/>
      <c r="P1052" s="1756"/>
      <c r="Q1052" s="1756"/>
      <c r="R1052" s="1756"/>
      <c r="S1052" s="1756"/>
      <c r="T1052" s="1756"/>
      <c r="U1052" s="1756"/>
      <c r="V1052" s="1756"/>
      <c r="W1052" s="1756"/>
      <c r="X1052" s="1756"/>
      <c r="Y1052" s="1756"/>
      <c r="Z1052" s="1756"/>
      <c r="AA1052" s="1756"/>
      <c r="AB1052" s="1756"/>
      <c r="AC1052" s="1756"/>
      <c r="AD1052" s="1756"/>
      <c r="AE1052" s="1757"/>
      <c r="AF1052" s="73"/>
      <c r="AG1052" s="14"/>
      <c r="AH1052" s="14"/>
      <c r="AI1052" s="83"/>
      <c r="AJ1052" s="1752"/>
      <c r="AK1052" s="1753"/>
      <c r="AL1052" s="1753"/>
      <c r="AM1052" s="1753"/>
      <c r="AN1052" s="1753"/>
      <c r="AO1052" s="1753"/>
      <c r="AP1052" s="1753"/>
      <c r="AQ1052" s="1754"/>
      <c r="AR1052" s="68"/>
      <c r="AS1052" s="68"/>
      <c r="AT1052" s="68"/>
      <c r="AU1052" s="68"/>
      <c r="AV1052" s="68"/>
      <c r="AW1052" s="68"/>
      <c r="AX1052" s="68"/>
      <c r="AY1052" s="68"/>
    </row>
    <row r="1053" spans="1:57" ht="12.9" customHeight="1">
      <c r="A1053" s="14"/>
      <c r="B1053" s="73"/>
      <c r="C1053" s="74"/>
      <c r="D1053" s="1758"/>
      <c r="E1053" s="1759"/>
      <c r="F1053" s="1759"/>
      <c r="G1053" s="1759"/>
      <c r="H1053" s="1759"/>
      <c r="I1053" s="1759"/>
      <c r="J1053" s="1759"/>
      <c r="K1053" s="1759"/>
      <c r="L1053" s="1759"/>
      <c r="M1053" s="1759"/>
      <c r="N1053" s="1759"/>
      <c r="O1053" s="1759"/>
      <c r="P1053" s="1759"/>
      <c r="Q1053" s="1759"/>
      <c r="R1053" s="1759"/>
      <c r="S1053" s="1759"/>
      <c r="T1053" s="1759"/>
      <c r="U1053" s="1759"/>
      <c r="V1053" s="1759"/>
      <c r="W1053" s="1759"/>
      <c r="X1053" s="1759"/>
      <c r="Y1053" s="1759"/>
      <c r="Z1053" s="1759"/>
      <c r="AA1053" s="1759"/>
      <c r="AB1053" s="1759"/>
      <c r="AC1053" s="1759"/>
      <c r="AD1053" s="1759"/>
      <c r="AE1053" s="1760"/>
      <c r="AF1053" s="73"/>
      <c r="AG1053" s="14"/>
      <c r="AH1053" s="14"/>
      <c r="AI1053" s="83"/>
      <c r="AJ1053" s="1761"/>
      <c r="AK1053" s="1762"/>
      <c r="AL1053" s="1762"/>
      <c r="AM1053" s="1762"/>
      <c r="AN1053" s="1762"/>
      <c r="AO1053" s="1762"/>
      <c r="AP1053" s="1762"/>
      <c r="AQ1053" s="1763"/>
      <c r="AR1053" s="68"/>
      <c r="AS1053" s="68"/>
      <c r="AT1053" s="68"/>
      <c r="AU1053" s="68"/>
      <c r="AV1053" s="68"/>
      <c r="AW1053" s="68"/>
      <c r="AX1053" s="68"/>
      <c r="AY1053" s="68"/>
    </row>
    <row r="1054" spans="1:57" ht="12.9" customHeight="1">
      <c r="A1054" s="14"/>
      <c r="B1054" s="79"/>
      <c r="C1054" s="131" t="s">
        <v>1672</v>
      </c>
      <c r="D1054" s="1777" t="s">
        <v>1838</v>
      </c>
      <c r="E1054" s="1778"/>
      <c r="F1054" s="1778"/>
      <c r="G1054" s="1778"/>
      <c r="H1054" s="1778"/>
      <c r="I1054" s="1778"/>
      <c r="J1054" s="1778"/>
      <c r="K1054" s="1778"/>
      <c r="L1054" s="1778"/>
      <c r="M1054" s="1778"/>
      <c r="N1054" s="1778"/>
      <c r="O1054" s="1778"/>
      <c r="P1054" s="1778"/>
      <c r="Q1054" s="1778"/>
      <c r="R1054" s="1778"/>
      <c r="S1054" s="1778"/>
      <c r="T1054" s="1778"/>
      <c r="U1054" s="1778"/>
      <c r="V1054" s="1778"/>
      <c r="W1054" s="1778"/>
      <c r="X1054" s="1778"/>
      <c r="Y1054" s="1778"/>
      <c r="Z1054" s="1778"/>
      <c r="AA1054" s="1778"/>
      <c r="AB1054" s="1778"/>
      <c r="AC1054" s="1778"/>
      <c r="AD1054" s="1778"/>
      <c r="AE1054" s="1779"/>
      <c r="AF1054" s="79"/>
      <c r="AG1054" s="1783" t="str">
        <f>IF(X1057&gt;0,"Yes","No")</f>
        <v>Yes</v>
      </c>
      <c r="AH1054" s="1784"/>
      <c r="AI1054" s="87"/>
      <c r="AJ1054" s="1749">
        <f>IF((X1057=0),0,AY1014*AJ1001)</f>
        <v>31540376.199999999</v>
      </c>
      <c r="AK1054" s="1750"/>
      <c r="AL1054" s="1750"/>
      <c r="AM1054" s="1750"/>
      <c r="AN1054" s="1750"/>
      <c r="AO1054" s="1750"/>
      <c r="AP1054" s="1750"/>
      <c r="AQ1054" s="175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8391126</v>
      </c>
      <c r="BA1054" s="3" t="s">
        <v>2409</v>
      </c>
      <c r="BB1054" s="3"/>
      <c r="BC1054" s="3"/>
      <c r="BD1054" s="3"/>
    </row>
    <row r="1055" spans="1:57" ht="12.9" customHeight="1">
      <c r="A1055" s="14"/>
      <c r="B1055" s="73"/>
      <c r="C1055" s="442"/>
      <c r="D1055" s="1755" t="s">
        <v>1297</v>
      </c>
      <c r="E1055" s="1756"/>
      <c r="F1055" s="1756"/>
      <c r="G1055" s="1756"/>
      <c r="H1055" s="1756"/>
      <c r="I1055" s="1756"/>
      <c r="J1055" s="1756"/>
      <c r="K1055" s="1756"/>
      <c r="L1055" s="1756"/>
      <c r="M1055" s="1756"/>
      <c r="N1055" s="1756"/>
      <c r="O1055" s="1756"/>
      <c r="P1055" s="1756"/>
      <c r="Q1055" s="1756"/>
      <c r="R1055" s="1756"/>
      <c r="S1055" s="1756"/>
      <c r="T1055" s="1756"/>
      <c r="U1055" s="1756"/>
      <c r="V1055" s="1756"/>
      <c r="W1055" s="1756"/>
      <c r="X1055" s="1756"/>
      <c r="Y1055" s="1756"/>
      <c r="Z1055" s="1756"/>
      <c r="AA1055" s="1756"/>
      <c r="AB1055" s="1756"/>
      <c r="AC1055" s="1756"/>
      <c r="AD1055" s="1756"/>
      <c r="AE1055" s="1757"/>
      <c r="AF1055" s="73"/>
      <c r="AG1055" s="443"/>
      <c r="AH1055" s="443"/>
      <c r="AI1055" s="83"/>
      <c r="AJ1055" s="1752"/>
      <c r="AK1055" s="1753"/>
      <c r="AL1055" s="1753"/>
      <c r="AM1055" s="1753"/>
      <c r="AN1055" s="1753"/>
      <c r="AO1055" s="1753"/>
      <c r="AP1055" s="1753"/>
      <c r="AQ1055" s="1754"/>
      <c r="AR1055" s="68"/>
      <c r="AS1055" s="68"/>
      <c r="AT1055" s="68"/>
      <c r="AU1055" s="13"/>
      <c r="AV1055" s="68"/>
      <c r="AW1055" s="68"/>
      <c r="AX1055" s="68"/>
      <c r="AY1055" s="68"/>
      <c r="AZ1055" s="958">
        <f>'Sources and Uses Budget'!S97*BA1055</f>
        <v>23459673</v>
      </c>
      <c r="BA1055" s="1175">
        <f>IF(BA1049,20%,15%)</f>
        <v>0.15</v>
      </c>
      <c r="BB1055" s="3" t="s">
        <v>2410</v>
      </c>
      <c r="BC1055" s="3" t="s">
        <v>2411</v>
      </c>
      <c r="BD1055" s="3"/>
    </row>
    <row r="1056" spans="1:57" ht="12.9" customHeight="1">
      <c r="A1056" s="14"/>
      <c r="B1056" s="73"/>
      <c r="C1056" s="442"/>
      <c r="D1056" s="1755"/>
      <c r="E1056" s="1756"/>
      <c r="F1056" s="1756"/>
      <c r="G1056" s="1756"/>
      <c r="H1056" s="1756"/>
      <c r="I1056" s="1756"/>
      <c r="J1056" s="1756"/>
      <c r="K1056" s="1756"/>
      <c r="L1056" s="1756"/>
      <c r="M1056" s="1756"/>
      <c r="N1056" s="1756"/>
      <c r="O1056" s="1756"/>
      <c r="P1056" s="1756"/>
      <c r="Q1056" s="1756"/>
      <c r="R1056" s="1756"/>
      <c r="S1056" s="1756"/>
      <c r="T1056" s="1756"/>
      <c r="U1056" s="1756"/>
      <c r="V1056" s="1756"/>
      <c r="W1056" s="1756"/>
      <c r="X1056" s="1756"/>
      <c r="Y1056" s="1756"/>
      <c r="Z1056" s="1756"/>
      <c r="AA1056" s="1756"/>
      <c r="AB1056" s="1756"/>
      <c r="AC1056" s="1756"/>
      <c r="AD1056" s="1756"/>
      <c r="AE1056" s="1757"/>
      <c r="AF1056" s="73"/>
      <c r="AG1056" s="443"/>
      <c r="AH1056" s="443"/>
      <c r="AI1056" s="83"/>
      <c r="AJ1056" s="1752"/>
      <c r="AK1056" s="1753"/>
      <c r="AL1056" s="1753"/>
      <c r="AM1056" s="1753"/>
      <c r="AN1056" s="1753"/>
      <c r="AO1056" s="1753"/>
      <c r="AP1056" s="1753"/>
      <c r="AQ1056" s="1754"/>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 customHeight="1">
      <c r="A1057" s="14"/>
      <c r="B1057" s="77"/>
      <c r="C1057" s="78"/>
      <c r="D1057" s="132" t="s">
        <v>971</v>
      </c>
      <c r="E1057" s="133"/>
      <c r="F1057" s="133"/>
      <c r="G1057" s="133"/>
      <c r="H1057" s="133"/>
      <c r="I1057" s="1815">
        <f>AY1012</f>
        <v>232</v>
      </c>
      <c r="J1057" s="1816"/>
      <c r="K1057" s="7"/>
      <c r="L1057" s="133"/>
      <c r="M1057" s="133"/>
      <c r="N1057" s="133"/>
      <c r="O1057" s="133"/>
      <c r="P1057" s="133"/>
      <c r="Q1057" s="133"/>
      <c r="R1057" s="133"/>
      <c r="S1057" s="133"/>
      <c r="T1057" s="133"/>
      <c r="U1057" s="133"/>
      <c r="V1057" s="134" t="s">
        <v>972</v>
      </c>
      <c r="W1057" s="48"/>
      <c r="X1057" s="1813">
        <f>CI761</f>
        <v>46</v>
      </c>
      <c r="Y1057" s="1814"/>
      <c r="Z1057" s="48"/>
      <c r="AA1057" s="48"/>
      <c r="AB1057" s="48"/>
      <c r="AC1057" s="48"/>
      <c r="AD1057" s="48"/>
      <c r="AE1057" s="49"/>
      <c r="AF1057" s="920"/>
      <c r="AG1057" s="921"/>
      <c r="AH1057" s="921"/>
      <c r="AI1057" s="922"/>
      <c r="AJ1057" s="1761"/>
      <c r="AK1057" s="1762"/>
      <c r="AL1057" s="1762"/>
      <c r="AM1057" s="1762"/>
      <c r="AN1057" s="1762"/>
      <c r="AO1057" s="1762"/>
      <c r="AP1057" s="1762"/>
      <c r="AQ1057" s="1763"/>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2410</v>
      </c>
      <c r="BC1057" s="3" t="s">
        <v>2413</v>
      </c>
      <c r="BD1057" s="3"/>
    </row>
    <row r="1058" spans="1:56" ht="12.9" customHeight="1">
      <c r="A1058" s="14"/>
      <c r="B1058" s="79"/>
      <c r="C1058" s="131" t="s">
        <v>1673</v>
      </c>
      <c r="D1058" s="1731" t="s">
        <v>2125</v>
      </c>
      <c r="E1058" s="1732"/>
      <c r="F1058" s="1732"/>
      <c r="G1058" s="1732"/>
      <c r="H1058" s="1732"/>
      <c r="I1058" s="1732"/>
      <c r="J1058" s="1732"/>
      <c r="K1058" s="1732"/>
      <c r="L1058" s="1732"/>
      <c r="M1058" s="1732"/>
      <c r="N1058" s="1732"/>
      <c r="O1058" s="1732"/>
      <c r="P1058" s="1732"/>
      <c r="Q1058" s="1732"/>
      <c r="R1058" s="1732"/>
      <c r="S1058" s="1732"/>
      <c r="T1058" s="1732"/>
      <c r="U1058" s="1732"/>
      <c r="V1058" s="1732"/>
      <c r="W1058" s="1732"/>
      <c r="X1058" s="1732"/>
      <c r="Y1058" s="1732"/>
      <c r="Z1058" s="1732"/>
      <c r="AA1058" s="1732"/>
      <c r="AB1058" s="1732"/>
      <c r="AC1058" s="1732"/>
      <c r="AD1058" s="1732"/>
      <c r="AE1058" s="1733"/>
      <c r="AF1058" s="73"/>
      <c r="AG1058" s="1783" t="str">
        <f>IF(X1061&gt;0,"Yes","No")</f>
        <v>Yes</v>
      </c>
      <c r="AH1058" s="1784"/>
      <c r="AI1058" s="83"/>
      <c r="AJ1058" s="1749">
        <f>IF((X1061=0),0,(2*AY1015)*AJ1001)</f>
        <v>33200396</v>
      </c>
      <c r="AK1058" s="1750"/>
      <c r="AL1058" s="1750"/>
      <c r="AM1058" s="1750"/>
      <c r="AN1058" s="1750"/>
      <c r="AO1058" s="1750"/>
      <c r="AP1058" s="1750"/>
      <c r="AQ1058" s="1751"/>
      <c r="AR1058" s="68"/>
      <c r="AS1058" s="68"/>
      <c r="AT1058" s="68"/>
      <c r="AU1058" s="14"/>
      <c r="AV1058" s="68"/>
      <c r="AW1058" s="68"/>
      <c r="AX1058" s="68"/>
      <c r="AY1058" s="68"/>
      <c r="AZ1058" s="958">
        <f>AZ1054*BA1058</f>
        <v>1258668.8999999999</v>
      </c>
      <c r="BA1058" s="1175">
        <v>0.15</v>
      </c>
      <c r="BB1058" s="3" t="s">
        <v>2410</v>
      </c>
      <c r="BC1058" s="3" t="s">
        <v>2414</v>
      </c>
      <c r="BD1058" s="3"/>
    </row>
    <row r="1059" spans="1:56" ht="12.9" customHeight="1">
      <c r="A1059" s="14"/>
      <c r="B1059" s="73"/>
      <c r="C1059" s="442"/>
      <c r="D1059" s="1755" t="s">
        <v>1296</v>
      </c>
      <c r="E1059" s="1756"/>
      <c r="F1059" s="1756"/>
      <c r="G1059" s="1756"/>
      <c r="H1059" s="1756"/>
      <c r="I1059" s="1756"/>
      <c r="J1059" s="1756"/>
      <c r="K1059" s="1756"/>
      <c r="L1059" s="1756"/>
      <c r="M1059" s="1756"/>
      <c r="N1059" s="1756"/>
      <c r="O1059" s="1756"/>
      <c r="P1059" s="1756"/>
      <c r="Q1059" s="1756"/>
      <c r="R1059" s="1756"/>
      <c r="S1059" s="1756"/>
      <c r="T1059" s="1756"/>
      <c r="U1059" s="1756"/>
      <c r="V1059" s="1756"/>
      <c r="W1059" s="1756"/>
      <c r="X1059" s="1756"/>
      <c r="Y1059" s="1756"/>
      <c r="Z1059" s="1756"/>
      <c r="AA1059" s="1756"/>
      <c r="AB1059" s="1756"/>
      <c r="AC1059" s="1756"/>
      <c r="AD1059" s="1756"/>
      <c r="AE1059" s="1757"/>
      <c r="AF1059" s="73"/>
      <c r="AG1059" s="443"/>
      <c r="AH1059" s="443"/>
      <c r="AI1059" s="83"/>
      <c r="AJ1059" s="1752"/>
      <c r="AK1059" s="1753"/>
      <c r="AL1059" s="1753"/>
      <c r="AM1059" s="1753"/>
      <c r="AN1059" s="1753"/>
      <c r="AO1059" s="1753"/>
      <c r="AP1059" s="1753"/>
      <c r="AQ1059" s="1754"/>
      <c r="AR1059" s="68"/>
      <c r="AS1059" s="68"/>
      <c r="AT1059" s="68"/>
      <c r="AU1059" s="68"/>
      <c r="AV1059" s="68"/>
      <c r="AW1059" s="68"/>
      <c r="AX1059" s="68"/>
      <c r="AY1059" s="68"/>
      <c r="AZ1059" s="958"/>
      <c r="BA1059" s="3"/>
      <c r="BB1059" s="3"/>
      <c r="BC1059" s="3"/>
      <c r="BD1059" s="3"/>
    </row>
    <row r="1060" spans="1:56" ht="12.9" customHeight="1">
      <c r="A1060" s="14"/>
      <c r="B1060" s="73"/>
      <c r="C1060" s="83"/>
      <c r="D1060" s="1755"/>
      <c r="E1060" s="1756"/>
      <c r="F1060" s="1756"/>
      <c r="G1060" s="1756"/>
      <c r="H1060" s="1756"/>
      <c r="I1060" s="1756"/>
      <c r="J1060" s="1756"/>
      <c r="K1060" s="1756"/>
      <c r="L1060" s="1756"/>
      <c r="M1060" s="1756"/>
      <c r="N1060" s="1756"/>
      <c r="O1060" s="1756"/>
      <c r="P1060" s="1756"/>
      <c r="Q1060" s="1756"/>
      <c r="R1060" s="1756"/>
      <c r="S1060" s="1756"/>
      <c r="T1060" s="1756"/>
      <c r="U1060" s="1756"/>
      <c r="V1060" s="1756"/>
      <c r="W1060" s="1756"/>
      <c r="X1060" s="1756"/>
      <c r="Y1060" s="1756"/>
      <c r="Z1060" s="1756"/>
      <c r="AA1060" s="1756"/>
      <c r="AB1060" s="1756"/>
      <c r="AC1060" s="1756"/>
      <c r="AD1060" s="1756"/>
      <c r="AE1060" s="1757"/>
      <c r="AF1060" s="917"/>
      <c r="AG1060" s="918"/>
      <c r="AH1060" s="918"/>
      <c r="AI1060" s="919"/>
      <c r="AJ1060" s="1752"/>
      <c r="AK1060" s="1753"/>
      <c r="AL1060" s="1753"/>
      <c r="AM1060" s="1753"/>
      <c r="AN1060" s="1753"/>
      <c r="AO1060" s="1753"/>
      <c r="AP1060" s="1753"/>
      <c r="AQ1060" s="1754"/>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 customHeight="1">
      <c r="A1061" s="14"/>
      <c r="B1061" s="77"/>
      <c r="C1061" s="78"/>
      <c r="D1061" s="132" t="s">
        <v>971</v>
      </c>
      <c r="E1061" s="133"/>
      <c r="F1061" s="133"/>
      <c r="G1061" s="133"/>
      <c r="H1061" s="133"/>
      <c r="I1061" s="1815">
        <f>AY1012</f>
        <v>232</v>
      </c>
      <c r="J1061" s="1816"/>
      <c r="K1061" s="14"/>
      <c r="L1061" s="133"/>
      <c r="M1061" s="133"/>
      <c r="N1061" s="133"/>
      <c r="O1061" s="133"/>
      <c r="P1061" s="133"/>
      <c r="Q1061" s="133"/>
      <c r="R1061" s="133"/>
      <c r="S1061" s="133"/>
      <c r="T1061" s="133"/>
      <c r="U1061" s="133"/>
      <c r="V1061" s="134" t="s">
        <v>973</v>
      </c>
      <c r="X1061" s="1813">
        <f>CM761</f>
        <v>24</v>
      </c>
      <c r="Y1061" s="1814"/>
      <c r="AF1061" s="920"/>
      <c r="AG1061" s="921"/>
      <c r="AH1061" s="921"/>
      <c r="AI1061" s="922"/>
      <c r="AJ1061" s="1761"/>
      <c r="AK1061" s="1762"/>
      <c r="AL1061" s="1762"/>
      <c r="AM1061" s="1762"/>
      <c r="AN1061" s="1762"/>
      <c r="AO1061" s="1762"/>
      <c r="AP1061" s="1762"/>
      <c r="AQ1061" s="1763"/>
      <c r="AR1061" s="68"/>
      <c r="AS1061" s="68"/>
      <c r="AT1061" s="68"/>
      <c r="AU1061" s="68"/>
      <c r="AV1061" s="68"/>
      <c r="AW1061" s="68"/>
      <c r="AX1061" s="68"/>
      <c r="AY1061" s="68"/>
      <c r="AZ1061" s="958">
        <f>ROUNDDOWN(MAX(0,BA1061*(SUM(AG1102,AL1102,AZ1054)-BD1061))+BF1061,0)</f>
        <v>86222</v>
      </c>
      <c r="BA1061" s="1175">
        <f>IF(L1051,7%,5%)</f>
        <v>0.05</v>
      </c>
      <c r="BB1061" s="3" t="s">
        <v>2416</v>
      </c>
      <c r="BC1061" s="3"/>
      <c r="BD1061" s="3">
        <v>6666667</v>
      </c>
    </row>
    <row r="1062" spans="1:56" ht="12.9" customHeight="1">
      <c r="A1062" s="14"/>
      <c r="B1062" s="102"/>
      <c r="C1062" s="103"/>
      <c r="D1062" s="1811" t="s">
        <v>512</v>
      </c>
      <c r="E1062" s="1811"/>
      <c r="F1062" s="1811"/>
      <c r="G1062" s="1811"/>
      <c r="H1062" s="1811"/>
      <c r="I1062" s="1811"/>
      <c r="J1062" s="1811"/>
      <c r="K1062" s="1811"/>
      <c r="L1062" s="1811"/>
      <c r="M1062" s="1811"/>
      <c r="N1062" s="1811"/>
      <c r="O1062" s="1811"/>
      <c r="P1062" s="1811"/>
      <c r="Q1062" s="1811"/>
      <c r="R1062" s="1811"/>
      <c r="S1062" s="1811"/>
      <c r="T1062" s="1811"/>
      <c r="U1062" s="1811"/>
      <c r="V1062" s="1811"/>
      <c r="W1062" s="1811"/>
      <c r="X1062" s="1811"/>
      <c r="Y1062" s="1811"/>
      <c r="Z1062" s="1811"/>
      <c r="AA1062" s="1811"/>
      <c r="AB1062" s="1811"/>
      <c r="AC1062" s="1811"/>
      <c r="AD1062" s="1811"/>
      <c r="AE1062" s="1811"/>
      <c r="AF1062" s="1811"/>
      <c r="AG1062" s="1811"/>
      <c r="AH1062" s="1811"/>
      <c r="AI1062" s="1812"/>
      <c r="AJ1062" s="1827">
        <f>SUM(AJ1001:AQ1061)</f>
        <v>317280096.19999999</v>
      </c>
      <c r="AK1062" s="1828"/>
      <c r="AL1062" s="1828"/>
      <c r="AM1062" s="1828"/>
      <c r="AN1062" s="1828"/>
      <c r="AO1062" s="1828"/>
      <c r="AP1062" s="1828"/>
      <c r="AQ1062" s="1829"/>
      <c r="AR1062" s="68"/>
      <c r="AS1062" s="68"/>
      <c r="AT1062" s="68"/>
      <c r="AU1062" s="68"/>
      <c r="AV1062" s="68"/>
      <c r="AW1062" s="68"/>
      <c r="AX1062" s="68"/>
      <c r="AY1062" s="68"/>
      <c r="AZ1062" s="1174">
        <v>6000000</v>
      </c>
      <c r="BA1062" s="3" t="s">
        <v>2417</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50">
        <f>'Sources and Uses Budget'!S107+'Sources and Uses Budget'!T107</f>
        <v>178608949</v>
      </c>
      <c r="AB1065" s="1350"/>
      <c r="AC1065" s="1350"/>
      <c r="AD1065" s="1350"/>
      <c r="AE1065" s="1350"/>
      <c r="AF1065" s="135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24718341.899999999</v>
      </c>
      <c r="BB1065" s="3" t="s">
        <v>2419</v>
      </c>
      <c r="BC1065" s="3"/>
      <c r="BD1065" s="3"/>
    </row>
    <row r="1066" spans="1:56" ht="12.9"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1">
        <f>IFERROR((AA1065-BA1068)/(AJ1062-AJ1054-AJ1058),"")</f>
        <v>0.62920030624616707</v>
      </c>
      <c r="AB1066" s="1352"/>
      <c r="AC1066" s="1352"/>
      <c r="AD1066" s="1352"/>
      <c r="AE1066" s="1352"/>
      <c r="AF1066" s="135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35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4"/>
      <c r="I1067" s="1354"/>
      <c r="J1067" s="1354"/>
      <c r="K1067" s="1354"/>
      <c r="L1067" s="1354"/>
      <c r="M1067" s="1354"/>
      <c r="N1067" s="1354"/>
      <c r="O1067" s="1354"/>
      <c r="P1067" s="1354"/>
      <c r="Q1067" s="1354"/>
      <c r="R1067" s="1354"/>
      <c r="S1067" s="1354"/>
      <c r="T1067" s="1354"/>
      <c r="U1067" s="1354"/>
      <c r="V1067" s="1354"/>
      <c r="W1067" s="1354"/>
      <c r="X1067" s="1354"/>
      <c r="Y1067" s="1354"/>
      <c r="Z1067" s="1354"/>
      <c r="AA1067" s="1354"/>
      <c r="AB1067" s="1354"/>
      <c r="AC1067" s="1354"/>
      <c r="AD1067" s="1354"/>
      <c r="AE1067" s="1354"/>
      <c r="AF1067" s="1354"/>
      <c r="AG1067" s="1354"/>
      <c r="AH1067" s="1354"/>
      <c r="AI1067" s="1354"/>
      <c r="AJ1067" s="1354"/>
      <c r="AK1067" s="1354"/>
      <c r="AL1067" s="1354"/>
      <c r="AM1067" s="1354"/>
      <c r="AN1067" s="1354"/>
      <c r="AO1067" s="68"/>
      <c r="AP1067" s="68"/>
      <c r="AQ1067" s="68"/>
      <c r="AR1067" s="68"/>
      <c r="AS1067" s="68"/>
      <c r="AT1067" s="68"/>
      <c r="AU1067" s="68"/>
      <c r="AV1067" s="14"/>
      <c r="AW1067" s="14"/>
      <c r="AX1067" s="14"/>
      <c r="AY1067" s="14"/>
      <c r="BA1067" s="1178">
        <f>'Sources and Uses Budget'!$S$104+'Sources and Uses Budget'!$T$104</f>
        <v>22211129</v>
      </c>
      <c r="BB1067" s="3" t="s">
        <v>2425</v>
      </c>
    </row>
    <row r="1068" spans="1:56" ht="12.9" customHeight="1">
      <c r="A1068" s="14"/>
      <c r="B1068" s="14"/>
      <c r="C1068" s="208"/>
      <c r="D1068" s="854"/>
      <c r="E1068" s="854"/>
      <c r="F1068" s="854"/>
      <c r="G1068" s="1354"/>
      <c r="H1068" s="1354"/>
      <c r="I1068" s="1354"/>
      <c r="J1068" s="1354"/>
      <c r="K1068" s="1354"/>
      <c r="L1068" s="1354"/>
      <c r="M1068" s="1354"/>
      <c r="N1068" s="1354"/>
      <c r="O1068" s="1354"/>
      <c r="P1068" s="1354"/>
      <c r="Q1068" s="1354"/>
      <c r="R1068" s="1354"/>
      <c r="S1068" s="1354"/>
      <c r="T1068" s="1354"/>
      <c r="U1068" s="1354"/>
      <c r="V1068" s="1354"/>
      <c r="W1068" s="1354"/>
      <c r="X1068" s="1354"/>
      <c r="Y1068" s="1354"/>
      <c r="Z1068" s="1354"/>
      <c r="AA1068" s="1354"/>
      <c r="AB1068" s="1354"/>
      <c r="AC1068" s="1354"/>
      <c r="AD1068" s="1354"/>
      <c r="AE1068" s="1354"/>
      <c r="AF1068" s="1354"/>
      <c r="AG1068" s="1354"/>
      <c r="AH1068" s="1354"/>
      <c r="AI1068" s="1354"/>
      <c r="AJ1068" s="1354"/>
      <c r="AK1068" s="1354"/>
      <c r="AL1068" s="1354"/>
      <c r="AM1068" s="1354"/>
      <c r="AN1068" s="1354"/>
      <c r="AO1068" s="68"/>
      <c r="AP1068" s="68"/>
      <c r="AQ1068" s="68"/>
      <c r="AR1068" s="68"/>
      <c r="AS1068" s="68"/>
      <c r="AT1068" s="68"/>
      <c r="AU1068" s="68"/>
      <c r="AV1068" s="14"/>
      <c r="AW1068" s="14"/>
      <c r="AX1068" s="14"/>
      <c r="AY1068" s="14"/>
      <c r="BA1068" s="1179">
        <f>MAX($BA$1067-$BA$1064,0)</f>
        <v>19711129</v>
      </c>
      <c r="BB1068" s="3" t="s">
        <v>2426</v>
      </c>
    </row>
    <row r="1069" spans="1:56" ht="12.9" customHeight="1">
      <c r="A1069" s="88"/>
      <c r="B1069" s="1165"/>
      <c r="C1069" s="1165"/>
      <c r="D1069" s="1165"/>
      <c r="E1069" s="1165"/>
      <c r="F1069" s="1165"/>
      <c r="G1069" s="1354"/>
      <c r="H1069" s="1354"/>
      <c r="I1069" s="1354"/>
      <c r="J1069" s="1354"/>
      <c r="K1069" s="1354"/>
      <c r="L1069" s="1354"/>
      <c r="M1069" s="1354"/>
      <c r="N1069" s="1354"/>
      <c r="O1069" s="1354"/>
      <c r="P1069" s="1354"/>
      <c r="Q1069" s="1354"/>
      <c r="R1069" s="1354"/>
      <c r="S1069" s="1354"/>
      <c r="T1069" s="1354"/>
      <c r="U1069" s="1354"/>
      <c r="V1069" s="1354"/>
      <c r="W1069" s="1354"/>
      <c r="X1069" s="1354"/>
      <c r="Y1069" s="1354"/>
      <c r="Z1069" s="1354"/>
      <c r="AA1069" s="1354"/>
      <c r="AB1069" s="1354"/>
      <c r="AC1069" s="1354"/>
      <c r="AD1069" s="1354"/>
      <c r="AE1069" s="1354"/>
      <c r="AF1069" s="1354"/>
      <c r="AG1069" s="1354"/>
      <c r="AH1069" s="1354"/>
      <c r="AI1069" s="1354"/>
      <c r="AJ1069" s="1354"/>
      <c r="AK1069" s="1354"/>
      <c r="AL1069" s="1354"/>
      <c r="AM1069" s="1354"/>
      <c r="AN1069" s="1354"/>
      <c r="AO1069" s="1165"/>
      <c r="AP1069" s="1165"/>
      <c r="AQ1069" s="68"/>
      <c r="AR1069" s="68"/>
      <c r="AS1069" s="68"/>
      <c r="AT1069" s="68"/>
      <c r="AU1069" s="68"/>
      <c r="AV1069" s="68"/>
      <c r="AW1069" s="68"/>
      <c r="AX1069" s="68"/>
      <c r="AY1069" s="68"/>
    </row>
    <row r="1070" spans="1:56" ht="12.9" customHeight="1">
      <c r="A1070" s="1845" t="s">
        <v>793</v>
      </c>
      <c r="B1070" s="1845"/>
      <c r="C1070" s="1845"/>
      <c r="D1070" s="1845"/>
      <c r="E1070" s="1845"/>
      <c r="F1070" s="1845"/>
      <c r="G1070" s="1845"/>
      <c r="H1070" s="1845"/>
      <c r="I1070" s="1845"/>
      <c r="J1070" s="1845"/>
      <c r="K1070" s="1845"/>
      <c r="L1070" s="1845"/>
      <c r="M1070" s="1845"/>
      <c r="N1070" s="1845"/>
      <c r="O1070" s="1845"/>
      <c r="P1070" s="1845"/>
      <c r="Q1070" s="1845"/>
      <c r="R1070" s="1845"/>
      <c r="S1070" s="1845"/>
      <c r="T1070" s="1845"/>
      <c r="U1070" s="1845"/>
      <c r="V1070" s="1845"/>
      <c r="W1070" s="1845"/>
      <c r="X1070" s="1845"/>
      <c r="Y1070" s="1845"/>
      <c r="Z1070" s="1845"/>
      <c r="AA1070" s="1845"/>
      <c r="AB1070" s="1845"/>
      <c r="AC1070" s="1845"/>
      <c r="AD1070" s="1845"/>
      <c r="AE1070" s="1845"/>
      <c r="AF1070" s="1845"/>
      <c r="AG1070" s="1845"/>
      <c r="AH1070" s="1845"/>
      <c r="AI1070" s="1845"/>
      <c r="AJ1070" s="1845"/>
      <c r="AK1070" s="1845"/>
      <c r="AL1070" s="1845"/>
      <c r="AM1070" s="1845"/>
      <c r="AN1070" s="1845"/>
      <c r="AO1070" s="1845"/>
      <c r="AP1070" s="1845"/>
      <c r="AQ1070" s="1845"/>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431" t="s">
        <v>590</v>
      </c>
      <c r="B1074" s="1431"/>
      <c r="C1074" s="1868">
        <v>1</v>
      </c>
      <c r="D1074" s="1868"/>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868"/>
      <c r="D1075" s="186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431" t="s">
        <v>590</v>
      </c>
      <c r="B1076" s="1431"/>
      <c r="C1076" s="1868">
        <v>2</v>
      </c>
      <c r="D1076" s="1868"/>
      <c r="E1076" s="1869" t="s">
        <v>2192</v>
      </c>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c r="AL1076" s="1869"/>
      <c r="AM1076" s="1869"/>
      <c r="AN1076" s="1869"/>
      <c r="AO1076" s="1869"/>
      <c r="AP1076" s="1869"/>
      <c r="AQ1076" s="1869"/>
      <c r="AR1076" s="1869"/>
      <c r="AS1076" s="14"/>
      <c r="AT1076" s="14"/>
      <c r="AV1076" s="68"/>
      <c r="AW1076" s="68"/>
      <c r="AX1076" s="68"/>
      <c r="AY1076" s="68"/>
    </row>
    <row r="1077" spans="1:51" ht="12.9" customHeight="1">
      <c r="A1077" s="198"/>
      <c r="B1077" s="67"/>
      <c r="C1077" s="1868"/>
      <c r="D1077" s="1868"/>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869"/>
      <c r="AM1077" s="1869"/>
      <c r="AN1077" s="1869"/>
      <c r="AO1077" s="1869"/>
      <c r="AP1077" s="1869"/>
      <c r="AQ1077" s="1869"/>
      <c r="AR1077" s="1869"/>
      <c r="AS1077" s="14"/>
      <c r="AT1077" s="14"/>
      <c r="AV1077" s="68"/>
      <c r="AW1077" s="68"/>
      <c r="AX1077" s="68"/>
      <c r="AY1077" s="68"/>
    </row>
    <row r="1078" spans="1:51" ht="12.9" customHeight="1">
      <c r="A1078" s="198"/>
      <c r="B1078" s="67"/>
      <c r="C1078" s="1868"/>
      <c r="D1078" s="186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431" t="s">
        <v>590</v>
      </c>
      <c r="B1079" s="1431"/>
      <c r="C1079" s="1420">
        <v>3</v>
      </c>
      <c r="D1079" s="1420"/>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 customHeight="1">
      <c r="A1080" s="1"/>
      <c r="B1080" s="1"/>
      <c r="C1080" s="1420"/>
      <c r="D1080" s="1420"/>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 customHeight="1">
      <c r="A1081" s="1"/>
      <c r="B1081" s="1"/>
      <c r="C1081" s="1420"/>
      <c r="D1081" s="1420"/>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 customHeight="1">
      <c r="A1082" s="1"/>
      <c r="B1082" s="1"/>
      <c r="C1082" s="1420"/>
      <c r="D1082" s="1420"/>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 customHeight="1">
      <c r="A1083" s="2"/>
      <c r="B1083" s="25"/>
      <c r="C1083" s="1420"/>
      <c r="D1083" s="142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431" t="s">
        <v>590</v>
      </c>
      <c r="B1084" s="1431"/>
      <c r="C1084" s="1420">
        <v>4</v>
      </c>
      <c r="D1084" s="1420"/>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 customHeight="1">
      <c r="A1085" s="1"/>
      <c r="B1085" s="1"/>
      <c r="C1085" s="1420"/>
      <c r="D1085" s="1420"/>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 customHeight="1">
      <c r="A1086" s="1"/>
      <c r="B1086" s="1"/>
      <c r="C1086" s="1420"/>
      <c r="D1086" s="1420"/>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 customHeight="1">
      <c r="A1087" s="1"/>
      <c r="B1087" s="1"/>
      <c r="C1087" s="1420"/>
      <c r="D1087" s="1420"/>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 customHeight="1">
      <c r="A1088" s="1"/>
      <c r="B1088" s="1"/>
      <c r="C1088" s="1420"/>
      <c r="D1088" s="1420"/>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 customHeight="1">
      <c r="A1089" s="1"/>
      <c r="B1089" s="1"/>
      <c r="C1089" s="1420"/>
      <c r="D1089" s="142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431" t="s">
        <v>590</v>
      </c>
      <c r="B1090" s="1431"/>
      <c r="C1090" s="1420">
        <v>5</v>
      </c>
      <c r="D1090" s="1420"/>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 customHeight="1">
      <c r="A1091" s="4"/>
      <c r="B1091" s="4"/>
      <c r="C1091" s="1420"/>
      <c r="D1091" s="1420"/>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 customHeight="1">
      <c r="A1092" s="4"/>
      <c r="B1092" s="4"/>
      <c r="C1092" s="1420"/>
      <c r="D1092" s="1420"/>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 customHeight="1">
      <c r="A1093" s="35"/>
      <c r="B1093" s="25"/>
      <c r="C1093" s="1420"/>
      <c r="D1093" s="142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431" t="s">
        <v>590</v>
      </c>
      <c r="B1094" s="1431"/>
      <c r="C1094" s="1420">
        <v>6</v>
      </c>
      <c r="D1094" s="1420"/>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 customHeight="1">
      <c r="A1096" s="1"/>
      <c r="B1096" s="1"/>
      <c r="C1096" s="1420"/>
      <c r="D1096" s="1420"/>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 customHeight="1">
      <c r="A1097" s="35"/>
      <c r="B1097" s="25"/>
      <c r="C1097" s="1420"/>
      <c r="D1097" s="142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431" t="s">
        <v>590</v>
      </c>
      <c r="B1098" s="1431"/>
      <c r="C1098" s="1420">
        <v>7</v>
      </c>
      <c r="D1098" s="1420"/>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 customHeight="1">
      <c r="A1099" s="1"/>
      <c r="B1099" s="1"/>
      <c r="C1099" s="1420"/>
      <c r="D1099" s="1420"/>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 customHeight="1">
      <c r="A1100" s="1"/>
      <c r="B1100" s="1"/>
      <c r="C1100" s="1420"/>
      <c r="D1100" s="1420"/>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 customHeight="1">
      <c r="A1101" s="1"/>
      <c r="B1101" s="1"/>
      <c r="C1101" s="1420"/>
      <c r="D1101" s="142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420"/>
      <c r="D1102" s="142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431" t="s">
        <v>590</v>
      </c>
      <c r="B1103" s="1431"/>
      <c r="C1103" s="1420">
        <v>8</v>
      </c>
      <c r="D1103" s="1420"/>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 customHeight="1">
      <c r="A1104" s="35"/>
      <c r="B1104" s="25"/>
      <c r="C1104" s="1420"/>
      <c r="D1104" s="1420"/>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 customHeight="1">
      <c r="A1105" s="35"/>
      <c r="B1105" s="25"/>
      <c r="C1105" s="1420"/>
      <c r="D1105" s="142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431" t="s">
        <v>590</v>
      </c>
      <c r="B1106" s="1431"/>
      <c r="C1106" s="1868">
        <v>9</v>
      </c>
      <c r="D1106" s="1868"/>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 customHeight="1">
      <c r="A1107" s="1"/>
      <c r="B1107" s="1"/>
      <c r="C1107" s="1868"/>
      <c r="D1107" s="1868"/>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 customHeight="1">
      <c r="A1108" s="35"/>
      <c r="B1108" s="25"/>
      <c r="C1108" s="1868"/>
      <c r="D1108" s="186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431" t="s">
        <v>590</v>
      </c>
      <c r="B1109" s="1431"/>
      <c r="C1109" s="1868">
        <v>10</v>
      </c>
      <c r="D1109" s="1868"/>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431" t="s">
        <v>590</v>
      </c>
      <c r="B1112" s="1431"/>
      <c r="C1112" s="1868">
        <v>11</v>
      </c>
      <c r="D1112" s="1868"/>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31" t="s">
        <v>590</v>
      </c>
      <c r="B1134" s="1431"/>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O734:S734"/>
    <mergeCell ref="AK745:AO745"/>
    <mergeCell ref="X743:AB743"/>
    <mergeCell ref="D994:Q994"/>
    <mergeCell ref="O33:P33"/>
    <mergeCell ref="AH512:AK512"/>
    <mergeCell ref="K746:N746"/>
    <mergeCell ref="AK739:AO739"/>
    <mergeCell ref="AK746:AO746"/>
    <mergeCell ref="G738:J738"/>
    <mergeCell ref="X738:AB738"/>
    <mergeCell ref="X739:AB739"/>
    <mergeCell ref="AH740:AJ740"/>
    <mergeCell ref="G746:J746"/>
    <mergeCell ref="G736:J736"/>
    <mergeCell ref="O745:S745"/>
    <mergeCell ref="O746:S746"/>
    <mergeCell ref="T747:W747"/>
    <mergeCell ref="AK738:AO738"/>
    <mergeCell ref="AC732:AG732"/>
    <mergeCell ref="G683:R683"/>
    <mergeCell ref="Z675:AK675"/>
    <mergeCell ref="AC640:AE640"/>
    <mergeCell ref="AH525:AK525"/>
    <mergeCell ref="AM569:AS569"/>
    <mergeCell ref="AF632:AJ634"/>
    <mergeCell ref="AM567:AS567"/>
    <mergeCell ref="AK638:AN638"/>
    <mergeCell ref="AB994:AI994"/>
    <mergeCell ref="AC524:AF524"/>
    <mergeCell ref="AM570:AS570"/>
    <mergeCell ref="Q641:S641"/>
    <mergeCell ref="AF639:AJ639"/>
    <mergeCell ref="Z637:AB637"/>
    <mergeCell ref="AM564:AS564"/>
    <mergeCell ref="G663:L663"/>
    <mergeCell ref="H664:R664"/>
    <mergeCell ref="AC741:AG741"/>
    <mergeCell ref="AG657:AH657"/>
    <mergeCell ref="H696:R696"/>
    <mergeCell ref="M632:P634"/>
    <mergeCell ref="AO638:AS638"/>
    <mergeCell ref="Z609:AK609"/>
    <mergeCell ref="W479:Y479"/>
    <mergeCell ref="AK635:AN635"/>
    <mergeCell ref="AM573:AS573"/>
    <mergeCell ref="AE571:AH571"/>
    <mergeCell ref="AM571:AS571"/>
    <mergeCell ref="AO636:AS636"/>
    <mergeCell ref="AG615:AH615"/>
    <mergeCell ref="AO632:AS634"/>
    <mergeCell ref="Q636:S636"/>
    <mergeCell ref="Q637:S637"/>
    <mergeCell ref="C642:L642"/>
    <mergeCell ref="AK636:AN636"/>
    <mergeCell ref="Z635:AB635"/>
    <mergeCell ref="W642:Y642"/>
    <mergeCell ref="AI589:AK589"/>
    <mergeCell ref="AC638:AE638"/>
    <mergeCell ref="AI567:AL567"/>
    <mergeCell ref="AC511:AF511"/>
    <mergeCell ref="AC521:AF521"/>
    <mergeCell ref="Z619:AK619"/>
    <mergeCell ref="AC526:AF526"/>
    <mergeCell ref="X740:AB740"/>
    <mergeCell ref="O741:S741"/>
    <mergeCell ref="K727:N727"/>
    <mergeCell ref="AC637:AE637"/>
    <mergeCell ref="W566:Y566"/>
    <mergeCell ref="AE566:AH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EM655:EQ655"/>
    <mergeCell ref="DX656:EB656"/>
    <mergeCell ref="AC735:AG735"/>
    <mergeCell ref="AC736:AG736"/>
    <mergeCell ref="B743:F743"/>
    <mergeCell ref="A69:AT70"/>
    <mergeCell ref="A72:AT73"/>
    <mergeCell ref="A552:AT553"/>
    <mergeCell ref="A488:AT489"/>
    <mergeCell ref="A360:AT361"/>
    <mergeCell ref="I401:N401"/>
    <mergeCell ref="M366:N366"/>
    <mergeCell ref="J394:U394"/>
    <mergeCell ref="AA622:AK622"/>
    <mergeCell ref="AC632:AE634"/>
    <mergeCell ref="AM566:AS566"/>
    <mergeCell ref="Q643:S643"/>
    <mergeCell ref="Z601:AK601"/>
    <mergeCell ref="AK637:AN637"/>
    <mergeCell ref="C641:L641"/>
    <mergeCell ref="AI340:AK340"/>
    <mergeCell ref="Z632:AB634"/>
    <mergeCell ref="P621:R621"/>
    <mergeCell ref="W640:Y640"/>
    <mergeCell ref="Q635:S635"/>
    <mergeCell ref="Q640:S640"/>
    <mergeCell ref="Q632:S634"/>
    <mergeCell ref="AM572:AS572"/>
    <mergeCell ref="Q642:S642"/>
    <mergeCell ref="AK641:AN641"/>
    <mergeCell ref="AI597:AK597"/>
    <mergeCell ref="Z604:AK604"/>
    <mergeCell ref="DO781:DS781"/>
    <mergeCell ref="DJ759:DN759"/>
    <mergeCell ref="DU760:DY760"/>
    <mergeCell ref="DZ760:ED760"/>
    <mergeCell ref="DJ760:DN760"/>
    <mergeCell ref="EO745:ES745"/>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C646:L646"/>
    <mergeCell ref="Z694:AK694"/>
    <mergeCell ref="Z683:AK683"/>
    <mergeCell ref="EH655:EL655"/>
    <mergeCell ref="EJ747:EN747"/>
    <mergeCell ref="DJ746:DN746"/>
    <mergeCell ref="CM761:CN761"/>
    <mergeCell ref="CP761:CT761"/>
    <mergeCell ref="CK759:CL759"/>
    <mergeCell ref="DE746:DI746"/>
    <mergeCell ref="EM657:EQ657"/>
    <mergeCell ref="DX658:EB658"/>
    <mergeCell ref="EC658:EG658"/>
    <mergeCell ref="EC663:EG663"/>
    <mergeCell ref="DX675:EB675"/>
    <mergeCell ref="DU741:DY741"/>
    <mergeCell ref="EM662:EQ662"/>
    <mergeCell ref="DE731:DI731"/>
    <mergeCell ref="EO741:ES741"/>
    <mergeCell ref="DU747:DY747"/>
    <mergeCell ref="DZ747:ED747"/>
    <mergeCell ref="EE747:EI747"/>
    <mergeCell ref="DO761:DS761"/>
    <mergeCell ref="B746:F746"/>
    <mergeCell ref="K757:N757"/>
    <mergeCell ref="O733:S733"/>
    <mergeCell ref="EW660:FA660"/>
    <mergeCell ref="ER665:EV665"/>
    <mergeCell ref="EW665:FA665"/>
    <mergeCell ref="EH667:EL667"/>
    <mergeCell ref="EC669:EG669"/>
    <mergeCell ref="EH669:EL669"/>
    <mergeCell ref="EM659:EQ659"/>
    <mergeCell ref="DO746:DS746"/>
    <mergeCell ref="EZ728:FD728"/>
    <mergeCell ref="DU744:DY744"/>
    <mergeCell ref="EE745:EI745"/>
    <mergeCell ref="EJ745:EN745"/>
    <mergeCell ref="ET742:EX742"/>
    <mergeCell ref="DZ744:ED744"/>
    <mergeCell ref="EE744:EI744"/>
    <mergeCell ref="EJ744:EN744"/>
    <mergeCell ref="ET743:EX743"/>
    <mergeCell ref="ET739:EX739"/>
    <mergeCell ref="EJ735:EN735"/>
    <mergeCell ref="EO737:ES737"/>
    <mergeCell ref="EO740:ES740"/>
    <mergeCell ref="ET737:EX737"/>
    <mergeCell ref="DO740:DS740"/>
    <mergeCell ref="EW676:FA676"/>
    <mergeCell ref="EW672:FA672"/>
    <mergeCell ref="EW674:FA674"/>
    <mergeCell ref="EW662:FA662"/>
    <mergeCell ref="EO746:ES746"/>
    <mergeCell ref="DZ746:ED746"/>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CZ745:DD745"/>
    <mergeCell ref="CZ759:DD759"/>
    <mergeCell ref="CI759:CJ759"/>
    <mergeCell ref="CM748:CN748"/>
    <mergeCell ref="DE784:DI784"/>
    <mergeCell ref="DJ754:DN754"/>
    <mergeCell ref="DE758:DI758"/>
    <mergeCell ref="EO748:ES748"/>
    <mergeCell ref="ER677:EV677"/>
    <mergeCell ref="ER676:EV676"/>
    <mergeCell ref="DU745:DY745"/>
    <mergeCell ref="DO745:DS745"/>
    <mergeCell ref="DO782:DS782"/>
    <mergeCell ref="DU761:DY761"/>
    <mergeCell ref="DZ761:ED761"/>
    <mergeCell ref="DE782:DI782"/>
    <mergeCell ref="EE746:EI746"/>
    <mergeCell ref="AK734:AO734"/>
    <mergeCell ref="EO730:ES730"/>
    <mergeCell ref="EO725:ES725"/>
    <mergeCell ref="CU729:CY729"/>
    <mergeCell ref="EJ737:EN737"/>
    <mergeCell ref="EO744:ES744"/>
    <mergeCell ref="CI738:CJ738"/>
    <mergeCell ref="DO743:DS743"/>
    <mergeCell ref="DO744:DS744"/>
    <mergeCell ref="CI744:CJ744"/>
    <mergeCell ref="DE741:DI741"/>
    <mergeCell ref="CU743:CY743"/>
    <mergeCell ref="CP743:CT743"/>
    <mergeCell ref="DJ744:DN744"/>
    <mergeCell ref="DE744:DI744"/>
    <mergeCell ref="EJ725:EN725"/>
    <mergeCell ref="DU743:DY743"/>
    <mergeCell ref="DJ728:DN728"/>
    <mergeCell ref="DJ725:DN725"/>
    <mergeCell ref="DJ730:DN730"/>
    <mergeCell ref="DE729:DI729"/>
    <mergeCell ref="DE743:DI743"/>
    <mergeCell ref="W635:Y635"/>
    <mergeCell ref="T635:V635"/>
    <mergeCell ref="AO635:AS635"/>
    <mergeCell ref="EO760:ES760"/>
    <mergeCell ref="EJ760:EN760"/>
    <mergeCell ref="ET746:EX746"/>
    <mergeCell ref="CK753:CL753"/>
    <mergeCell ref="CI761:CJ761"/>
    <mergeCell ref="CP783:CT783"/>
    <mergeCell ref="CP784:CT784"/>
    <mergeCell ref="DJ742:DN742"/>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DU759:DY759"/>
    <mergeCell ref="DZ759:ED759"/>
    <mergeCell ref="AH737:AJ737"/>
    <mergeCell ref="DU726:DY726"/>
    <mergeCell ref="DU729:DY729"/>
    <mergeCell ref="EE729:EI729"/>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CP785:CT785"/>
    <mergeCell ref="EE748:EI748"/>
    <mergeCell ref="CU783:CY783"/>
    <mergeCell ref="EE753:EI753"/>
    <mergeCell ref="DU757:DY757"/>
    <mergeCell ref="DZ757:ED757"/>
    <mergeCell ref="DO754:DS754"/>
    <mergeCell ref="CZ754:DD754"/>
    <mergeCell ref="DJ758:DN758"/>
    <mergeCell ref="DO785:DS785"/>
    <mergeCell ref="DE781:DI781"/>
    <mergeCell ref="CZ785:DD785"/>
    <mergeCell ref="DE785:DI785"/>
    <mergeCell ref="DE783:DI783"/>
    <mergeCell ref="EE759:EI759"/>
    <mergeCell ref="ET748:EX748"/>
    <mergeCell ref="Z644:AB644"/>
    <mergeCell ref="Z645:AB645"/>
    <mergeCell ref="Z646:AB646"/>
    <mergeCell ref="EE760:EI760"/>
    <mergeCell ref="DU746:DY746"/>
    <mergeCell ref="EO761:ES761"/>
    <mergeCell ref="EJ748:EN748"/>
    <mergeCell ref="EO753:ES753"/>
    <mergeCell ref="EZ760:FD760"/>
    <mergeCell ref="FE760:FI760"/>
    <mergeCell ref="FJ760:FN760"/>
    <mergeCell ref="ET760:EX760"/>
    <mergeCell ref="EO759:ES759"/>
    <mergeCell ref="ET761:EX761"/>
    <mergeCell ref="EE757:EI757"/>
    <mergeCell ref="EJ757:EN757"/>
    <mergeCell ref="EE755:EI755"/>
    <mergeCell ref="EJ755:EN755"/>
    <mergeCell ref="EC645:EG645"/>
    <mergeCell ref="EH645:EL645"/>
    <mergeCell ref="EZ741:FD741"/>
    <mergeCell ref="FE741:FI741"/>
    <mergeCell ref="EJ729:EN729"/>
    <mergeCell ref="DZ729:ED729"/>
    <mergeCell ref="DZ730:ED730"/>
    <mergeCell ref="DU725:DY725"/>
    <mergeCell ref="DU727:DY727"/>
    <mergeCell ref="EE725:EI725"/>
    <mergeCell ref="EJ728:EN728"/>
    <mergeCell ref="ER662:EV662"/>
    <mergeCell ref="EM660:EQ660"/>
    <mergeCell ref="DX655:EB655"/>
    <mergeCell ref="EM656:EQ656"/>
    <mergeCell ref="ER657:EV657"/>
    <mergeCell ref="EJ746:EN746"/>
    <mergeCell ref="DX678:EB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M649:EQ649"/>
    <mergeCell ref="ER663:EV663"/>
    <mergeCell ref="EH656:EL656"/>
    <mergeCell ref="EH659:EL659"/>
    <mergeCell ref="ET725:EX725"/>
    <mergeCell ref="EE737:EI737"/>
    <mergeCell ref="EO739:ES739"/>
    <mergeCell ref="DZ732:ED732"/>
    <mergeCell ref="ET731:EX731"/>
    <mergeCell ref="EE733:EI733"/>
    <mergeCell ref="EM678:EQ678"/>
    <mergeCell ref="EE734:EI734"/>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C655:EG655"/>
    <mergeCell ref="EW649:FA649"/>
    <mergeCell ref="EH661:EL661"/>
    <mergeCell ref="EM661:EQ661"/>
    <mergeCell ref="ER661:EV661"/>
    <mergeCell ref="EW659:FA659"/>
    <mergeCell ref="EW657:FA657"/>
    <mergeCell ref="EH650:EL650"/>
    <mergeCell ref="EM650:EQ650"/>
    <mergeCell ref="ER650:EV650"/>
    <mergeCell ref="EC652:EG652"/>
    <mergeCell ref="EH652:EL652"/>
    <mergeCell ref="ER658:EV658"/>
    <mergeCell ref="EM658:EQ658"/>
    <mergeCell ref="EW647:FA647"/>
    <mergeCell ref="EC648:EG648"/>
    <mergeCell ref="EW648:FA648"/>
    <mergeCell ref="ER651:EV651"/>
    <mergeCell ref="ER648:EV648"/>
    <mergeCell ref="DZ740:ED740"/>
    <mergeCell ref="EE740:EI740"/>
    <mergeCell ref="EJ740:EN740"/>
    <mergeCell ref="EO734:ES734"/>
    <mergeCell ref="ET734:EX734"/>
    <mergeCell ref="EM669:EQ669"/>
    <mergeCell ref="ER678:EV678"/>
    <mergeCell ref="DX677:EB677"/>
    <mergeCell ref="EC678:EG678"/>
    <mergeCell ref="EH678:EL678"/>
    <mergeCell ref="ER664:EV664"/>
    <mergeCell ref="EC677:EG677"/>
    <mergeCell ref="EH677:EL677"/>
    <mergeCell ref="EM677:EQ677"/>
    <mergeCell ref="EM672:EQ672"/>
    <mergeCell ref="ER672:EV672"/>
    <mergeCell ref="EC675:EG675"/>
    <mergeCell ref="EH675:EL675"/>
    <mergeCell ref="EM674:EQ674"/>
    <mergeCell ref="ER674:EV674"/>
    <mergeCell ref="DX663:EB663"/>
    <mergeCell ref="DX664:EB664"/>
    <mergeCell ref="EC664:EG664"/>
    <mergeCell ref="EH664:EL664"/>
    <mergeCell ref="EM664:EQ664"/>
    <mergeCell ref="ER670:EV670"/>
    <mergeCell ref="EH658:EL658"/>
    <mergeCell ref="EM676:EQ676"/>
    <mergeCell ref="DU737:DY737"/>
    <mergeCell ref="EZ734:FD734"/>
    <mergeCell ref="DX654:EB654"/>
    <mergeCell ref="EC654:EG654"/>
    <mergeCell ref="EH654:EL654"/>
    <mergeCell ref="EM675:EQ675"/>
    <mergeCell ref="ER675:EV675"/>
    <mergeCell ref="EW675:FA675"/>
    <mergeCell ref="ER649:EV649"/>
    <mergeCell ref="EH649:EL649"/>
    <mergeCell ref="EW652:FA652"/>
    <mergeCell ref="EW655:FA655"/>
    <mergeCell ref="EW658:FA658"/>
    <mergeCell ref="EW656:FA656"/>
    <mergeCell ref="EH651:EL651"/>
    <mergeCell ref="EM651:EQ651"/>
    <mergeCell ref="EC656:EG656"/>
    <mergeCell ref="EW668:FA668"/>
    <mergeCell ref="DX669:EB669"/>
    <mergeCell ref="DX653:EB653"/>
    <mergeCell ref="EW663:FA663"/>
    <mergeCell ref="DX657:EB657"/>
    <mergeCell ref="DX649:EB649"/>
    <mergeCell ref="EW669:FA669"/>
    <mergeCell ref="EM670:EQ670"/>
    <mergeCell ref="DX661:EB661"/>
    <mergeCell ref="EC661:EG661"/>
    <mergeCell ref="DX662:EB662"/>
    <mergeCell ref="DX659:EB659"/>
    <mergeCell ref="EC659:EG659"/>
    <mergeCell ref="ER669:EV669"/>
    <mergeCell ref="FT739:FX739"/>
    <mergeCell ref="FY739:GC739"/>
    <mergeCell ref="FE739:FI739"/>
    <mergeCell ref="FJ728:FN728"/>
    <mergeCell ref="FE725:FI725"/>
    <mergeCell ref="FJ725:FN725"/>
    <mergeCell ref="EW678:FA678"/>
    <mergeCell ref="EW664:FA664"/>
    <mergeCell ref="DX672:EB672"/>
    <mergeCell ref="FJ738:FN738"/>
    <mergeCell ref="FE733:FI733"/>
    <mergeCell ref="EZ732:FD732"/>
    <mergeCell ref="EO736:ES736"/>
    <mergeCell ref="ET736:EX736"/>
    <mergeCell ref="EO728:ES728"/>
    <mergeCell ref="EC668:EG668"/>
    <mergeCell ref="EO727:ES727"/>
    <mergeCell ref="ET727:EX727"/>
    <mergeCell ref="EJ730:EN730"/>
    <mergeCell ref="DZ725:ED725"/>
    <mergeCell ref="EJ726:EN726"/>
    <mergeCell ref="EH672:EL672"/>
    <mergeCell ref="DX674:EB674"/>
    <mergeCell ref="EC674:EG674"/>
    <mergeCell ref="EH668:EL668"/>
    <mergeCell ref="EM668:EQ668"/>
    <mergeCell ref="DX673:EB673"/>
    <mergeCell ref="FJ732:FN732"/>
    <mergeCell ref="DU738:DY738"/>
    <mergeCell ref="ET728:EX728"/>
    <mergeCell ref="EZ725:FD725"/>
    <mergeCell ref="EW677:FA677"/>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T748:FX748"/>
    <mergeCell ref="FT741:FX741"/>
    <mergeCell ref="FT742:FX742"/>
    <mergeCell ref="FY742:GC742"/>
    <mergeCell ref="EZ743:FD743"/>
    <mergeCell ref="FE743:FI743"/>
    <mergeCell ref="FT745:FX745"/>
    <mergeCell ref="FJ748:FN748"/>
    <mergeCell ref="FO728:FS728"/>
    <mergeCell ref="FO725:FS725"/>
    <mergeCell ref="FT759:FX759"/>
    <mergeCell ref="FY759:GC759"/>
    <mergeCell ref="EZ736:FD736"/>
    <mergeCell ref="FE736:FI736"/>
    <mergeCell ref="FJ736:FN736"/>
    <mergeCell ref="FO736:FS736"/>
    <mergeCell ref="FT736:FX736"/>
    <mergeCell ref="FT749:FX749"/>
    <mergeCell ref="FY746:GC746"/>
    <mergeCell ref="FY738:GC738"/>
    <mergeCell ref="FY750:GC750"/>
    <mergeCell ref="EZ751:FD751"/>
    <mergeCell ref="FO743:FS743"/>
    <mergeCell ref="FT743:FX743"/>
    <mergeCell ref="FY743:GC743"/>
    <mergeCell ref="EZ744:FD744"/>
    <mergeCell ref="FE744:FI744"/>
    <mergeCell ref="FJ744:FN744"/>
    <mergeCell ref="FO748:FS748"/>
    <mergeCell ref="FJ741:FN741"/>
    <mergeCell ref="FO741:FS741"/>
    <mergeCell ref="EZ747:FD747"/>
    <mergeCell ref="FE747:FI747"/>
    <mergeCell ref="FJ747:FN747"/>
    <mergeCell ref="FO747:FS747"/>
    <mergeCell ref="FJ743:FN743"/>
    <mergeCell ref="FJ729:FN729"/>
    <mergeCell ref="EZ737:FD737"/>
    <mergeCell ref="FE737:FI737"/>
    <mergeCell ref="FJ737:FN73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O729:FS729"/>
    <mergeCell ref="FY733:GC733"/>
    <mergeCell ref="FT732:FX732"/>
    <mergeCell ref="FY732:GC732"/>
    <mergeCell ref="FY740:GC740"/>
    <mergeCell ref="FT750:FX750"/>
    <mergeCell ref="FY755:GC755"/>
    <mergeCell ref="FY751:GC751"/>
    <mergeCell ref="FE752:FI752"/>
    <mergeCell ref="FJ752:FN752"/>
    <mergeCell ref="FO752:FS752"/>
    <mergeCell ref="FT752:FX752"/>
    <mergeCell ref="FY752:GC752"/>
    <mergeCell ref="FY756:GC756"/>
    <mergeCell ref="FE757:FI757"/>
    <mergeCell ref="FJ757:FN757"/>
    <mergeCell ref="FO757:FS757"/>
    <mergeCell ref="FY753:GC753"/>
    <mergeCell ref="FT754:FX754"/>
    <mergeCell ref="FY736:GC736"/>
    <mergeCell ref="FY734:GC734"/>
    <mergeCell ref="FO740:FS740"/>
    <mergeCell ref="FT740:FX740"/>
    <mergeCell ref="FT744:FX744"/>
    <mergeCell ref="FT738:FX738"/>
    <mergeCell ref="FO737:FS737"/>
    <mergeCell ref="FT737:FX737"/>
    <mergeCell ref="FY737:GC737"/>
    <mergeCell ref="FY745:GC745"/>
    <mergeCell ref="FY744:GC744"/>
    <mergeCell ref="FE745:FI745"/>
    <mergeCell ref="FJ745:FN745"/>
    <mergeCell ref="FO745:FS745"/>
    <mergeCell ref="FJ742:FN742"/>
    <mergeCell ref="FO742:FS742"/>
    <mergeCell ref="FY735:GC735"/>
    <mergeCell ref="FO732:FS732"/>
    <mergeCell ref="FE735:FI735"/>
    <mergeCell ref="FJ735:FN735"/>
    <mergeCell ref="FO735:FS735"/>
    <mergeCell ref="FO760:FS760"/>
    <mergeCell ref="EO742:ES742"/>
    <mergeCell ref="EE742:EI742"/>
    <mergeCell ref="DU739:DY739"/>
    <mergeCell ref="DO733:DS733"/>
    <mergeCell ref="DO738:DS738"/>
    <mergeCell ref="DO739:DS739"/>
    <mergeCell ref="DO735:DS735"/>
    <mergeCell ref="DO736:DS736"/>
    <mergeCell ref="DO732:DS732"/>
    <mergeCell ref="DZ739:ED739"/>
    <mergeCell ref="EJ733:EN733"/>
    <mergeCell ref="FT735:FX735"/>
    <mergeCell ref="FJ734:FN734"/>
    <mergeCell ref="FO734:FS734"/>
    <mergeCell ref="FT734:FX734"/>
    <mergeCell ref="FE759:FI759"/>
    <mergeCell ref="FJ759:FN759"/>
    <mergeCell ref="FE732:FI732"/>
    <mergeCell ref="EZ745:FD745"/>
    <mergeCell ref="FJ739:FN739"/>
    <mergeCell ref="EZ740:FD740"/>
    <mergeCell ref="FE740:FI740"/>
    <mergeCell ref="FJ740:FN740"/>
    <mergeCell ref="FT760:FX760"/>
    <mergeCell ref="EZ738:FD738"/>
    <mergeCell ref="EZ759:FD759"/>
    <mergeCell ref="EZ748:FD748"/>
    <mergeCell ref="B744:F744"/>
    <mergeCell ref="FO759:FS759"/>
    <mergeCell ref="FO744:FS744"/>
    <mergeCell ref="K739:N739"/>
    <mergeCell ref="AH761:AJ761"/>
    <mergeCell ref="AK753:AO753"/>
    <mergeCell ref="AH749:AJ749"/>
    <mergeCell ref="AK748:AO748"/>
    <mergeCell ref="AK749:AO749"/>
    <mergeCell ref="AK760:AO760"/>
    <mergeCell ref="O749:S749"/>
    <mergeCell ref="O758:S758"/>
    <mergeCell ref="FO738:FS738"/>
    <mergeCell ref="X741:AB741"/>
    <mergeCell ref="G740:J740"/>
    <mergeCell ref="AH743:AJ743"/>
    <mergeCell ref="X742:AB742"/>
    <mergeCell ref="FE748:FI748"/>
    <mergeCell ref="FE753:FI753"/>
    <mergeCell ref="FJ753:FN753"/>
    <mergeCell ref="FO753:FS753"/>
    <mergeCell ref="FE738:FI738"/>
    <mergeCell ref="FO739:FS739"/>
    <mergeCell ref="EZ739:FD739"/>
    <mergeCell ref="EZ761:FD761"/>
    <mergeCell ref="FE761:FI761"/>
    <mergeCell ref="EJ743:EN743"/>
    <mergeCell ref="EO743:ES743"/>
    <mergeCell ref="DZ743:ED743"/>
    <mergeCell ref="ET745:EX745"/>
    <mergeCell ref="EJ761:EN761"/>
    <mergeCell ref="DO748:DS748"/>
    <mergeCell ref="Q831:T832"/>
    <mergeCell ref="Z817:AE817"/>
    <mergeCell ref="O799:S799"/>
    <mergeCell ref="FE734:FI734"/>
    <mergeCell ref="K748:N748"/>
    <mergeCell ref="AC746:AG746"/>
    <mergeCell ref="O735:S735"/>
    <mergeCell ref="AK758:AO758"/>
    <mergeCell ref="FE728:FI728"/>
    <mergeCell ref="DO729:DS729"/>
    <mergeCell ref="DO731:DS731"/>
    <mergeCell ref="EO729:ES729"/>
    <mergeCell ref="EE739:EI739"/>
    <mergeCell ref="EJ739:EN739"/>
    <mergeCell ref="DU740:DY740"/>
    <mergeCell ref="DZ734:ED734"/>
    <mergeCell ref="DU736:DY736"/>
    <mergeCell ref="DU742:DY742"/>
    <mergeCell ref="DU735:DY735"/>
    <mergeCell ref="DZ738:ED738"/>
    <mergeCell ref="EE738:EI738"/>
    <mergeCell ref="EJ738:EN738"/>
    <mergeCell ref="X744:AB744"/>
    <mergeCell ref="EJ734:EN734"/>
    <mergeCell ref="EZ735:FD735"/>
    <mergeCell ref="EE736:EI736"/>
    <mergeCell ref="EJ736:EN736"/>
    <mergeCell ref="EO735:ES735"/>
    <mergeCell ref="DJ748:DN748"/>
    <mergeCell ref="DO762:DS762"/>
    <mergeCell ref="DO759:DS759"/>
    <mergeCell ref="DO760:DS760"/>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O777:S780"/>
    <mergeCell ref="B762:AH763"/>
    <mergeCell ref="X782:AB782"/>
    <mergeCell ref="T781:W781"/>
    <mergeCell ref="J781:N781"/>
    <mergeCell ref="O781:S781"/>
    <mergeCell ref="J784:N784"/>
    <mergeCell ref="U831:X832"/>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D1004:AE1007"/>
    <mergeCell ref="T982:Z982"/>
    <mergeCell ref="I956:T956"/>
    <mergeCell ref="D1003:AE1003"/>
    <mergeCell ref="D1009:AE1009"/>
    <mergeCell ref="D1011:AE1015"/>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G749:J749"/>
    <mergeCell ref="B1001:AI1001"/>
    <mergeCell ref="AG1038:AH1038"/>
    <mergeCell ref="D1046:AE1049"/>
    <mergeCell ref="AO645:AS645"/>
    <mergeCell ref="D1038:AE1038"/>
    <mergeCell ref="B1000:AA1000"/>
    <mergeCell ref="D1020:AE1020"/>
    <mergeCell ref="D1021:AE1021"/>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P687:R687"/>
    <mergeCell ref="AA981:AG981"/>
    <mergeCell ref="AA929:AF929"/>
    <mergeCell ref="AB999:AI999"/>
    <mergeCell ref="T744:W744"/>
    <mergeCell ref="O757:S757"/>
    <mergeCell ref="X759:AB759"/>
    <mergeCell ref="D1008:AE1008"/>
    <mergeCell ref="R996:AA996"/>
    <mergeCell ref="D997:Q997"/>
    <mergeCell ref="M978:S978"/>
    <mergeCell ref="AA944:AF944"/>
    <mergeCell ref="AA927:AF927"/>
    <mergeCell ref="AA978:AG978"/>
    <mergeCell ref="AA958:AF958"/>
    <mergeCell ref="E894:AB894"/>
    <mergeCell ref="M839:P839"/>
    <mergeCell ref="M981:S981"/>
    <mergeCell ref="O784:S784"/>
    <mergeCell ref="J791:N794"/>
    <mergeCell ref="AA977:AG977"/>
    <mergeCell ref="AE964:AK964"/>
    <mergeCell ref="I959:T959"/>
    <mergeCell ref="M887:V887"/>
    <mergeCell ref="U955:Z955"/>
    <mergeCell ref="F955:H955"/>
    <mergeCell ref="AA976:AG976"/>
    <mergeCell ref="M977:S977"/>
    <mergeCell ref="F941:T941"/>
    <mergeCell ref="AA948:AF948"/>
    <mergeCell ref="AA949:AF949"/>
    <mergeCell ref="W861:AC861"/>
    <mergeCell ref="M964:S964"/>
    <mergeCell ref="M967:S967"/>
    <mergeCell ref="M885:V885"/>
    <mergeCell ref="W877:AC877"/>
    <mergeCell ref="M831:P832"/>
    <mergeCell ref="T804:W804"/>
    <mergeCell ref="AA936:AF936"/>
    <mergeCell ref="F938:T938"/>
    <mergeCell ref="F924:T924"/>
    <mergeCell ref="I955:T955"/>
    <mergeCell ref="D998:Q998"/>
    <mergeCell ref="C774:AR776"/>
    <mergeCell ref="B745:F745"/>
    <mergeCell ref="G747:J747"/>
    <mergeCell ref="AC738:AG738"/>
    <mergeCell ref="AH745:AJ745"/>
    <mergeCell ref="AH746:AJ746"/>
    <mergeCell ref="AH744:AJ744"/>
    <mergeCell ref="AC747:AG747"/>
    <mergeCell ref="K742:N742"/>
    <mergeCell ref="AH741:AJ741"/>
    <mergeCell ref="G731:J731"/>
    <mergeCell ref="G761:J761"/>
    <mergeCell ref="AD767:AF767"/>
    <mergeCell ref="O754:S754"/>
    <mergeCell ref="O751:S751"/>
    <mergeCell ref="T751:W751"/>
    <mergeCell ref="K752:N752"/>
    <mergeCell ref="O752:S752"/>
    <mergeCell ref="K736:N736"/>
    <mergeCell ref="K754:N754"/>
    <mergeCell ref="T754:W754"/>
    <mergeCell ref="K755:N755"/>
    <mergeCell ref="AH758:AJ758"/>
    <mergeCell ref="B760:F760"/>
    <mergeCell ref="B759:F759"/>
    <mergeCell ref="AC755:AG755"/>
    <mergeCell ref="T760:W760"/>
    <mergeCell ref="T746:W746"/>
    <mergeCell ref="B750:F750"/>
    <mergeCell ref="B751:F751"/>
    <mergeCell ref="O747:S747"/>
    <mergeCell ref="D1134:AK1136"/>
    <mergeCell ref="X734:AB734"/>
    <mergeCell ref="AH731:AJ731"/>
    <mergeCell ref="A1106:B1106"/>
    <mergeCell ref="AE969:AK969"/>
    <mergeCell ref="AE970:AK970"/>
    <mergeCell ref="AA957:AF957"/>
    <mergeCell ref="T738:W738"/>
    <mergeCell ref="M976:S976"/>
    <mergeCell ref="O800:S800"/>
    <mergeCell ref="T734:W734"/>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Z814:AE814"/>
    <mergeCell ref="X799:AB799"/>
    <mergeCell ref="J796:N796"/>
    <mergeCell ref="T752:W752"/>
    <mergeCell ref="J857:V857"/>
    <mergeCell ref="W854:AC854"/>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M969:S969"/>
    <mergeCell ref="Z910:AE910"/>
    <mergeCell ref="W887:AC887"/>
    <mergeCell ref="U940:Z940"/>
    <mergeCell ref="W881:AC881"/>
    <mergeCell ref="AE965:AK965"/>
    <mergeCell ref="P954:T954"/>
    <mergeCell ref="AA953:AF953"/>
    <mergeCell ref="U952:Z952"/>
    <mergeCell ref="U944:Z944"/>
    <mergeCell ref="AA932:AF932"/>
    <mergeCell ref="J966:S966"/>
    <mergeCell ref="AE968:AK968"/>
    <mergeCell ref="I957:T957"/>
    <mergeCell ref="AC904:AH904"/>
    <mergeCell ref="AA942:AF942"/>
    <mergeCell ref="Z909:AE909"/>
    <mergeCell ref="AC896:AH896"/>
    <mergeCell ref="W878:AC878"/>
    <mergeCell ref="AC901:AH901"/>
    <mergeCell ref="AC833:AF833"/>
    <mergeCell ref="AA950:AF950"/>
    <mergeCell ref="AA938:AF938"/>
    <mergeCell ref="U939:Z939"/>
    <mergeCell ref="AA939:AF939"/>
    <mergeCell ref="U958:Z958"/>
    <mergeCell ref="T866:V866"/>
    <mergeCell ref="T868:V868"/>
    <mergeCell ref="W876:AC876"/>
    <mergeCell ref="W870:AC870"/>
    <mergeCell ref="M833:P833"/>
    <mergeCell ref="AA928:AF928"/>
    <mergeCell ref="F945:T945"/>
    <mergeCell ref="AA956:AF956"/>
    <mergeCell ref="Y838:AB838"/>
    <mergeCell ref="U931:Z931"/>
    <mergeCell ref="C838:H838"/>
    <mergeCell ref="F839:L839"/>
    <mergeCell ref="U835:X835"/>
    <mergeCell ref="C835:H835"/>
    <mergeCell ref="I958:T958"/>
    <mergeCell ref="U947:Z947"/>
    <mergeCell ref="AB926:AE926"/>
    <mergeCell ref="AA931:AF931"/>
    <mergeCell ref="Y835:AB835"/>
    <mergeCell ref="AG835:AJ835"/>
    <mergeCell ref="AG838:AJ838"/>
    <mergeCell ref="U840:X840"/>
    <mergeCell ref="M840:P840"/>
    <mergeCell ref="W875:AC875"/>
    <mergeCell ref="W867:AC867"/>
    <mergeCell ref="W857:AC857"/>
    <mergeCell ref="M886:V886"/>
    <mergeCell ref="U934:Z934"/>
    <mergeCell ref="Q839:T839"/>
    <mergeCell ref="W853:AC853"/>
    <mergeCell ref="M854:V854"/>
    <mergeCell ref="M838:P838"/>
    <mergeCell ref="C840:L840"/>
    <mergeCell ref="W865:AC865"/>
    <mergeCell ref="M883:V883"/>
    <mergeCell ref="Y839:AB839"/>
    <mergeCell ref="W859:AC859"/>
    <mergeCell ref="W863:AC863"/>
    <mergeCell ref="W860:AC860"/>
    <mergeCell ref="W869:AC869"/>
    <mergeCell ref="Q840:T840"/>
    <mergeCell ref="W851:AC851"/>
    <mergeCell ref="C834:H834"/>
    <mergeCell ref="Y837:AB837"/>
    <mergeCell ref="M834:P834"/>
    <mergeCell ref="M880:V880"/>
    <mergeCell ref="AA955:AF955"/>
    <mergeCell ref="Q833:T833"/>
    <mergeCell ref="W879:AC879"/>
    <mergeCell ref="O798:S798"/>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DJ743:DN743"/>
    <mergeCell ref="DE745:DI745"/>
    <mergeCell ref="T748:W748"/>
    <mergeCell ref="CK744:CL744"/>
    <mergeCell ref="CG750:CH750"/>
    <mergeCell ref="CG751:CH751"/>
    <mergeCell ref="CI746:CJ746"/>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DJ745:DN745"/>
    <mergeCell ref="CG749:CH749"/>
    <mergeCell ref="CU744:CY744"/>
    <mergeCell ref="CK749:CL749"/>
    <mergeCell ref="CM749:CN749"/>
    <mergeCell ref="CZ743:DD743"/>
    <mergeCell ref="CU742:CY742"/>
    <mergeCell ref="CP744:CT744"/>
    <mergeCell ref="CM745:CN745"/>
    <mergeCell ref="CU745:CY745"/>
    <mergeCell ref="CZ746:DD746"/>
    <mergeCell ref="CM744:CN744"/>
    <mergeCell ref="DE739:DI739"/>
    <mergeCell ref="CK739:CL739"/>
    <mergeCell ref="AC740:AG740"/>
    <mergeCell ref="AF635:AJ635"/>
    <mergeCell ref="CG760:CH760"/>
    <mergeCell ref="AC839:AF839"/>
    <mergeCell ref="AH742:AJ742"/>
    <mergeCell ref="AK728:AO728"/>
    <mergeCell ref="AH726:AJ726"/>
    <mergeCell ref="AC726:AG726"/>
    <mergeCell ref="Z679:AE679"/>
    <mergeCell ref="W708:AK708"/>
    <mergeCell ref="Z691:AK691"/>
    <mergeCell ref="AA696:AK696"/>
    <mergeCell ref="AE710:AF710"/>
    <mergeCell ref="CU782:CY782"/>
    <mergeCell ref="X791:AB794"/>
    <mergeCell ref="X795:AB795"/>
    <mergeCell ref="AG837:AJ837"/>
    <mergeCell ref="AG834:AJ834"/>
    <mergeCell ref="AG833:AJ833"/>
    <mergeCell ref="Y833:AB833"/>
    <mergeCell ref="AO641:AS641"/>
    <mergeCell ref="AE701:AF701"/>
    <mergeCell ref="CP741:CT741"/>
    <mergeCell ref="CK743:CL743"/>
    <mergeCell ref="CP740:CT740"/>
    <mergeCell ref="CM737:CN737"/>
    <mergeCell ref="CM731:CN731"/>
    <mergeCell ref="CM733:CN733"/>
    <mergeCell ref="CK738:CL738"/>
    <mergeCell ref="CP739:CT739"/>
    <mergeCell ref="CI737:CJ737"/>
    <mergeCell ref="CP737:CT737"/>
    <mergeCell ref="CG743:CH743"/>
    <mergeCell ref="EJ741:EN741"/>
    <mergeCell ref="DZ737:ED737"/>
    <mergeCell ref="ET735:EX735"/>
    <mergeCell ref="DZ735:ED735"/>
    <mergeCell ref="EE735:EI735"/>
    <mergeCell ref="EE731:EI731"/>
    <mergeCell ref="EJ731:EN731"/>
    <mergeCell ref="EO733:ES733"/>
    <mergeCell ref="EJ732:EN732"/>
    <mergeCell ref="EO731:ES731"/>
    <mergeCell ref="DU730:DY730"/>
    <mergeCell ref="DG122:DM122"/>
    <mergeCell ref="CU122:CV122"/>
    <mergeCell ref="EO726:ES726"/>
    <mergeCell ref="DU728:DY728"/>
    <mergeCell ref="EW646:FA646"/>
    <mergeCell ref="ER656:EV656"/>
    <mergeCell ref="ER655:EV655"/>
    <mergeCell ref="EH653:EL653"/>
    <mergeCell ref="EM653:EQ653"/>
    <mergeCell ref="EH648:EL648"/>
    <mergeCell ref="EM648:EQ648"/>
    <mergeCell ref="DX647:EB647"/>
    <mergeCell ref="DX651:EB651"/>
    <mergeCell ref="DX648:EB648"/>
    <mergeCell ref="DX660:EB660"/>
    <mergeCell ref="EC660:EG660"/>
    <mergeCell ref="ET730:EX730"/>
    <mergeCell ref="ET741:EX741"/>
    <mergeCell ref="DE740:DI740"/>
    <mergeCell ref="CZ733:DD733"/>
    <mergeCell ref="DJ738:DN738"/>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CZ727:DD727"/>
    <mergeCell ref="CP729:CT729"/>
    <mergeCell ref="CG735:CH735"/>
    <mergeCell ref="CZ736:DD736"/>
    <mergeCell ref="CK736:CL736"/>
    <mergeCell ref="CZ737:DD737"/>
    <mergeCell ref="CG733:CH733"/>
    <mergeCell ref="DJ733:DN733"/>
    <mergeCell ref="DE733:DI733"/>
    <mergeCell ref="DE737:DI737"/>
    <mergeCell ref="CZ735:DD735"/>
    <mergeCell ref="DE734:DI734"/>
    <mergeCell ref="CZ732:DD732"/>
    <mergeCell ref="T735:W735"/>
    <mergeCell ref="O728:S728"/>
    <mergeCell ref="ET744:EX744"/>
    <mergeCell ref="EE743:EI743"/>
    <mergeCell ref="EJ742:EN742"/>
    <mergeCell ref="EE741:EI741"/>
    <mergeCell ref="ET740:EX740"/>
    <mergeCell ref="ET729:EX729"/>
    <mergeCell ref="DO737:DS737"/>
    <mergeCell ref="AK639:AN639"/>
    <mergeCell ref="AK640:AN640"/>
    <mergeCell ref="AF640:AJ640"/>
    <mergeCell ref="AC639:AE639"/>
    <mergeCell ref="AC642:AE642"/>
    <mergeCell ref="EC672:EG672"/>
    <mergeCell ref="CU726:CY726"/>
    <mergeCell ref="CP725:CT725"/>
    <mergeCell ref="AF646:AJ646"/>
    <mergeCell ref="AC646:AE646"/>
    <mergeCell ref="AK722:AO725"/>
    <mergeCell ref="AK726:AO726"/>
    <mergeCell ref="Z661:AK661"/>
    <mergeCell ref="Z687:AE687"/>
    <mergeCell ref="Z678:AK678"/>
    <mergeCell ref="Z639:AB639"/>
    <mergeCell ref="Z695:AE695"/>
    <mergeCell ref="AO639:AS639"/>
    <mergeCell ref="AI671:AK671"/>
    <mergeCell ref="B649:AN649"/>
    <mergeCell ref="G651:R651"/>
    <mergeCell ref="M642:P642"/>
    <mergeCell ref="Z669:AK669"/>
    <mergeCell ref="K735:N735"/>
    <mergeCell ref="K734:N734"/>
    <mergeCell ref="DO728:DS728"/>
    <mergeCell ref="DO730:DS730"/>
    <mergeCell ref="DJ737:DN737"/>
    <mergeCell ref="EE728:EI728"/>
    <mergeCell ref="AH722:AJ725"/>
    <mergeCell ref="C640:L640"/>
    <mergeCell ref="M640:P640"/>
    <mergeCell ref="EC649:EG649"/>
    <mergeCell ref="EC651:EG651"/>
    <mergeCell ref="EC650:EG650"/>
    <mergeCell ref="AF641:AJ641"/>
    <mergeCell ref="DE727:DI727"/>
    <mergeCell ref="CZ728:DD728"/>
    <mergeCell ref="AK737:AO737"/>
    <mergeCell ref="DX676:EB676"/>
    <mergeCell ref="EC676:EG676"/>
    <mergeCell ref="DO726:DS726"/>
    <mergeCell ref="DO727:DS727"/>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DU734:DY734"/>
    <mergeCell ref="G653:R653"/>
    <mergeCell ref="DJ731:DN731"/>
    <mergeCell ref="DJ732:DN732"/>
    <mergeCell ref="DE728:DI728"/>
    <mergeCell ref="DE732:DI732"/>
    <mergeCell ref="EH660:EL660"/>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AI621:AK621"/>
    <mergeCell ref="AK644:AN644"/>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H517:AK517"/>
    <mergeCell ref="AG591:AH591"/>
    <mergeCell ref="G596:R596"/>
    <mergeCell ref="Z588:AK588"/>
    <mergeCell ref="Z603:AK603"/>
    <mergeCell ref="G611:R611"/>
    <mergeCell ref="T641:V641"/>
    <mergeCell ref="G675:R675"/>
    <mergeCell ref="G655:L655"/>
    <mergeCell ref="Q646:S646"/>
    <mergeCell ref="H656:R656"/>
    <mergeCell ref="Z640:AB640"/>
    <mergeCell ref="M638:P638"/>
    <mergeCell ref="M639:P639"/>
    <mergeCell ref="G679:L679"/>
    <mergeCell ref="G662:R662"/>
    <mergeCell ref="G661:R661"/>
    <mergeCell ref="K726:N726"/>
    <mergeCell ref="C645:L645"/>
    <mergeCell ref="Z617:AK617"/>
    <mergeCell ref="AO644:AS644"/>
    <mergeCell ref="CZ726:DD726"/>
    <mergeCell ref="AC729:AG729"/>
    <mergeCell ref="AC730:AG730"/>
    <mergeCell ref="AH728:AJ728"/>
    <mergeCell ref="AK730:AO73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AK729:AO729"/>
    <mergeCell ref="CG727:CH727"/>
    <mergeCell ref="CI729:CJ729"/>
    <mergeCell ref="W646:Y646"/>
    <mergeCell ref="Z662:AK662"/>
    <mergeCell ref="AA664:AK664"/>
    <mergeCell ref="AI655:AK655"/>
    <mergeCell ref="AE704:AI704"/>
    <mergeCell ref="CU730:CY730"/>
    <mergeCell ref="CZ730:DD730"/>
    <mergeCell ref="Z653:AK653"/>
    <mergeCell ref="G617:R617"/>
    <mergeCell ref="Z578:AK578"/>
    <mergeCell ref="AM574:AS574"/>
    <mergeCell ref="AE564:AH564"/>
    <mergeCell ref="AE567:AH567"/>
    <mergeCell ref="M573:P573"/>
    <mergeCell ref="Q638:S638"/>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C637:L637"/>
    <mergeCell ref="Z613:AE613"/>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H509:AK509"/>
    <mergeCell ref="G482:V482"/>
    <mergeCell ref="AH534:AK534"/>
    <mergeCell ref="M569:P569"/>
    <mergeCell ref="C573:L573"/>
    <mergeCell ref="C565:L565"/>
    <mergeCell ref="P430:R430"/>
    <mergeCell ref="C569:L569"/>
    <mergeCell ref="W571:Y57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M636:P636"/>
    <mergeCell ref="M645:P645"/>
    <mergeCell ref="M646:P646"/>
    <mergeCell ref="P655:R655"/>
    <mergeCell ref="G677:R677"/>
    <mergeCell ref="O739:S739"/>
    <mergeCell ref="O729:S729"/>
    <mergeCell ref="CZ739:DD739"/>
    <mergeCell ref="CP727:CT727"/>
    <mergeCell ref="CI741:CJ741"/>
    <mergeCell ref="AH733:AJ733"/>
    <mergeCell ref="T742:W742"/>
    <mergeCell ref="CK734:CL734"/>
    <mergeCell ref="CM740:CN740"/>
    <mergeCell ref="CP734:CT734"/>
    <mergeCell ref="CK740:CL740"/>
    <mergeCell ref="CP733:CT733"/>
    <mergeCell ref="CK727:CL727"/>
    <mergeCell ref="CG732:CH732"/>
    <mergeCell ref="T743:W743"/>
    <mergeCell ref="DJ735:DN735"/>
    <mergeCell ref="DJ734:DN734"/>
    <mergeCell ref="CI733:CJ733"/>
    <mergeCell ref="CZ740:DD740"/>
    <mergeCell ref="DJ736:DN736"/>
    <mergeCell ref="CI736:CJ736"/>
    <mergeCell ref="DE736:DI736"/>
    <mergeCell ref="CU737:CY737"/>
    <mergeCell ref="DJ739:DN739"/>
    <mergeCell ref="CU738:CY738"/>
    <mergeCell ref="CM732:CN732"/>
    <mergeCell ref="CP731:CT731"/>
    <mergeCell ref="CU735:CY735"/>
    <mergeCell ref="CK732:CL732"/>
    <mergeCell ref="DE738:DI738"/>
    <mergeCell ref="CM738:CN738"/>
    <mergeCell ref="CK735:CL735"/>
    <mergeCell ref="K731:N731"/>
    <mergeCell ref="N689:O689"/>
    <mergeCell ref="X727:AB727"/>
    <mergeCell ref="CI731:CJ731"/>
    <mergeCell ref="DE747:DI747"/>
    <mergeCell ref="CP736:CT736"/>
    <mergeCell ref="CU736:CY736"/>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G695:L695"/>
    <mergeCell ref="T730:W730"/>
    <mergeCell ref="K737:N737"/>
    <mergeCell ref="CK737:CL737"/>
    <mergeCell ref="CU732:CY732"/>
    <mergeCell ref="CU733:CY733"/>
    <mergeCell ref="N665:O665"/>
    <mergeCell ref="Z668:AK668"/>
    <mergeCell ref="G671:L671"/>
    <mergeCell ref="T740:W740"/>
    <mergeCell ref="T739:W739"/>
    <mergeCell ref="N657:O657"/>
    <mergeCell ref="AH727:AJ727"/>
    <mergeCell ref="CK733:CL733"/>
    <mergeCell ref="CG741:CH741"/>
    <mergeCell ref="CI742:CJ742"/>
    <mergeCell ref="CI727:CJ727"/>
    <mergeCell ref="N697:O697"/>
    <mergeCell ref="CK731:CL731"/>
    <mergeCell ref="CK729:CL729"/>
    <mergeCell ref="CM734:CN734"/>
    <mergeCell ref="CM726:CN726"/>
    <mergeCell ref="CI740:CJ740"/>
    <mergeCell ref="CM736:CN736"/>
    <mergeCell ref="Z660:AK660"/>
    <mergeCell ref="G722:J725"/>
    <mergeCell ref="G676:R676"/>
    <mergeCell ref="CU734:CY734"/>
    <mergeCell ref="Z685:AK685"/>
    <mergeCell ref="R713:T713"/>
    <mergeCell ref="T726:W726"/>
    <mergeCell ref="K730:N730"/>
    <mergeCell ref="B738:F738"/>
    <mergeCell ref="G735:J735"/>
    <mergeCell ref="N681:O681"/>
    <mergeCell ref="CZ734:DD734"/>
    <mergeCell ref="CK730:CL730"/>
    <mergeCell ref="AG697:AH697"/>
    <mergeCell ref="CZ731:DD731"/>
    <mergeCell ref="P695:R695"/>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G742:J742"/>
    <mergeCell ref="O737:S737"/>
    <mergeCell ref="CI725:CJ725"/>
    <mergeCell ref="Z663:AE663"/>
    <mergeCell ref="CM741:CN741"/>
    <mergeCell ref="CI734:CJ734"/>
    <mergeCell ref="CG734:CH734"/>
    <mergeCell ref="CM735:CN735"/>
    <mergeCell ref="G678:R678"/>
    <mergeCell ref="Z677:AK677"/>
    <mergeCell ref="E715:AK715"/>
    <mergeCell ref="W714:AK714"/>
    <mergeCell ref="AW927:AY927"/>
    <mergeCell ref="AA935:AF935"/>
    <mergeCell ref="U936:Z936"/>
    <mergeCell ref="B726:F726"/>
    <mergeCell ref="G728:J728"/>
    <mergeCell ref="B729:F729"/>
    <mergeCell ref="CI739:CJ739"/>
    <mergeCell ref="AA688:AK688"/>
    <mergeCell ref="Z670:AK670"/>
    <mergeCell ref="AA680:AK680"/>
    <mergeCell ref="Z692:AK692"/>
    <mergeCell ref="AC757:AG757"/>
    <mergeCell ref="X748:AB748"/>
    <mergeCell ref="B747:F747"/>
    <mergeCell ref="K743:N743"/>
    <mergeCell ref="K744:N744"/>
    <mergeCell ref="G744:J744"/>
    <mergeCell ref="AE707:AI707"/>
    <mergeCell ref="H672:R672"/>
    <mergeCell ref="G686:R686"/>
    <mergeCell ref="X756:AB756"/>
    <mergeCell ref="X757:AB757"/>
    <mergeCell ref="B731:F731"/>
    <mergeCell ref="B737:F737"/>
    <mergeCell ref="K738:N738"/>
    <mergeCell ref="G727:J727"/>
    <mergeCell ref="X732:AB732"/>
    <mergeCell ref="AK744:AO744"/>
    <mergeCell ref="AK735:AO735"/>
    <mergeCell ref="AH732:AJ732"/>
    <mergeCell ref="AG673:AH673"/>
    <mergeCell ref="B739:F739"/>
    <mergeCell ref="U946:Z946"/>
    <mergeCell ref="AA946:AF946"/>
    <mergeCell ref="F951:T951"/>
    <mergeCell ref="U951:Z951"/>
    <mergeCell ref="AA951:AF951"/>
    <mergeCell ref="C901:AB901"/>
    <mergeCell ref="U933:Z933"/>
    <mergeCell ref="U942:Z942"/>
    <mergeCell ref="U943:Z943"/>
    <mergeCell ref="F939:T939"/>
    <mergeCell ref="F940:T940"/>
    <mergeCell ref="U945:Z945"/>
    <mergeCell ref="AA937:AF937"/>
    <mergeCell ref="AA945:AF945"/>
    <mergeCell ref="F937:T937"/>
    <mergeCell ref="AA940:AF940"/>
    <mergeCell ref="U941:Z941"/>
    <mergeCell ref="AA941:AF941"/>
    <mergeCell ref="F947:T947"/>
    <mergeCell ref="AA933:AF933"/>
    <mergeCell ref="BD908:BE908"/>
    <mergeCell ref="F953:T953"/>
    <mergeCell ref="U953:Z953"/>
    <mergeCell ref="F949:T949"/>
    <mergeCell ref="U948:Z948"/>
    <mergeCell ref="U949:Z949"/>
    <mergeCell ref="AA947:AF947"/>
    <mergeCell ref="U932:Z932"/>
    <mergeCell ref="BD911:BE911"/>
    <mergeCell ref="U950:Z950"/>
    <mergeCell ref="AA952:AF952"/>
    <mergeCell ref="AC894:AH894"/>
    <mergeCell ref="C904:AB904"/>
    <mergeCell ref="F935:T935"/>
    <mergeCell ref="F936:T936"/>
    <mergeCell ref="BD910:BE910"/>
    <mergeCell ref="AC895:AH895"/>
    <mergeCell ref="BD909:BE909"/>
    <mergeCell ref="U935:Z935"/>
    <mergeCell ref="U929:Z929"/>
    <mergeCell ref="AC902:AH902"/>
    <mergeCell ref="A919:AT920"/>
    <mergeCell ref="BD913:BE913"/>
    <mergeCell ref="BD915:BF915"/>
    <mergeCell ref="BD914:BF914"/>
    <mergeCell ref="BD919:BE919"/>
    <mergeCell ref="BD912:BE912"/>
    <mergeCell ref="AC898:AH898"/>
    <mergeCell ref="AC903:AH903"/>
    <mergeCell ref="Z908:AE908"/>
    <mergeCell ref="AC897:AH897"/>
    <mergeCell ref="F946:T946"/>
    <mergeCell ref="AZ859:BA859"/>
    <mergeCell ref="AC899:AH899"/>
    <mergeCell ref="Q838:T838"/>
    <mergeCell ref="AG839:AJ839"/>
    <mergeCell ref="X801:AB801"/>
    <mergeCell ref="Q834:T834"/>
    <mergeCell ref="Y831:AB832"/>
    <mergeCell ref="M837:P837"/>
    <mergeCell ref="Z823:AE823"/>
    <mergeCell ref="Z816:AE816"/>
    <mergeCell ref="T802:W802"/>
    <mergeCell ref="C837:H837"/>
    <mergeCell ref="U837:X837"/>
    <mergeCell ref="Q836:T836"/>
    <mergeCell ref="W862:AC862"/>
    <mergeCell ref="W883:AC883"/>
    <mergeCell ref="C845:AJ845"/>
    <mergeCell ref="U839:X839"/>
    <mergeCell ref="W884:AC884"/>
    <mergeCell ref="AC837:AF837"/>
    <mergeCell ref="Y834:AB834"/>
    <mergeCell ref="Q837:T837"/>
    <mergeCell ref="J801:N801"/>
    <mergeCell ref="AC893:AH893"/>
    <mergeCell ref="M884:V884"/>
    <mergeCell ref="W886:AC886"/>
    <mergeCell ref="W880:AC880"/>
    <mergeCell ref="W850:AC850"/>
    <mergeCell ref="W855:AC855"/>
    <mergeCell ref="W885:AC885"/>
    <mergeCell ref="M869:V869"/>
    <mergeCell ref="C833:H833"/>
    <mergeCell ref="C836:H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U833:X833"/>
    <mergeCell ref="U836:X836"/>
    <mergeCell ref="AG836:AJ836"/>
    <mergeCell ref="Z815:AE815"/>
    <mergeCell ref="O782:S782"/>
    <mergeCell ref="O802:S802"/>
    <mergeCell ref="AC836:AF836"/>
    <mergeCell ref="T798:W798"/>
    <mergeCell ref="T801:W801"/>
    <mergeCell ref="O783:S783"/>
    <mergeCell ref="J800:N800"/>
    <mergeCell ref="Q835:T835"/>
    <mergeCell ref="M836:P836"/>
    <mergeCell ref="M835:P835"/>
    <mergeCell ref="J805:N805"/>
    <mergeCell ref="J803:N803"/>
    <mergeCell ref="AC782:AG782"/>
    <mergeCell ref="X785:AB785"/>
    <mergeCell ref="X797:AB797"/>
    <mergeCell ref="X798:AB798"/>
    <mergeCell ref="O804:S804"/>
    <mergeCell ref="X804:AB804"/>
    <mergeCell ref="O805:S805"/>
    <mergeCell ref="O796:S796"/>
    <mergeCell ref="Z822:AE822"/>
    <mergeCell ref="Z825:AE825"/>
    <mergeCell ref="P824:Y824"/>
    <mergeCell ref="J782:N782"/>
    <mergeCell ref="AC783:AG783"/>
    <mergeCell ref="AC791:AG794"/>
    <mergeCell ref="J799:N799"/>
    <mergeCell ref="X800:AB800"/>
    <mergeCell ref="T791:W794"/>
    <mergeCell ref="J802:N802"/>
    <mergeCell ref="J797:N797"/>
    <mergeCell ref="X803:AB803"/>
    <mergeCell ref="Z821:AE821"/>
    <mergeCell ref="C806:AN807"/>
    <mergeCell ref="O803:S803"/>
    <mergeCell ref="Y809:AC809"/>
    <mergeCell ref="Y808:AC808"/>
    <mergeCell ref="B761:F761"/>
    <mergeCell ref="O760:S760"/>
    <mergeCell ref="AH734:AJ734"/>
    <mergeCell ref="O726:S726"/>
    <mergeCell ref="O731:S731"/>
    <mergeCell ref="X731:AB731"/>
    <mergeCell ref="B742:F742"/>
    <mergeCell ref="B736:F736"/>
    <mergeCell ref="K745:N745"/>
    <mergeCell ref="X745:AB745"/>
    <mergeCell ref="AH735:AJ735"/>
    <mergeCell ref="X733:AB733"/>
    <mergeCell ref="X729:AB729"/>
    <mergeCell ref="X735:AB735"/>
    <mergeCell ref="K728:N728"/>
    <mergeCell ref="AC727:AG727"/>
    <mergeCell ref="G726:J726"/>
    <mergeCell ref="AH736:AJ736"/>
    <mergeCell ref="B741:F741"/>
    <mergeCell ref="G732:J732"/>
    <mergeCell ref="T737:W737"/>
    <mergeCell ref="AH757:AJ757"/>
    <mergeCell ref="AH747:AJ747"/>
    <mergeCell ref="AH748:AJ748"/>
    <mergeCell ref="O738:S738"/>
    <mergeCell ref="T731:W731"/>
    <mergeCell ref="K729:N729"/>
    <mergeCell ref="O744:S744"/>
    <mergeCell ref="X749:AB749"/>
    <mergeCell ref="O755:S755"/>
    <mergeCell ref="T755:W755"/>
    <mergeCell ref="AC756:AG756"/>
    <mergeCell ref="AC804:AG804"/>
    <mergeCell ref="AC796:AG796"/>
    <mergeCell ref="O791:S794"/>
    <mergeCell ref="AK754:AO754"/>
    <mergeCell ref="O743:S743"/>
    <mergeCell ref="O801:S801"/>
    <mergeCell ref="J798:N798"/>
    <mergeCell ref="O764:R764"/>
    <mergeCell ref="X781:AB781"/>
    <mergeCell ref="O797:S797"/>
    <mergeCell ref="J783:N783"/>
    <mergeCell ref="AC784:AG784"/>
    <mergeCell ref="AC800:AG800"/>
    <mergeCell ref="O795:S795"/>
    <mergeCell ref="AC785:AG785"/>
    <mergeCell ref="T800:W800"/>
    <mergeCell ref="O785:S785"/>
    <mergeCell ref="X796:AB796"/>
    <mergeCell ref="X760:AB760"/>
    <mergeCell ref="AH759:AJ759"/>
    <mergeCell ref="X777:AB780"/>
    <mergeCell ref="T777:W780"/>
    <mergeCell ref="AC801:AG801"/>
    <mergeCell ref="X783:AB783"/>
    <mergeCell ref="X784:AB784"/>
    <mergeCell ref="AC799:AG799"/>
    <mergeCell ref="T799:W799"/>
    <mergeCell ref="AH755:AJ755"/>
    <mergeCell ref="AH756:AJ756"/>
    <mergeCell ref="J787:K787"/>
    <mergeCell ref="O753:S753"/>
    <mergeCell ref="N615:O615"/>
    <mergeCell ref="G601:R601"/>
    <mergeCell ref="G613:L613"/>
    <mergeCell ref="H614:R614"/>
    <mergeCell ref="AI605:AK605"/>
    <mergeCell ref="G618:R618"/>
    <mergeCell ref="A625:AT626"/>
    <mergeCell ref="B632:L634"/>
    <mergeCell ref="G621:L621"/>
    <mergeCell ref="AA614:AK614"/>
    <mergeCell ref="U834:X834"/>
    <mergeCell ref="X802:AB802"/>
    <mergeCell ref="O722:S725"/>
    <mergeCell ref="AC797:AG797"/>
    <mergeCell ref="AC798:AG798"/>
    <mergeCell ref="Z826:AE826"/>
    <mergeCell ref="T803:W803"/>
    <mergeCell ref="T784:W784"/>
    <mergeCell ref="T782:W782"/>
    <mergeCell ref="G669:R669"/>
    <mergeCell ref="B728:F728"/>
    <mergeCell ref="B730:F730"/>
    <mergeCell ref="AG681:AH681"/>
    <mergeCell ref="B733:F733"/>
    <mergeCell ref="B732:F732"/>
    <mergeCell ref="B735:F735"/>
    <mergeCell ref="H688:R688"/>
    <mergeCell ref="G760:J760"/>
    <mergeCell ref="AF638:AJ638"/>
    <mergeCell ref="G693:R693"/>
    <mergeCell ref="M643:P643"/>
    <mergeCell ref="G654:R654"/>
    <mergeCell ref="AF582:AK582"/>
    <mergeCell ref="Z593:AK593"/>
    <mergeCell ref="G587:R587"/>
    <mergeCell ref="G602:R602"/>
    <mergeCell ref="Z602:AK602"/>
    <mergeCell ref="P613:R613"/>
    <mergeCell ref="Z611:AK611"/>
    <mergeCell ref="AG599:AH599"/>
    <mergeCell ref="G580:L580"/>
    <mergeCell ref="Z589:AE589"/>
    <mergeCell ref="Z594:AK594"/>
    <mergeCell ref="P605:R605"/>
    <mergeCell ref="G605:L605"/>
    <mergeCell ref="G610:R610"/>
    <mergeCell ref="AH513:AK513"/>
    <mergeCell ref="AC529:AF529"/>
    <mergeCell ref="AH535:AK535"/>
    <mergeCell ref="AC525:AF525"/>
    <mergeCell ref="AC539:AF539"/>
    <mergeCell ref="AC547:AF547"/>
    <mergeCell ref="L516:AB516"/>
    <mergeCell ref="O528:AA528"/>
    <mergeCell ref="AE563:AH563"/>
    <mergeCell ref="AH526:AK526"/>
    <mergeCell ref="AH522:AK522"/>
    <mergeCell ref="Q563:S563"/>
    <mergeCell ref="AH547:AK547"/>
    <mergeCell ref="AH549:AK549"/>
    <mergeCell ref="AC543:AF543"/>
    <mergeCell ref="AI562:AL562"/>
    <mergeCell ref="H606:R606"/>
    <mergeCell ref="AA345:AK345"/>
    <mergeCell ref="H342:R342"/>
    <mergeCell ref="Q501:AK501"/>
    <mergeCell ref="AC510:AF510"/>
    <mergeCell ref="B522:H524"/>
    <mergeCell ref="B525:H527"/>
    <mergeCell ref="D415:AJ416"/>
    <mergeCell ref="D454:AF454"/>
    <mergeCell ref="D460:AJ461"/>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D477:V477"/>
    <mergeCell ref="Q403:U403"/>
    <mergeCell ref="AD421:AE421"/>
    <mergeCell ref="H423:AE424"/>
    <mergeCell ref="AE434:AF434"/>
    <mergeCell ref="T564:V564"/>
    <mergeCell ref="AC528:AF528"/>
    <mergeCell ref="AC535:AF535"/>
    <mergeCell ref="W559:Y561"/>
    <mergeCell ref="AH529:AK529"/>
    <mergeCell ref="AC538:AF538"/>
    <mergeCell ref="Z563:AD563"/>
    <mergeCell ref="O543:AA543"/>
    <mergeCell ref="AH531:AK531"/>
    <mergeCell ref="AE562:AH562"/>
    <mergeCell ref="I430:K430"/>
    <mergeCell ref="AH532:AK532"/>
    <mergeCell ref="AH533:AK533"/>
    <mergeCell ref="P427:R427"/>
    <mergeCell ref="Q500:AK500"/>
    <mergeCell ref="AF427:AH427"/>
    <mergeCell ref="AC536:AF536"/>
    <mergeCell ref="C562:L562"/>
    <mergeCell ref="D455:AF455"/>
    <mergeCell ref="D456:AF456"/>
    <mergeCell ref="W474:Y474"/>
    <mergeCell ref="AG455:AJ455"/>
    <mergeCell ref="W475:Y475"/>
    <mergeCell ref="W478:Y478"/>
    <mergeCell ref="D479:V479"/>
    <mergeCell ref="O540:AA540"/>
    <mergeCell ref="P433:Q433"/>
    <mergeCell ref="AC512:AF512"/>
    <mergeCell ref="D478:V478"/>
    <mergeCell ref="D447:AF447"/>
    <mergeCell ref="H323:R323"/>
    <mergeCell ref="H325:M325"/>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P348:R348"/>
    <mergeCell ref="AA350:AK350"/>
    <mergeCell ref="E377:AH378"/>
    <mergeCell ref="Q374:AG374"/>
    <mergeCell ref="W481:Y481"/>
    <mergeCell ref="H349:M349"/>
    <mergeCell ref="S411:U411"/>
    <mergeCell ref="AA348:AF348"/>
    <mergeCell ref="S497:AK498"/>
    <mergeCell ref="M272:R272"/>
    <mergeCell ref="M274:T274"/>
    <mergeCell ref="AA323:AK323"/>
    <mergeCell ref="AA322:AK322"/>
    <mergeCell ref="AA325:AF325"/>
    <mergeCell ref="AA306:AK306"/>
    <mergeCell ref="H297:R297"/>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M263:AE263"/>
    <mergeCell ref="AA299:AK299"/>
    <mergeCell ref="AH271:AK271"/>
    <mergeCell ref="T276:X276"/>
    <mergeCell ref="D481:V481"/>
    <mergeCell ref="AA328:AK328"/>
    <mergeCell ref="AA300:AF300"/>
    <mergeCell ref="AI300:AK300"/>
    <mergeCell ref="AA332:AF332"/>
    <mergeCell ref="H305:R305"/>
    <mergeCell ref="H332:M332"/>
    <mergeCell ref="AA339:AK339"/>
    <mergeCell ref="H333:M333"/>
    <mergeCell ref="AA334:AK334"/>
    <mergeCell ref="H324:M324"/>
    <mergeCell ref="H330:R330"/>
    <mergeCell ref="H331:R331"/>
    <mergeCell ref="L285:S285"/>
    <mergeCell ref="L287:Q287"/>
    <mergeCell ref="AA298:AK298"/>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07:AK307"/>
    <mergeCell ref="AA301:AF301"/>
    <mergeCell ref="H322:R322"/>
    <mergeCell ref="H328:R328"/>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AG404:AJ404"/>
    <mergeCell ref="AI401:AJ401"/>
    <mergeCell ref="AG403:AJ403"/>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AC379:AF379"/>
    <mergeCell ref="C566:L566"/>
    <mergeCell ref="AC515:AF515"/>
    <mergeCell ref="AE411:AJ411"/>
    <mergeCell ref="AC394:AJ39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AC541:AF541"/>
    <mergeCell ref="K412:AJ412"/>
    <mergeCell ref="P355:AE355"/>
    <mergeCell ref="E429:AJ429"/>
    <mergeCell ref="V386:W386"/>
    <mergeCell ref="S386:T386"/>
    <mergeCell ref="D446:AF446"/>
    <mergeCell ref="D451:AF451"/>
    <mergeCell ref="AF439:AG439"/>
    <mergeCell ref="AG446:AJ446"/>
    <mergeCell ref="J397:U397"/>
    <mergeCell ref="AG458:AJ458"/>
    <mergeCell ref="AD386:AE386"/>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C643:L643"/>
    <mergeCell ref="X726:AB726"/>
    <mergeCell ref="G730:J730"/>
    <mergeCell ref="G691:R691"/>
    <mergeCell ref="G694:R694"/>
    <mergeCell ref="Z676:AK676"/>
    <mergeCell ref="CG740:CH740"/>
    <mergeCell ref="T727:W727"/>
    <mergeCell ref="O732:S732"/>
    <mergeCell ref="T733:W733"/>
    <mergeCell ref="AM565:AS565"/>
    <mergeCell ref="W638:Y638"/>
    <mergeCell ref="AH753:AJ753"/>
    <mergeCell ref="AH754:AJ754"/>
    <mergeCell ref="Z667:AK667"/>
    <mergeCell ref="CG742:CH742"/>
    <mergeCell ref="CG745:CH745"/>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AK642:AN642"/>
    <mergeCell ref="AK643:AN643"/>
    <mergeCell ref="N591:O591"/>
    <mergeCell ref="AI568:AL568"/>
    <mergeCell ref="AI566:AL566"/>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G753:CH753"/>
    <mergeCell ref="CI753:CJ753"/>
    <mergeCell ref="CK752:CL752"/>
    <mergeCell ref="X737:AB737"/>
    <mergeCell ref="CP738:CT738"/>
    <mergeCell ref="CU739:CY739"/>
    <mergeCell ref="CP745:CT745"/>
    <mergeCell ref="CI743:CJ743"/>
    <mergeCell ref="CG738:CH738"/>
    <mergeCell ref="CG736:CH736"/>
    <mergeCell ref="AC759:AG759"/>
    <mergeCell ref="CP732:CT732"/>
    <mergeCell ref="CP735:CT735"/>
    <mergeCell ref="CI735:CJ735"/>
    <mergeCell ref="M503:P503"/>
    <mergeCell ref="AC509:AF509"/>
    <mergeCell ref="AG447:AJ447"/>
    <mergeCell ref="B509:H510"/>
    <mergeCell ref="O531:AA531"/>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M566:P566"/>
    <mergeCell ref="G579:R579"/>
    <mergeCell ref="Q567:S567"/>
    <mergeCell ref="C635:L635"/>
    <mergeCell ref="P589:R589"/>
    <mergeCell ref="N599:O599"/>
    <mergeCell ref="Q568:S568"/>
    <mergeCell ref="Q573:S573"/>
    <mergeCell ref="Q569:S569"/>
    <mergeCell ref="AM568:AS568"/>
    <mergeCell ref="D458:AF458"/>
    <mergeCell ref="Q562:S562"/>
    <mergeCell ref="AH537:AK537"/>
    <mergeCell ref="AH542:AK542"/>
    <mergeCell ref="AC518:AF518"/>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Q559:S561"/>
    <mergeCell ref="T559:V561"/>
    <mergeCell ref="M563:P563"/>
    <mergeCell ref="Q565:S565"/>
    <mergeCell ref="Z565:AD565"/>
    <mergeCell ref="C563:L563"/>
    <mergeCell ref="C564:L564"/>
    <mergeCell ref="M564:P564"/>
    <mergeCell ref="C567:L567"/>
    <mergeCell ref="B559:L561"/>
    <mergeCell ref="Z567:AD567"/>
    <mergeCell ref="Z570:AD570"/>
    <mergeCell ref="W569:Y569"/>
    <mergeCell ref="W570:Y570"/>
    <mergeCell ref="T567:V567"/>
    <mergeCell ref="Z577:AK577"/>
    <mergeCell ref="AH523:AK523"/>
    <mergeCell ref="W572:Y572"/>
    <mergeCell ref="W573:Y57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C522:AF522"/>
    <mergeCell ref="AH546:AK546"/>
    <mergeCell ref="Q502:AK502"/>
    <mergeCell ref="AC464:AF464"/>
    <mergeCell ref="D474:V474"/>
    <mergeCell ref="Q499:AK499"/>
    <mergeCell ref="AH503:AK503"/>
    <mergeCell ref="D473:V473"/>
    <mergeCell ref="AC517:AF517"/>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G729:J729"/>
    <mergeCell ref="Z559:AD561"/>
    <mergeCell ref="AH521:AK521"/>
    <mergeCell ref="DJ750:DN750"/>
    <mergeCell ref="DE751:DI751"/>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EZ752:FD752"/>
    <mergeCell ref="DU751:DY751"/>
    <mergeCell ref="DZ751:ED751"/>
    <mergeCell ref="EE751:EI751"/>
    <mergeCell ref="EJ751:EN751"/>
    <mergeCell ref="EO751:ES751"/>
    <mergeCell ref="CP749:CT749"/>
    <mergeCell ref="DE752:DI752"/>
    <mergeCell ref="EO757:ES757"/>
    <mergeCell ref="ET751:EX751"/>
    <mergeCell ref="DU752:DY752"/>
    <mergeCell ref="DZ752:ED752"/>
    <mergeCell ref="EE752:EI752"/>
    <mergeCell ref="EJ752:EN752"/>
    <mergeCell ref="EO752:ES752"/>
    <mergeCell ref="ET752:EX752"/>
    <mergeCell ref="EW644:FA644"/>
    <mergeCell ref="ER645:EV645"/>
    <mergeCell ref="ET757:EX757"/>
    <mergeCell ref="DU758:DY758"/>
    <mergeCell ref="DZ758:ED758"/>
    <mergeCell ref="EE758:EI758"/>
    <mergeCell ref="EJ758:EN758"/>
    <mergeCell ref="EO758:ES758"/>
    <mergeCell ref="ET758:EX758"/>
    <mergeCell ref="EZ757:FD757"/>
    <mergeCell ref="EZ754:FD754"/>
    <mergeCell ref="ET753:EX753"/>
    <mergeCell ref="DU754:DY754"/>
    <mergeCell ref="DZ754:ED754"/>
    <mergeCell ref="EE754:EI754"/>
    <mergeCell ref="EJ754:EN754"/>
    <mergeCell ref="EO754:ES754"/>
    <mergeCell ref="ET754:EX754"/>
    <mergeCell ref="DU755:DY755"/>
    <mergeCell ref="DZ755:ED755"/>
    <mergeCell ref="EZ756:FD756"/>
    <mergeCell ref="EE750:EI750"/>
    <mergeCell ref="EJ750:EN750"/>
    <mergeCell ref="EO750:ES750"/>
    <mergeCell ref="DZ742:ED742"/>
    <mergeCell ref="FY754:GC754"/>
    <mergeCell ref="EZ755:FD755"/>
    <mergeCell ref="FE755:FI755"/>
    <mergeCell ref="FJ755:FN755"/>
    <mergeCell ref="FO755:FS755"/>
    <mergeCell ref="FT755:FX755"/>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FY757:GC757"/>
    <mergeCell ref="FE754:FI754"/>
    <mergeCell ref="FJ754:FN754"/>
    <mergeCell ref="FO754:FS754"/>
    <mergeCell ref="DU749:DY749"/>
    <mergeCell ref="DZ749:ED749"/>
    <mergeCell ref="CP742:CT742"/>
    <mergeCell ref="DO755:DS755"/>
    <mergeCell ref="DU753:DY753"/>
    <mergeCell ref="DZ753:ED753"/>
    <mergeCell ref="CU748:CY748"/>
    <mergeCell ref="CI747:CJ74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J755:DN75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9:CY759"/>
    <mergeCell ref="CU784:CY784"/>
    <mergeCell ref="CP758:CT758"/>
    <mergeCell ref="CU758:CY758"/>
    <mergeCell ref="CP747:CT747"/>
    <mergeCell ref="AC758:AG758"/>
    <mergeCell ref="T756:W756"/>
    <mergeCell ref="X755:AB755"/>
    <mergeCell ref="AH760:AJ760"/>
    <mergeCell ref="X754:AB754"/>
    <mergeCell ref="CK754:CL754"/>
    <mergeCell ref="X758:AB758"/>
    <mergeCell ref="T795:W795"/>
    <mergeCell ref="CM752:CN752"/>
    <mergeCell ref="CG746:CH746"/>
    <mergeCell ref="CK747:CL747"/>
    <mergeCell ref="CI750:CJ750"/>
    <mergeCell ref="CK750:CL750"/>
    <mergeCell ref="K760:N760"/>
    <mergeCell ref="T750:W750"/>
    <mergeCell ref="DE795:DI795"/>
    <mergeCell ref="CM746:CN746"/>
    <mergeCell ref="CM747:CN747"/>
    <mergeCell ref="CK746:CL746"/>
    <mergeCell ref="AG764:AJ764"/>
    <mergeCell ref="O750:S750"/>
    <mergeCell ref="DE761:DI761"/>
    <mergeCell ref="DE759:DI759"/>
    <mergeCell ref="CZ783:DD783"/>
    <mergeCell ref="CZ784:DD784"/>
    <mergeCell ref="T749:W749"/>
    <mergeCell ref="CZ760:DD760"/>
    <mergeCell ref="CZ798:DD798"/>
    <mergeCell ref="CZ799:DD799"/>
    <mergeCell ref="CZ800:DD800"/>
    <mergeCell ref="CZ801:DD801"/>
    <mergeCell ref="CU756:CY756"/>
    <mergeCell ref="DE749:DI749"/>
    <mergeCell ref="CK741:CL741"/>
    <mergeCell ref="CU752:CY752"/>
    <mergeCell ref="DE801:DI801"/>
    <mergeCell ref="DE802:DI802"/>
    <mergeCell ref="AK751:AO751"/>
    <mergeCell ref="AK752:AO752"/>
    <mergeCell ref="X751:AB751"/>
    <mergeCell ref="X752:AB752"/>
    <mergeCell ref="AH751:AJ751"/>
    <mergeCell ref="AH752:AJ752"/>
    <mergeCell ref="G739:J739"/>
    <mergeCell ref="X746:AB746"/>
    <mergeCell ref="T796:W796"/>
    <mergeCell ref="T797:W797"/>
    <mergeCell ref="DE742:DI742"/>
    <mergeCell ref="CZ742:DD742"/>
    <mergeCell ref="X753:AB753"/>
    <mergeCell ref="O748:S748"/>
    <mergeCell ref="K749:N749"/>
    <mergeCell ref="K753:N753"/>
    <mergeCell ref="CP797:CT797"/>
    <mergeCell ref="CP795:CT795"/>
    <mergeCell ref="J795:N795"/>
    <mergeCell ref="CP759:CT759"/>
    <mergeCell ref="CM759:CN759"/>
    <mergeCell ref="AK756:AO756"/>
    <mergeCell ref="DE797:DI797"/>
    <mergeCell ref="DJ802:DN802"/>
    <mergeCell ref="DJ803:DN803"/>
    <mergeCell ref="DJ804:DN804"/>
    <mergeCell ref="CM754:CN754"/>
    <mergeCell ref="CG747:CH747"/>
    <mergeCell ref="CG748:CH748"/>
    <mergeCell ref="CK745:CL745"/>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DZ798:ED798"/>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CZ802:DD802"/>
    <mergeCell ref="CZ803:DD803"/>
    <mergeCell ref="CZ804:DD804"/>
    <mergeCell ref="CZ805:DD805"/>
    <mergeCell ref="DU803:DY803"/>
    <mergeCell ref="DU804:DY804"/>
    <mergeCell ref="DJ801:DN801"/>
    <mergeCell ref="EO796:ES796"/>
    <mergeCell ref="EO797:ES797"/>
    <mergeCell ref="EO798:ES798"/>
    <mergeCell ref="EO799:ES799"/>
    <mergeCell ref="EO800:ES800"/>
    <mergeCell ref="EO801:ES801"/>
    <mergeCell ref="AJ365:AK365"/>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DJ805:DN805"/>
    <mergeCell ref="DO795:DS795"/>
    <mergeCell ref="DO796:DS796"/>
    <mergeCell ref="DO797:DS797"/>
    <mergeCell ref="EO802:ES802"/>
    <mergeCell ref="EO803:ES803"/>
    <mergeCell ref="DO800:DS800"/>
    <mergeCell ref="EO805:ES805"/>
    <mergeCell ref="DZ795:ED795"/>
    <mergeCell ref="DZ796:ED796"/>
    <mergeCell ref="DZ797:ED797"/>
    <mergeCell ref="H329:R329"/>
    <mergeCell ref="DU799:DY799"/>
    <mergeCell ref="DU800:DY800"/>
    <mergeCell ref="DU801:DY801"/>
    <mergeCell ref="DU802:DY802"/>
    <mergeCell ref="DZ805:ED805"/>
    <mergeCell ref="DE803:DI803"/>
    <mergeCell ref="DE804:DI804"/>
    <mergeCell ref="DE805:DI805"/>
    <mergeCell ref="DJ795:DN795"/>
    <mergeCell ref="DJ796:DN796"/>
    <mergeCell ref="DJ797:DN797"/>
    <mergeCell ref="DJ798:DN798"/>
    <mergeCell ref="DJ799:DN799"/>
    <mergeCell ref="DJ800:DN800"/>
    <mergeCell ref="EE795:EI795"/>
    <mergeCell ref="EE796:EI796"/>
    <mergeCell ref="EE797:EI797"/>
    <mergeCell ref="EE798:EI798"/>
    <mergeCell ref="EE799:EI799"/>
    <mergeCell ref="EE800:EI800"/>
    <mergeCell ref="EE801:EI801"/>
    <mergeCell ref="EE802:EI802"/>
    <mergeCell ref="EE803:EI803"/>
    <mergeCell ref="EE804:EI804"/>
    <mergeCell ref="EE805:EI805"/>
    <mergeCell ref="DZ799:ED799"/>
    <mergeCell ref="DZ800:ED800"/>
    <mergeCell ref="DZ801:ED801"/>
    <mergeCell ref="DZ802:ED802"/>
    <mergeCell ref="DZ803:ED803"/>
    <mergeCell ref="DZ804:ED80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D89" sqref="D89"/>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76" t="s">
        <v>620</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373</v>
      </c>
      <c r="D2" s="138" t="s">
        <v>372</v>
      </c>
      <c r="E2" s="138" t="s">
        <v>24</v>
      </c>
      <c r="F2" s="139" t="str">
        <f>Application!B635&amp;Application!C635</f>
        <v>1)JPMorgan Chase Bank</v>
      </c>
      <c r="G2" s="139" t="str">
        <f>Application!B636&amp;Application!C636</f>
        <v>2)Platinum Valley B 2013 RSC Limited</v>
      </c>
      <c r="H2" s="139" t="str">
        <f>Application!B637&amp;Application!C637</f>
        <v>3)Cmrcl Purchase - Platinum Valley B 2013 RSC Limited</v>
      </c>
      <c r="I2" s="139" t="str">
        <f>Application!B638&amp;Application!C638</f>
        <v>4)GP Equity (Eden Housing)</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v>
      </c>
      <c r="C4" s="147">
        <f>'[1]4%'!$G$34</f>
        <v>2</v>
      </c>
      <c r="D4" s="147"/>
      <c r="E4" s="147">
        <f>B4-SUM(F4:Q4)</f>
        <v>2</v>
      </c>
      <c r="F4" s="147"/>
      <c r="G4" s="147"/>
      <c r="H4" s="147">
        <f>D4</f>
        <v>0</v>
      </c>
      <c r="I4" s="147"/>
      <c r="J4" s="147"/>
      <c r="K4" s="147"/>
      <c r="L4" s="147"/>
      <c r="M4" s="147"/>
      <c r="N4" s="147"/>
      <c r="O4" s="147"/>
      <c r="P4" s="147"/>
      <c r="Q4" s="147"/>
      <c r="R4" s="516">
        <f>SUM(E4:Q4)</f>
        <v>2</v>
      </c>
      <c r="S4" s="148"/>
      <c r="T4" s="148"/>
      <c r="U4" s="143"/>
    </row>
    <row r="5" spans="1:21" s="144" customFormat="1">
      <c r="A5" s="145" t="s">
        <v>28</v>
      </c>
      <c r="B5" s="146">
        <f>SUM(C5+D5)</f>
        <v>0</v>
      </c>
      <c r="C5" s="147"/>
      <c r="D5" s="147"/>
      <c r="E5" s="147">
        <f t="shared" ref="E5:E7" si="0">B5-SUM(F5:Q5)</f>
        <v>0</v>
      </c>
      <c r="F5" s="147"/>
      <c r="G5" s="147"/>
      <c r="H5" s="147">
        <f t="shared" ref="H5:H7" si="1">D5</f>
        <v>0</v>
      </c>
      <c r="I5" s="147"/>
      <c r="J5" s="147"/>
      <c r="K5" s="147"/>
      <c r="L5" s="147"/>
      <c r="M5" s="147"/>
      <c r="N5" s="147"/>
      <c r="O5" s="147"/>
      <c r="P5" s="147"/>
      <c r="Q5" s="147"/>
      <c r="R5" s="516">
        <f>SUM(E5:Q5)</f>
        <v>0</v>
      </c>
      <c r="S5" s="148"/>
      <c r="T5" s="148"/>
      <c r="U5" s="143"/>
    </row>
    <row r="6" spans="1:21" s="144" customFormat="1">
      <c r="A6" s="145" t="s">
        <v>29</v>
      </c>
      <c r="B6" s="146">
        <f>SUM(C6+D6)</f>
        <v>50000</v>
      </c>
      <c r="C6" s="147">
        <f>'[1]4%'!$G$39</f>
        <v>50000</v>
      </c>
      <c r="D6" s="147"/>
      <c r="E6" s="147">
        <f t="shared" si="0"/>
        <v>50000</v>
      </c>
      <c r="F6" s="147"/>
      <c r="G6" s="147"/>
      <c r="H6" s="147">
        <f t="shared" si="1"/>
        <v>0</v>
      </c>
      <c r="I6" s="147"/>
      <c r="J6" s="147"/>
      <c r="K6" s="147"/>
      <c r="L6" s="147"/>
      <c r="M6" s="147"/>
      <c r="N6" s="147"/>
      <c r="O6" s="147"/>
      <c r="P6" s="147"/>
      <c r="Q6" s="147"/>
      <c r="R6" s="516">
        <f>SUM(E6:Q6)</f>
        <v>50000</v>
      </c>
      <c r="S6" s="148"/>
      <c r="T6" s="148"/>
      <c r="U6" s="143"/>
    </row>
    <row r="7" spans="1:21" s="144" customFormat="1">
      <c r="A7" s="145" t="s">
        <v>97</v>
      </c>
      <c r="B7" s="146">
        <f>SUM(C7+D7)</f>
        <v>0</v>
      </c>
      <c r="C7" s="147"/>
      <c r="D7" s="147"/>
      <c r="E7" s="147">
        <f t="shared" si="0"/>
        <v>0</v>
      </c>
      <c r="F7" s="147"/>
      <c r="G7" s="147"/>
      <c r="H7" s="147">
        <f t="shared" si="1"/>
        <v>0</v>
      </c>
      <c r="I7" s="147"/>
      <c r="J7" s="147"/>
      <c r="K7" s="147"/>
      <c r="L7" s="147"/>
      <c r="M7" s="147"/>
      <c r="N7" s="147"/>
      <c r="O7" s="147"/>
      <c r="P7" s="147"/>
      <c r="Q7" s="147"/>
      <c r="R7" s="516">
        <f>SUM(E7:Q7)</f>
        <v>0</v>
      </c>
      <c r="S7" s="148"/>
      <c r="T7" s="148"/>
      <c r="U7" s="143"/>
    </row>
    <row r="8" spans="1:21" s="144" customFormat="1" ht="12">
      <c r="A8" s="149" t="s">
        <v>592</v>
      </c>
      <c r="B8" s="146">
        <f>SUM(C8:D8)</f>
        <v>50002</v>
      </c>
      <c r="C8" s="146">
        <f t="shared" ref="C8:Q8" si="2">SUM(C4:C7)</f>
        <v>50002</v>
      </c>
      <c r="D8" s="146">
        <f t="shared" si="2"/>
        <v>0</v>
      </c>
      <c r="E8" s="146">
        <f t="shared" si="2"/>
        <v>50002</v>
      </c>
      <c r="F8" s="146">
        <f t="shared" si="2"/>
        <v>0</v>
      </c>
      <c r="G8" s="146">
        <f t="shared" si="2"/>
        <v>0</v>
      </c>
      <c r="H8" s="146">
        <f t="shared" si="2"/>
        <v>0</v>
      </c>
      <c r="I8" s="146">
        <f t="shared" si="2"/>
        <v>0</v>
      </c>
      <c r="J8" s="146">
        <f t="shared" si="2"/>
        <v>0</v>
      </c>
      <c r="K8" s="146">
        <f t="shared" si="2"/>
        <v>0</v>
      </c>
      <c r="L8" s="146">
        <f t="shared" si="2"/>
        <v>0</v>
      </c>
      <c r="M8" s="146">
        <f t="shared" si="2"/>
        <v>0</v>
      </c>
      <c r="N8" s="146">
        <f t="shared" si="2"/>
        <v>0</v>
      </c>
      <c r="O8" s="146">
        <f t="shared" si="2"/>
        <v>0</v>
      </c>
      <c r="P8" s="146"/>
      <c r="Q8" s="146">
        <f t="shared" si="2"/>
        <v>0</v>
      </c>
      <c r="R8" s="342">
        <f>SUM(R4:R7)</f>
        <v>50002</v>
      </c>
      <c r="S8" s="148"/>
      <c r="T8" s="148"/>
      <c r="U8" s="143"/>
    </row>
    <row r="9" spans="1:21" s="144" customFormat="1">
      <c r="A9" s="145" t="s">
        <v>593</v>
      </c>
      <c r="B9" s="146">
        <f>SUM(C9+D9)</f>
        <v>0</v>
      </c>
      <c r="C9" s="147"/>
      <c r="D9" s="147"/>
      <c r="E9" s="147">
        <f t="shared" ref="E9:E10" si="3">B9-SUM(F9:Q9)</f>
        <v>0</v>
      </c>
      <c r="F9" s="147"/>
      <c r="G9" s="147"/>
      <c r="H9" s="147">
        <f>D9</f>
        <v>0</v>
      </c>
      <c r="I9" s="147"/>
      <c r="J9" s="147"/>
      <c r="K9" s="147"/>
      <c r="L9" s="147"/>
      <c r="M9" s="147"/>
      <c r="N9" s="147"/>
      <c r="O9" s="147"/>
      <c r="P9" s="147"/>
      <c r="Q9" s="147"/>
      <c r="R9" s="516">
        <f>SUM(E9:Q9)</f>
        <v>0</v>
      </c>
      <c r="S9" s="148"/>
      <c r="T9" s="147"/>
      <c r="U9" s="143"/>
    </row>
    <row r="10" spans="1:21" s="144" customFormat="1">
      <c r="A10" s="145" t="s">
        <v>594</v>
      </c>
      <c r="B10" s="146">
        <f>SUM(C10+D10)</f>
        <v>12564456</v>
      </c>
      <c r="C10" s="147">
        <f>ROUND('[1]4%'!G41,0)</f>
        <v>11895765</v>
      </c>
      <c r="D10" s="147">
        <f>ROUND('[1]4%'!H41,0)</f>
        <v>668691</v>
      </c>
      <c r="E10" s="147">
        <f t="shared" si="3"/>
        <v>0</v>
      </c>
      <c r="F10" s="147"/>
      <c r="G10" s="147">
        <f>C10</f>
        <v>11895765</v>
      </c>
      <c r="H10" s="147">
        <f>D10</f>
        <v>668691</v>
      </c>
      <c r="I10" s="147"/>
      <c r="J10" s="147"/>
      <c r="K10" s="147"/>
      <c r="L10" s="147"/>
      <c r="M10" s="147"/>
      <c r="N10" s="147"/>
      <c r="O10" s="147"/>
      <c r="P10" s="147"/>
      <c r="Q10" s="147"/>
      <c r="R10" s="516">
        <f>SUM(E10:Q10)</f>
        <v>12564456</v>
      </c>
      <c r="S10" s="147">
        <f>C10</f>
        <v>11895765</v>
      </c>
      <c r="T10" s="147"/>
      <c r="U10" s="143"/>
    </row>
    <row r="11" spans="1:21" s="144" customFormat="1" ht="12">
      <c r="A11" s="149" t="s">
        <v>595</v>
      </c>
      <c r="B11" s="146">
        <f>SUM(C11:D11)</f>
        <v>12564456</v>
      </c>
      <c r="C11" s="146">
        <f t="shared" ref="C11:Q11" si="4">SUM(C9:C10)</f>
        <v>11895765</v>
      </c>
      <c r="D11" s="146">
        <f t="shared" si="4"/>
        <v>668691</v>
      </c>
      <c r="E11" s="146">
        <f t="shared" si="4"/>
        <v>0</v>
      </c>
      <c r="F11" s="146">
        <f t="shared" si="4"/>
        <v>0</v>
      </c>
      <c r="G11" s="146">
        <f t="shared" si="4"/>
        <v>11895765</v>
      </c>
      <c r="H11" s="146">
        <f t="shared" si="4"/>
        <v>668691</v>
      </c>
      <c r="I11" s="146">
        <f t="shared" si="4"/>
        <v>0</v>
      </c>
      <c r="J11" s="146">
        <f t="shared" si="4"/>
        <v>0</v>
      </c>
      <c r="K11" s="146">
        <f t="shared" si="4"/>
        <v>0</v>
      </c>
      <c r="L11" s="146">
        <f t="shared" si="4"/>
        <v>0</v>
      </c>
      <c r="M11" s="146">
        <f t="shared" si="4"/>
        <v>0</v>
      </c>
      <c r="N11" s="146">
        <f t="shared" si="4"/>
        <v>0</v>
      </c>
      <c r="O11" s="146">
        <f t="shared" si="4"/>
        <v>0</v>
      </c>
      <c r="P11" s="146"/>
      <c r="Q11" s="146">
        <f t="shared" si="4"/>
        <v>0</v>
      </c>
      <c r="R11" s="342">
        <f>SUM(R9:R10)</f>
        <v>12564456</v>
      </c>
      <c r="S11" s="148"/>
      <c r="T11" s="150">
        <f>SUM(T9:T10)</f>
        <v>0</v>
      </c>
      <c r="U11" s="143"/>
    </row>
    <row r="12" spans="1:21" s="144" customFormat="1" ht="12">
      <c r="A12" s="149" t="s">
        <v>84</v>
      </c>
      <c r="B12" s="146">
        <f t="shared" ref="B12:Q12" si="5">SUM(B8+B11)</f>
        <v>12614458</v>
      </c>
      <c r="C12" s="146">
        <f t="shared" si="5"/>
        <v>11945767</v>
      </c>
      <c r="D12" s="146">
        <f t="shared" si="5"/>
        <v>668691</v>
      </c>
      <c r="E12" s="146">
        <f t="shared" si="5"/>
        <v>50002</v>
      </c>
      <c r="F12" s="146">
        <f t="shared" si="5"/>
        <v>0</v>
      </c>
      <c r="G12" s="146">
        <f t="shared" si="5"/>
        <v>11895765</v>
      </c>
      <c r="H12" s="146">
        <f t="shared" si="5"/>
        <v>668691</v>
      </c>
      <c r="I12" s="146">
        <f t="shared" si="5"/>
        <v>0</v>
      </c>
      <c r="J12" s="146">
        <f t="shared" si="5"/>
        <v>0</v>
      </c>
      <c r="K12" s="146">
        <f t="shared" si="5"/>
        <v>0</v>
      </c>
      <c r="L12" s="146">
        <f t="shared" si="5"/>
        <v>0</v>
      </c>
      <c r="M12" s="146">
        <f t="shared" si="5"/>
        <v>0</v>
      </c>
      <c r="N12" s="146">
        <f t="shared" si="5"/>
        <v>0</v>
      </c>
      <c r="O12" s="146">
        <f t="shared" si="5"/>
        <v>0</v>
      </c>
      <c r="P12" s="146"/>
      <c r="Q12" s="146">
        <f t="shared" si="5"/>
        <v>0</v>
      </c>
      <c r="R12" s="342">
        <f>SUM(R8+R11)</f>
        <v>12614458</v>
      </c>
      <c r="S12" s="148"/>
      <c r="T12" s="148"/>
      <c r="U12" s="143"/>
    </row>
    <row r="13" spans="1:21" s="144" customFormat="1">
      <c r="A13" s="287" t="s">
        <v>901</v>
      </c>
      <c r="B13" s="146">
        <f>SUM(C13+D13)</f>
        <v>0</v>
      </c>
      <c r="C13" s="147"/>
      <c r="D13" s="147"/>
      <c r="E13" s="147">
        <f t="shared" ref="E13:E15" si="6">B13-SUM(F13:Q13)</f>
        <v>0</v>
      </c>
      <c r="F13" s="147"/>
      <c r="G13" s="147"/>
      <c r="H13" s="147">
        <f>D13</f>
        <v>0</v>
      </c>
      <c r="I13" s="147"/>
      <c r="J13" s="147"/>
      <c r="K13" s="147"/>
      <c r="L13" s="147"/>
      <c r="M13" s="147"/>
      <c r="N13" s="147"/>
      <c r="O13" s="147"/>
      <c r="P13" s="147"/>
      <c r="Q13" s="147"/>
      <c r="R13" s="516">
        <f>SUM(E13:Q13)</f>
        <v>0</v>
      </c>
      <c r="S13" s="147"/>
      <c r="T13" s="147"/>
      <c r="U13" s="143"/>
    </row>
    <row r="14" spans="1:21" s="144" customFormat="1" ht="22.8">
      <c r="A14" s="288" t="s">
        <v>1631</v>
      </c>
      <c r="B14" s="146">
        <f>SUM(C14+D14)</f>
        <v>0</v>
      </c>
      <c r="C14" s="147"/>
      <c r="D14" s="147"/>
      <c r="E14" s="147">
        <f t="shared" si="6"/>
        <v>0</v>
      </c>
      <c r="F14" s="147"/>
      <c r="G14" s="147"/>
      <c r="H14" s="147">
        <f t="shared" ref="H14:H15" si="7">D14</f>
        <v>0</v>
      </c>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6"/>
        <v>0</v>
      </c>
      <c r="F15" s="147"/>
      <c r="G15" s="147"/>
      <c r="H15" s="147">
        <f t="shared" si="7"/>
        <v>0</v>
      </c>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8">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8"/>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8"/>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8"/>
        <v>0</v>
      </c>
      <c r="C20" s="147"/>
      <c r="D20" s="147"/>
      <c r="E20" s="147"/>
      <c r="F20" s="147"/>
      <c r="G20" s="147"/>
      <c r="H20" s="147"/>
      <c r="I20" s="147"/>
      <c r="J20" s="147"/>
      <c r="K20" s="147"/>
      <c r="L20" s="147"/>
      <c r="M20" s="147"/>
      <c r="N20" s="147"/>
      <c r="O20" s="147"/>
      <c r="P20" s="147"/>
      <c r="Q20" s="147"/>
      <c r="R20" s="516">
        <f t="shared" ref="R20:R27" si="9">SUM(E20:Q20)</f>
        <v>0</v>
      </c>
      <c r="S20" s="147"/>
      <c r="T20" s="147"/>
      <c r="U20" s="143"/>
    </row>
    <row r="21" spans="1:21" s="144" customFormat="1">
      <c r="A21" s="145" t="s">
        <v>138</v>
      </c>
      <c r="B21" s="146">
        <f t="shared" si="8"/>
        <v>0</v>
      </c>
      <c r="C21" s="147"/>
      <c r="D21" s="147"/>
      <c r="E21" s="147"/>
      <c r="F21" s="147"/>
      <c r="G21" s="147"/>
      <c r="H21" s="147"/>
      <c r="I21" s="147"/>
      <c r="J21" s="147"/>
      <c r="K21" s="147"/>
      <c r="L21" s="147"/>
      <c r="M21" s="147"/>
      <c r="N21" s="147"/>
      <c r="O21" s="147"/>
      <c r="P21" s="147"/>
      <c r="Q21" s="147"/>
      <c r="R21" s="516">
        <f t="shared" si="9"/>
        <v>0</v>
      </c>
      <c r="S21" s="147"/>
      <c r="T21" s="147"/>
      <c r="U21" s="143"/>
    </row>
    <row r="22" spans="1:21" s="144" customFormat="1">
      <c r="A22" s="145" t="s">
        <v>139</v>
      </c>
      <c r="B22" s="146">
        <f t="shared" si="8"/>
        <v>0</v>
      </c>
      <c r="C22" s="147"/>
      <c r="D22" s="147"/>
      <c r="E22" s="147"/>
      <c r="F22" s="147"/>
      <c r="G22" s="147"/>
      <c r="H22" s="147"/>
      <c r="I22" s="147"/>
      <c r="J22" s="147"/>
      <c r="K22" s="147"/>
      <c r="L22" s="147"/>
      <c r="M22" s="147"/>
      <c r="N22" s="147"/>
      <c r="O22" s="147"/>
      <c r="P22" s="147"/>
      <c r="Q22" s="147"/>
      <c r="R22" s="516">
        <f t="shared" si="9"/>
        <v>0</v>
      </c>
      <c r="S22" s="147"/>
      <c r="T22" s="147"/>
      <c r="U22" s="143"/>
    </row>
    <row r="23" spans="1:21" s="144" customFormat="1">
      <c r="A23" s="145" t="s">
        <v>140</v>
      </c>
      <c r="B23" s="146">
        <f t="shared" si="8"/>
        <v>0</v>
      </c>
      <c r="C23" s="147"/>
      <c r="D23" s="147"/>
      <c r="E23" s="147"/>
      <c r="F23" s="147"/>
      <c r="G23" s="147"/>
      <c r="H23" s="147"/>
      <c r="I23" s="147"/>
      <c r="J23" s="147"/>
      <c r="K23" s="147"/>
      <c r="L23" s="147"/>
      <c r="M23" s="147"/>
      <c r="N23" s="147"/>
      <c r="O23" s="147"/>
      <c r="P23" s="147"/>
      <c r="Q23" s="147"/>
      <c r="R23" s="516">
        <f t="shared" si="9"/>
        <v>0</v>
      </c>
      <c r="S23" s="147"/>
      <c r="T23" s="147"/>
      <c r="U23" s="143"/>
    </row>
    <row r="24" spans="1:21" s="144" customFormat="1">
      <c r="A24" s="508" t="s">
        <v>1628</v>
      </c>
      <c r="B24" s="146">
        <f t="shared" si="8"/>
        <v>0</v>
      </c>
      <c r="C24" s="147"/>
      <c r="D24" s="147"/>
      <c r="E24" s="147"/>
      <c r="F24" s="147"/>
      <c r="G24" s="147"/>
      <c r="H24" s="147"/>
      <c r="I24" s="147"/>
      <c r="J24" s="147"/>
      <c r="K24" s="147"/>
      <c r="L24" s="147"/>
      <c r="M24" s="147"/>
      <c r="N24" s="147"/>
      <c r="O24" s="147"/>
      <c r="P24" s="147"/>
      <c r="Q24" s="147"/>
      <c r="R24" s="516">
        <f t="shared" si="9"/>
        <v>0</v>
      </c>
      <c r="S24" s="147"/>
      <c r="T24" s="147"/>
      <c r="U24" s="143"/>
    </row>
    <row r="25" spans="1:21" s="144" customFormat="1">
      <c r="A25" s="1143" t="s">
        <v>34</v>
      </c>
      <c r="B25" s="146">
        <f t="shared" si="8"/>
        <v>0</v>
      </c>
      <c r="C25" s="147"/>
      <c r="D25" s="147"/>
      <c r="E25" s="147"/>
      <c r="F25" s="147"/>
      <c r="G25" s="147"/>
      <c r="H25" s="147"/>
      <c r="I25" s="147"/>
      <c r="J25" s="147"/>
      <c r="K25" s="147"/>
      <c r="L25" s="147"/>
      <c r="M25" s="147"/>
      <c r="N25" s="147"/>
      <c r="O25" s="147"/>
      <c r="P25" s="147"/>
      <c r="Q25" s="147"/>
      <c r="R25" s="516">
        <f t="shared" si="9"/>
        <v>0</v>
      </c>
      <c r="S25" s="147"/>
      <c r="T25" s="147"/>
      <c r="U25" s="143"/>
    </row>
    <row r="26" spans="1:21" s="144" customFormat="1" ht="12">
      <c r="A26" s="149" t="s">
        <v>133</v>
      </c>
      <c r="B26" s="146">
        <f t="shared" si="8"/>
        <v>0</v>
      </c>
      <c r="C26" s="146">
        <f>SUM(C17:C25)</f>
        <v>0</v>
      </c>
      <c r="D26" s="146">
        <f t="shared" ref="D26:Q26" si="10">SUM(D17:D25)</f>
        <v>0</v>
      </c>
      <c r="E26" s="146">
        <f t="shared" si="10"/>
        <v>0</v>
      </c>
      <c r="F26" s="146">
        <f t="shared" si="10"/>
        <v>0</v>
      </c>
      <c r="G26" s="146">
        <f t="shared" si="10"/>
        <v>0</v>
      </c>
      <c r="H26" s="146">
        <f t="shared" si="10"/>
        <v>0</v>
      </c>
      <c r="I26" s="146">
        <f t="shared" si="10"/>
        <v>0</v>
      </c>
      <c r="J26" s="146">
        <f t="shared" si="10"/>
        <v>0</v>
      </c>
      <c r="K26" s="146">
        <f t="shared" si="10"/>
        <v>0</v>
      </c>
      <c r="L26" s="146">
        <f t="shared" si="10"/>
        <v>0</v>
      </c>
      <c r="M26" s="146">
        <f t="shared" si="10"/>
        <v>0</v>
      </c>
      <c r="N26" s="146">
        <f t="shared" si="10"/>
        <v>0</v>
      </c>
      <c r="O26" s="146">
        <f t="shared" si="10"/>
        <v>0</v>
      </c>
      <c r="P26" s="146">
        <f t="shared" si="10"/>
        <v>0</v>
      </c>
      <c r="Q26" s="146">
        <f t="shared" si="10"/>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9"/>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11">SUM(C29+D29)</f>
        <v>3950000</v>
      </c>
      <c r="C29" s="147">
        <f>ROUND('[1]4%'!G44,0)</f>
        <v>3739778</v>
      </c>
      <c r="D29" s="147">
        <f>ROUND('[1]4%'!H44,0)</f>
        <v>210222</v>
      </c>
      <c r="E29" s="147">
        <f t="shared" ref="E29:E37" si="12">B29-SUM(F29:Q29)</f>
        <v>3739778</v>
      </c>
      <c r="F29" s="147"/>
      <c r="G29" s="147"/>
      <c r="H29" s="147">
        <f t="shared" ref="H29:H37" si="13">D29</f>
        <v>210222</v>
      </c>
      <c r="I29" s="147"/>
      <c r="J29" s="147"/>
      <c r="K29" s="147"/>
      <c r="L29" s="147"/>
      <c r="M29" s="147"/>
      <c r="N29" s="147"/>
      <c r="O29" s="147"/>
      <c r="P29" s="147"/>
      <c r="Q29" s="147"/>
      <c r="R29" s="516">
        <f t="shared" ref="R29:R37" si="14">SUM(E29:Q29)</f>
        <v>3950000</v>
      </c>
      <c r="S29" s="147">
        <f>C29</f>
        <v>3739778</v>
      </c>
      <c r="T29" s="147"/>
      <c r="U29" s="143"/>
    </row>
    <row r="30" spans="1:21" s="144" customFormat="1">
      <c r="A30" s="145" t="s">
        <v>598</v>
      </c>
      <c r="B30" s="146">
        <f t="shared" si="11"/>
        <v>97819318</v>
      </c>
      <c r="C30" s="147">
        <f>ROUND('[1]4%'!$G$45+'[1]4%'!G48,0)</f>
        <v>92613292</v>
      </c>
      <c r="D30" s="147">
        <f>'[1]4%'!$H$46</f>
        <v>5206026</v>
      </c>
      <c r="E30" s="147">
        <f t="shared" si="12"/>
        <v>7471701</v>
      </c>
      <c r="F30" s="147">
        <f>Application!AO635</f>
        <v>48787800</v>
      </c>
      <c r="G30" s="147">
        <f>ROUND(Application!AO636-G10,0)</f>
        <v>36353791</v>
      </c>
      <c r="H30" s="147">
        <f t="shared" si="13"/>
        <v>5206026</v>
      </c>
      <c r="I30" s="147"/>
      <c r="J30" s="147"/>
      <c r="K30" s="147"/>
      <c r="L30" s="147"/>
      <c r="M30" s="147"/>
      <c r="N30" s="147"/>
      <c r="O30" s="147"/>
      <c r="P30" s="147"/>
      <c r="Q30" s="147"/>
      <c r="R30" s="516">
        <f t="shared" si="14"/>
        <v>97819318</v>
      </c>
      <c r="S30" s="147">
        <f t="shared" ref="S30:S37" si="15">C30</f>
        <v>92613292</v>
      </c>
      <c r="T30" s="147"/>
      <c r="U30" s="143"/>
    </row>
    <row r="31" spans="1:21" s="144" customFormat="1">
      <c r="A31" s="145" t="s">
        <v>599</v>
      </c>
      <c r="B31" s="146">
        <f t="shared" si="11"/>
        <v>5961647</v>
      </c>
      <c r="C31" s="147">
        <f>ROUND('[1]4%'!G49,0)</f>
        <v>5644363</v>
      </c>
      <c r="D31" s="147">
        <f>ROUND('[1]4%'!H49,0)</f>
        <v>317284</v>
      </c>
      <c r="E31" s="147">
        <f t="shared" si="12"/>
        <v>5644363</v>
      </c>
      <c r="F31" s="147"/>
      <c r="G31" s="147"/>
      <c r="H31" s="147">
        <f t="shared" si="13"/>
        <v>317284</v>
      </c>
      <c r="I31" s="147"/>
      <c r="J31" s="147"/>
      <c r="K31" s="147"/>
      <c r="L31" s="147"/>
      <c r="M31" s="147"/>
      <c r="N31" s="147"/>
      <c r="O31" s="147"/>
      <c r="P31" s="147"/>
      <c r="Q31" s="147"/>
      <c r="R31" s="516">
        <f t="shared" si="14"/>
        <v>5961647</v>
      </c>
      <c r="S31" s="147">
        <f t="shared" si="15"/>
        <v>5644363</v>
      </c>
      <c r="T31" s="147"/>
      <c r="U31" s="143"/>
    </row>
    <row r="32" spans="1:21" s="144" customFormat="1">
      <c r="A32" s="145" t="s">
        <v>137</v>
      </c>
      <c r="B32" s="146">
        <f t="shared" si="11"/>
        <v>1706230</v>
      </c>
      <c r="C32" s="147">
        <f>ROUND('[1]4%'!G51/2,0)</f>
        <v>1615423</v>
      </c>
      <c r="D32" s="147">
        <f>ROUND('[1]4%'!H51/2,0)</f>
        <v>90807</v>
      </c>
      <c r="E32" s="147">
        <f t="shared" si="12"/>
        <v>1615423</v>
      </c>
      <c r="F32" s="147"/>
      <c r="G32" s="147"/>
      <c r="H32" s="147">
        <f t="shared" si="13"/>
        <v>90807</v>
      </c>
      <c r="I32" s="147"/>
      <c r="J32" s="147"/>
      <c r="K32" s="147"/>
      <c r="L32" s="147"/>
      <c r="M32" s="147"/>
      <c r="N32" s="147"/>
      <c r="O32" s="147"/>
      <c r="P32" s="147"/>
      <c r="Q32" s="147"/>
      <c r="R32" s="516">
        <f t="shared" si="14"/>
        <v>1706230</v>
      </c>
      <c r="S32" s="147">
        <f t="shared" si="15"/>
        <v>1615423</v>
      </c>
      <c r="T32" s="147"/>
      <c r="U32" s="143"/>
    </row>
    <row r="33" spans="1:21" s="144" customFormat="1">
      <c r="A33" s="145" t="s">
        <v>138</v>
      </c>
      <c r="B33" s="146">
        <f t="shared" si="11"/>
        <v>1706230</v>
      </c>
      <c r="C33" s="147">
        <f>C32</f>
        <v>1615423</v>
      </c>
      <c r="D33" s="147">
        <f>D32</f>
        <v>90807</v>
      </c>
      <c r="E33" s="147">
        <f t="shared" si="12"/>
        <v>1615423</v>
      </c>
      <c r="F33" s="147"/>
      <c r="G33" s="147"/>
      <c r="H33" s="147">
        <f t="shared" si="13"/>
        <v>90807</v>
      </c>
      <c r="I33" s="147"/>
      <c r="J33" s="147"/>
      <c r="K33" s="147"/>
      <c r="L33" s="147"/>
      <c r="M33" s="147"/>
      <c r="N33" s="147"/>
      <c r="O33" s="147"/>
      <c r="P33" s="147"/>
      <c r="Q33" s="147"/>
      <c r="R33" s="516">
        <f t="shared" si="14"/>
        <v>1706230</v>
      </c>
      <c r="S33" s="147">
        <f t="shared" si="15"/>
        <v>1615423</v>
      </c>
      <c r="T33" s="147"/>
      <c r="U33" s="143"/>
    </row>
    <row r="34" spans="1:21" s="144" customFormat="1">
      <c r="A34" s="145" t="s">
        <v>139</v>
      </c>
      <c r="B34" s="146">
        <f t="shared" si="11"/>
        <v>0</v>
      </c>
      <c r="C34" s="147"/>
      <c r="D34" s="147"/>
      <c r="E34" s="147">
        <f t="shared" si="12"/>
        <v>0</v>
      </c>
      <c r="F34" s="147"/>
      <c r="G34" s="147"/>
      <c r="H34" s="147">
        <f t="shared" si="13"/>
        <v>0</v>
      </c>
      <c r="I34" s="147"/>
      <c r="J34" s="147"/>
      <c r="K34" s="147"/>
      <c r="L34" s="147"/>
      <c r="M34" s="147"/>
      <c r="N34" s="147"/>
      <c r="O34" s="147"/>
      <c r="P34" s="147"/>
      <c r="Q34" s="147"/>
      <c r="R34" s="516">
        <f t="shared" si="14"/>
        <v>0</v>
      </c>
      <c r="S34" s="147">
        <f t="shared" si="15"/>
        <v>0</v>
      </c>
      <c r="T34" s="147"/>
      <c r="U34" s="143"/>
    </row>
    <row r="35" spans="1:21" s="144" customFormat="1">
      <c r="A35" s="145" t="s">
        <v>140</v>
      </c>
      <c r="B35" s="146">
        <f t="shared" si="11"/>
        <v>2183464</v>
      </c>
      <c r="C35" s="147">
        <f>ROUND('[1]4%'!G50,0)</f>
        <v>2067258</v>
      </c>
      <c r="D35" s="147">
        <f>ROUND('[1]4%'!H50,0)</f>
        <v>116206</v>
      </c>
      <c r="E35" s="147">
        <f t="shared" si="12"/>
        <v>2067258</v>
      </c>
      <c r="F35" s="147"/>
      <c r="G35" s="147"/>
      <c r="H35" s="147">
        <f t="shared" si="13"/>
        <v>116206</v>
      </c>
      <c r="I35" s="147"/>
      <c r="J35" s="147"/>
      <c r="K35" s="147"/>
      <c r="L35" s="147"/>
      <c r="M35" s="147"/>
      <c r="N35" s="147"/>
      <c r="O35" s="147"/>
      <c r="P35" s="147"/>
      <c r="Q35" s="147"/>
      <c r="R35" s="516">
        <f t="shared" si="14"/>
        <v>2183464</v>
      </c>
      <c r="S35" s="147">
        <f t="shared" si="15"/>
        <v>2067258</v>
      </c>
      <c r="T35" s="147"/>
      <c r="U35" s="143"/>
    </row>
    <row r="36" spans="1:21" s="144" customFormat="1">
      <c r="A36" s="283" t="s">
        <v>1628</v>
      </c>
      <c r="B36" s="146">
        <f t="shared" si="11"/>
        <v>2000000</v>
      </c>
      <c r="C36" s="147">
        <f>ROUND('[1]4%'!G90,0)</f>
        <v>1893558</v>
      </c>
      <c r="D36" s="147">
        <f>ROUND('[1]4%'!H90,0)</f>
        <v>106442</v>
      </c>
      <c r="E36" s="147">
        <f t="shared" si="12"/>
        <v>1893558</v>
      </c>
      <c r="F36" s="147"/>
      <c r="G36" s="147"/>
      <c r="H36" s="147">
        <f t="shared" si="13"/>
        <v>106442</v>
      </c>
      <c r="I36" s="147"/>
      <c r="J36" s="147"/>
      <c r="K36" s="147"/>
      <c r="L36" s="147"/>
      <c r="M36" s="147"/>
      <c r="N36" s="147"/>
      <c r="O36" s="147"/>
      <c r="P36" s="147"/>
      <c r="Q36" s="147"/>
      <c r="R36" s="516">
        <f t="shared" si="14"/>
        <v>2000000</v>
      </c>
      <c r="S36" s="147">
        <f>'[1]4%'!$I$90</f>
        <v>1080000</v>
      </c>
      <c r="T36" s="147"/>
      <c r="U36" s="143"/>
    </row>
    <row r="37" spans="1:21" s="144" customFormat="1">
      <c r="A37" s="1143" t="s">
        <v>2667</v>
      </c>
      <c r="B37" s="146">
        <f t="shared" si="11"/>
        <v>4756073</v>
      </c>
      <c r="C37" s="147">
        <f>ROUND('[1]4%'!G47+'[1]4%'!G52,0)</f>
        <v>4502951</v>
      </c>
      <c r="D37" s="147">
        <f>ROUND('[1]4%'!H47+'[1]4%'!H52,0)</f>
        <v>253122</v>
      </c>
      <c r="E37" s="147">
        <f t="shared" si="12"/>
        <v>4502951</v>
      </c>
      <c r="F37" s="147"/>
      <c r="G37" s="147"/>
      <c r="H37" s="147">
        <f t="shared" si="13"/>
        <v>253122</v>
      </c>
      <c r="I37" s="147"/>
      <c r="J37" s="147"/>
      <c r="K37" s="147"/>
      <c r="L37" s="147"/>
      <c r="M37" s="147"/>
      <c r="N37" s="147"/>
      <c r="O37" s="147"/>
      <c r="P37" s="147"/>
      <c r="Q37" s="147"/>
      <c r="R37" s="516">
        <f t="shared" si="14"/>
        <v>4756073</v>
      </c>
      <c r="S37" s="147">
        <f t="shared" si="15"/>
        <v>4502951</v>
      </c>
      <c r="T37" s="147"/>
      <c r="U37" s="143"/>
    </row>
    <row r="38" spans="1:21" s="144" customFormat="1" ht="12">
      <c r="A38" s="149" t="s">
        <v>143</v>
      </c>
      <c r="B38" s="146">
        <f t="shared" si="11"/>
        <v>120082962</v>
      </c>
      <c r="C38" s="146">
        <f>SUM(C29:C37)</f>
        <v>113692046</v>
      </c>
      <c r="D38" s="146">
        <f t="shared" ref="D38:Q38" si="16">SUM(D29:D37)</f>
        <v>6390916</v>
      </c>
      <c r="E38" s="146">
        <f t="shared" si="16"/>
        <v>28550455</v>
      </c>
      <c r="F38" s="146">
        <f t="shared" si="16"/>
        <v>48787800</v>
      </c>
      <c r="G38" s="146">
        <f t="shared" si="16"/>
        <v>36353791</v>
      </c>
      <c r="H38" s="146">
        <f t="shared" si="16"/>
        <v>6390916</v>
      </c>
      <c r="I38" s="146">
        <f t="shared" si="16"/>
        <v>0</v>
      </c>
      <c r="J38" s="146">
        <f t="shared" si="16"/>
        <v>0</v>
      </c>
      <c r="K38" s="146">
        <f t="shared" si="16"/>
        <v>0</v>
      </c>
      <c r="L38" s="146">
        <f t="shared" si="16"/>
        <v>0</v>
      </c>
      <c r="M38" s="146">
        <f t="shared" si="16"/>
        <v>0</v>
      </c>
      <c r="N38" s="146">
        <f t="shared" si="16"/>
        <v>0</v>
      </c>
      <c r="O38" s="146">
        <f t="shared" si="16"/>
        <v>0</v>
      </c>
      <c r="P38" s="146">
        <f t="shared" si="16"/>
        <v>0</v>
      </c>
      <c r="Q38" s="146">
        <f t="shared" si="16"/>
        <v>0</v>
      </c>
      <c r="R38" s="342">
        <f>SUM(R29:R37)</f>
        <v>120082962</v>
      </c>
      <c r="S38" s="150">
        <f>SUM(S29:S37)</f>
        <v>112878488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5440666</v>
      </c>
      <c r="C40" s="147">
        <f>ROUND('[1]4%'!G55,0)</f>
        <v>5151109</v>
      </c>
      <c r="D40" s="147">
        <f>ROUND('[1]4%'!H55,0)</f>
        <v>289557</v>
      </c>
      <c r="E40" s="147">
        <f t="shared" ref="E40:E41" si="17">B40-SUM(F40:Q40)</f>
        <v>5151109</v>
      </c>
      <c r="F40" s="147"/>
      <c r="G40" s="147"/>
      <c r="H40" s="147">
        <f t="shared" ref="H40:H41" si="18">D40</f>
        <v>289557</v>
      </c>
      <c r="I40" s="147"/>
      <c r="J40" s="147"/>
      <c r="K40" s="147"/>
      <c r="L40" s="147"/>
      <c r="M40" s="147"/>
      <c r="N40" s="147"/>
      <c r="O40" s="147"/>
      <c r="P40" s="147"/>
      <c r="Q40" s="147"/>
      <c r="R40" s="516">
        <f>SUM(E40:Q40)</f>
        <v>5440666</v>
      </c>
      <c r="S40" s="147">
        <f>C40</f>
        <v>5151109</v>
      </c>
      <c r="T40" s="147"/>
      <c r="U40" s="143"/>
    </row>
    <row r="41" spans="1:21" s="144" customFormat="1">
      <c r="A41" s="145" t="s">
        <v>146</v>
      </c>
      <c r="B41" s="146">
        <f>SUM(C41+D41)</f>
        <v>0</v>
      </c>
      <c r="C41" s="147"/>
      <c r="D41" s="147"/>
      <c r="E41" s="147">
        <f t="shared" si="17"/>
        <v>0</v>
      </c>
      <c r="F41" s="147"/>
      <c r="G41" s="147"/>
      <c r="H41" s="147">
        <f t="shared" si="18"/>
        <v>0</v>
      </c>
      <c r="I41" s="147"/>
      <c r="J41" s="147"/>
      <c r="K41" s="147"/>
      <c r="L41" s="147"/>
      <c r="M41" s="147"/>
      <c r="N41" s="147"/>
      <c r="O41" s="147"/>
      <c r="P41" s="147"/>
      <c r="Q41" s="147"/>
      <c r="R41" s="516">
        <f>SUM(E41:Q41)</f>
        <v>0</v>
      </c>
      <c r="S41" s="147">
        <f>C41</f>
        <v>0</v>
      </c>
      <c r="T41" s="147"/>
      <c r="U41" s="143"/>
    </row>
    <row r="42" spans="1:21" s="144" customFormat="1" ht="12">
      <c r="A42" s="149" t="s">
        <v>147</v>
      </c>
      <c r="B42" s="146">
        <f>SUM(C42:D42)</f>
        <v>5440666</v>
      </c>
      <c r="C42" s="146">
        <f>SUM(C39:C41)</f>
        <v>5151109</v>
      </c>
      <c r="D42" s="146">
        <f>SUM(D39:D41)</f>
        <v>289557</v>
      </c>
      <c r="E42" s="146">
        <f t="shared" ref="E42:T42" si="19">SUM(E40:E41)</f>
        <v>5151109</v>
      </c>
      <c r="F42" s="146">
        <f t="shared" si="19"/>
        <v>0</v>
      </c>
      <c r="G42" s="146">
        <f t="shared" si="19"/>
        <v>0</v>
      </c>
      <c r="H42" s="146">
        <f t="shared" si="19"/>
        <v>289557</v>
      </c>
      <c r="I42" s="146">
        <f t="shared" si="19"/>
        <v>0</v>
      </c>
      <c r="J42" s="146">
        <f t="shared" si="19"/>
        <v>0</v>
      </c>
      <c r="K42" s="146">
        <f t="shared" si="19"/>
        <v>0</v>
      </c>
      <c r="L42" s="146">
        <f t="shared" si="19"/>
        <v>0</v>
      </c>
      <c r="M42" s="146">
        <f t="shared" si="19"/>
        <v>0</v>
      </c>
      <c r="N42" s="146">
        <f t="shared" si="19"/>
        <v>0</v>
      </c>
      <c r="O42" s="146">
        <f t="shared" si="19"/>
        <v>0</v>
      </c>
      <c r="P42" s="146">
        <f t="shared" si="19"/>
        <v>0</v>
      </c>
      <c r="Q42" s="146">
        <f t="shared" si="19"/>
        <v>0</v>
      </c>
      <c r="R42" s="342">
        <f>SUM(R40:R41)</f>
        <v>5440666</v>
      </c>
      <c r="S42" s="150">
        <f t="shared" si="19"/>
        <v>5151109</v>
      </c>
      <c r="T42" s="150">
        <f t="shared" si="19"/>
        <v>0</v>
      </c>
      <c r="U42" s="143"/>
    </row>
    <row r="43" spans="1:21" s="144" customFormat="1" ht="12">
      <c r="A43" s="149" t="s">
        <v>148</v>
      </c>
      <c r="B43" s="146">
        <f>SUM(C43:D43)</f>
        <v>0</v>
      </c>
      <c r="C43" s="147">
        <f>ROUND('[1]4%'!G58,0)</f>
        <v>0</v>
      </c>
      <c r="D43" s="147">
        <f>ROUND('[1]4%'!H58,0)</f>
        <v>0</v>
      </c>
      <c r="E43" s="147">
        <f>B43-SUM(F43:Q43)</f>
        <v>0</v>
      </c>
      <c r="F43" s="147"/>
      <c r="G43" s="147"/>
      <c r="H43" s="147">
        <f t="shared" ref="H43:H53" si="20">D43</f>
        <v>0</v>
      </c>
      <c r="I43" s="147"/>
      <c r="J43" s="147"/>
      <c r="K43" s="147"/>
      <c r="L43" s="147"/>
      <c r="M43" s="147"/>
      <c r="N43" s="147"/>
      <c r="O43" s="147"/>
      <c r="P43" s="147"/>
      <c r="Q43" s="147"/>
      <c r="R43" s="516">
        <f>SUM(E43:Q43)</f>
        <v>0</v>
      </c>
      <c r="S43" s="147">
        <f>C43</f>
        <v>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21">SUM(C45+D45)</f>
        <v>13420738</v>
      </c>
      <c r="C45" s="147">
        <f>ROUND('[1]4%'!G60,0)</f>
        <v>13420738</v>
      </c>
      <c r="D45" s="147">
        <v>0</v>
      </c>
      <c r="E45" s="147">
        <f t="shared" ref="E45:E53" si="22">B45-SUM(F45:Q45)</f>
        <v>13420738</v>
      </c>
      <c r="F45" s="147"/>
      <c r="G45" s="147"/>
      <c r="H45" s="147">
        <f t="shared" si="20"/>
        <v>0</v>
      </c>
      <c r="I45" s="147"/>
      <c r="J45" s="147"/>
      <c r="K45" s="147"/>
      <c r="L45" s="147"/>
      <c r="M45" s="147"/>
      <c r="N45" s="147"/>
      <c r="O45" s="147"/>
      <c r="P45" s="147"/>
      <c r="Q45" s="147"/>
      <c r="R45" s="516">
        <f t="shared" ref="R45:R53" si="23">SUM(E45:Q45)</f>
        <v>13420738</v>
      </c>
      <c r="S45" s="147">
        <f>ROUND('[1]4%'!$I$60,0)</f>
        <v>7226551</v>
      </c>
      <c r="T45" s="147"/>
      <c r="U45" s="143"/>
    </row>
    <row r="46" spans="1:21" s="144" customFormat="1">
      <c r="A46" s="145" t="s">
        <v>151</v>
      </c>
      <c r="B46" s="146">
        <f t="shared" si="21"/>
        <v>1132655</v>
      </c>
      <c r="C46" s="147">
        <f>ROUND('[1]4%'!G62,0)</f>
        <v>1132655</v>
      </c>
      <c r="D46" s="147">
        <v>0</v>
      </c>
      <c r="E46" s="147">
        <f t="shared" si="22"/>
        <v>1132655</v>
      </c>
      <c r="F46" s="147"/>
      <c r="G46" s="147"/>
      <c r="H46" s="147">
        <f t="shared" si="20"/>
        <v>0</v>
      </c>
      <c r="I46" s="147"/>
      <c r="J46" s="147"/>
      <c r="K46" s="147"/>
      <c r="L46" s="147"/>
      <c r="M46" s="147"/>
      <c r="N46" s="147"/>
      <c r="O46" s="147"/>
      <c r="P46" s="147"/>
      <c r="Q46" s="147"/>
      <c r="R46" s="516">
        <f t="shared" si="23"/>
        <v>1132655</v>
      </c>
      <c r="S46" s="147">
        <f>ROUND('[1]4%'!$I$62,0)</f>
        <v>146826</v>
      </c>
      <c r="T46" s="147"/>
      <c r="U46" s="143"/>
    </row>
    <row r="47" spans="1:21" s="144" customFormat="1">
      <c r="A47" s="186" t="s">
        <v>152</v>
      </c>
      <c r="B47" s="146">
        <f t="shared" si="21"/>
        <v>0</v>
      </c>
      <c r="C47" s="147"/>
      <c r="D47" s="147"/>
      <c r="E47" s="147">
        <f t="shared" si="22"/>
        <v>0</v>
      </c>
      <c r="F47" s="147"/>
      <c r="G47" s="147"/>
      <c r="H47" s="147">
        <f t="shared" si="20"/>
        <v>0</v>
      </c>
      <c r="I47" s="147"/>
      <c r="J47" s="147"/>
      <c r="K47" s="147"/>
      <c r="L47" s="147"/>
      <c r="M47" s="147"/>
      <c r="N47" s="147"/>
      <c r="O47" s="147"/>
      <c r="P47" s="147"/>
      <c r="Q47" s="147"/>
      <c r="R47" s="516">
        <f t="shared" si="23"/>
        <v>0</v>
      </c>
      <c r="S47" s="147"/>
      <c r="T47" s="147"/>
      <c r="U47" s="143"/>
    </row>
    <row r="48" spans="1:21" s="144" customFormat="1">
      <c r="A48" s="145" t="s">
        <v>153</v>
      </c>
      <c r="B48" s="146">
        <f t="shared" si="21"/>
        <v>0</v>
      </c>
      <c r="C48" s="147"/>
      <c r="D48" s="147"/>
      <c r="E48" s="147">
        <f t="shared" si="22"/>
        <v>0</v>
      </c>
      <c r="F48" s="147"/>
      <c r="G48" s="147"/>
      <c r="H48" s="147">
        <f t="shared" si="20"/>
        <v>0</v>
      </c>
      <c r="I48" s="147"/>
      <c r="J48" s="147"/>
      <c r="K48" s="147"/>
      <c r="L48" s="147"/>
      <c r="M48" s="147"/>
      <c r="N48" s="147"/>
      <c r="O48" s="147"/>
      <c r="P48" s="147"/>
      <c r="Q48" s="147"/>
      <c r="R48" s="516">
        <f t="shared" si="23"/>
        <v>0</v>
      </c>
      <c r="S48" s="147"/>
      <c r="T48" s="147"/>
      <c r="U48" s="143"/>
    </row>
    <row r="49" spans="1:21" s="144" customFormat="1">
      <c r="A49" s="145" t="s">
        <v>57</v>
      </c>
      <c r="B49" s="146">
        <f t="shared" si="21"/>
        <v>424657</v>
      </c>
      <c r="C49" s="147">
        <f>ROUND('[1]4%'!G71,0)</f>
        <v>424657</v>
      </c>
      <c r="D49" s="147">
        <f>ROUND('[1]4%'!H71,0)</f>
        <v>0</v>
      </c>
      <c r="E49" s="147">
        <f t="shared" si="22"/>
        <v>424657</v>
      </c>
      <c r="F49" s="147"/>
      <c r="G49" s="147"/>
      <c r="H49" s="147">
        <f t="shared" si="20"/>
        <v>0</v>
      </c>
      <c r="I49" s="147"/>
      <c r="J49" s="147"/>
      <c r="K49" s="147"/>
      <c r="L49" s="147"/>
      <c r="M49" s="147"/>
      <c r="N49" s="147"/>
      <c r="O49" s="147"/>
      <c r="P49" s="147"/>
      <c r="Q49" s="147"/>
      <c r="R49" s="516">
        <f t="shared" si="23"/>
        <v>424657</v>
      </c>
      <c r="S49" s="147">
        <f>ROUND('[1]4%'!$I$71,0)</f>
        <v>55048</v>
      </c>
      <c r="T49" s="147"/>
      <c r="U49" s="143"/>
    </row>
    <row r="50" spans="1:21" s="144" customFormat="1">
      <c r="A50" s="145" t="s">
        <v>156</v>
      </c>
      <c r="B50" s="146">
        <f t="shared" si="21"/>
        <v>100000</v>
      </c>
      <c r="C50" s="147">
        <f>ROUND('[1]4%'!G67,0)</f>
        <v>94678</v>
      </c>
      <c r="D50" s="147">
        <f>ROUND('[1]4%'!H67,0)</f>
        <v>5322</v>
      </c>
      <c r="E50" s="147">
        <f t="shared" si="22"/>
        <v>94678</v>
      </c>
      <c r="F50" s="147"/>
      <c r="G50" s="147"/>
      <c r="H50" s="147">
        <f t="shared" si="20"/>
        <v>5322</v>
      </c>
      <c r="I50" s="147"/>
      <c r="J50" s="147"/>
      <c r="K50" s="147"/>
      <c r="L50" s="147"/>
      <c r="M50" s="147"/>
      <c r="N50" s="147"/>
      <c r="O50" s="147"/>
      <c r="P50" s="147"/>
      <c r="Q50" s="147"/>
      <c r="R50" s="516">
        <f t="shared" si="23"/>
        <v>100000</v>
      </c>
      <c r="S50" s="147">
        <f>C50</f>
        <v>94678</v>
      </c>
      <c r="T50" s="147"/>
      <c r="U50" s="143"/>
    </row>
    <row r="51" spans="1:21" s="144" customFormat="1">
      <c r="A51" s="283" t="s">
        <v>154</v>
      </c>
      <c r="B51" s="146">
        <f t="shared" si="21"/>
        <v>35010</v>
      </c>
      <c r="C51" s="147">
        <f>ROUND('[1]4%'!G64,0)</f>
        <v>33147</v>
      </c>
      <c r="D51" s="147">
        <f>ROUND('[1]4%'!H64,0)</f>
        <v>1863</v>
      </c>
      <c r="E51" s="147">
        <f t="shared" si="22"/>
        <v>33147</v>
      </c>
      <c r="F51" s="147"/>
      <c r="G51" s="147"/>
      <c r="H51" s="147">
        <f t="shared" si="20"/>
        <v>1863</v>
      </c>
      <c r="I51" s="147"/>
      <c r="J51" s="147"/>
      <c r="K51" s="147"/>
      <c r="L51" s="147"/>
      <c r="M51" s="147"/>
      <c r="N51" s="147"/>
      <c r="O51" s="147"/>
      <c r="P51" s="147"/>
      <c r="Q51" s="147"/>
      <c r="R51" s="516">
        <f t="shared" si="23"/>
        <v>35010</v>
      </c>
      <c r="S51" s="147">
        <f>C51</f>
        <v>33147</v>
      </c>
      <c r="T51" s="147"/>
      <c r="U51" s="143"/>
    </row>
    <row r="52" spans="1:21" s="144" customFormat="1">
      <c r="A52" s="145" t="s">
        <v>155</v>
      </c>
      <c r="B52" s="146">
        <f t="shared" si="21"/>
        <v>4415927</v>
      </c>
      <c r="C52" s="147">
        <f>ROUND('[1]4%'!G65+1,0)</f>
        <v>4180905</v>
      </c>
      <c r="D52" s="147">
        <f>ROUND('[1]4%'!H65+3,0)</f>
        <v>235022</v>
      </c>
      <c r="E52" s="147">
        <f t="shared" si="22"/>
        <v>1475459</v>
      </c>
      <c r="F52" s="147"/>
      <c r="G52" s="147"/>
      <c r="H52" s="147">
        <f t="shared" si="20"/>
        <v>235022</v>
      </c>
      <c r="I52" s="147">
        <f>ROUND(Application!AO638,0)</f>
        <v>2705446</v>
      </c>
      <c r="J52" s="147"/>
      <c r="K52" s="147"/>
      <c r="L52" s="147"/>
      <c r="M52" s="147"/>
      <c r="N52" s="147"/>
      <c r="O52" s="147"/>
      <c r="P52" s="147"/>
      <c r="Q52" s="147"/>
      <c r="R52" s="516">
        <f t="shared" si="23"/>
        <v>4415927</v>
      </c>
      <c r="S52" s="147">
        <f>C52</f>
        <v>4180905</v>
      </c>
      <c r="T52" s="147"/>
      <c r="U52" s="143"/>
    </row>
    <row r="53" spans="1:21" s="144" customFormat="1">
      <c r="A53" s="1143" t="s">
        <v>2662</v>
      </c>
      <c r="B53" s="146">
        <f t="shared" si="21"/>
        <v>116400</v>
      </c>
      <c r="C53" s="147">
        <f>ROUND('[1]4%'!G63,0)</f>
        <v>116400</v>
      </c>
      <c r="D53" s="147">
        <v>0</v>
      </c>
      <c r="E53" s="147">
        <f t="shared" si="22"/>
        <v>116400</v>
      </c>
      <c r="F53" s="147"/>
      <c r="G53" s="147"/>
      <c r="H53" s="147">
        <f t="shared" si="20"/>
        <v>0</v>
      </c>
      <c r="I53" s="147"/>
      <c r="J53" s="147"/>
      <c r="K53" s="147"/>
      <c r="L53" s="147"/>
      <c r="M53" s="147"/>
      <c r="N53" s="147"/>
      <c r="O53" s="147"/>
      <c r="P53" s="147"/>
      <c r="Q53" s="147"/>
      <c r="R53" s="516">
        <f t="shared" si="23"/>
        <v>116400</v>
      </c>
      <c r="S53" s="147">
        <f>ROUND('[1]4%'!$I$63,0)</f>
        <v>15089</v>
      </c>
      <c r="T53" s="147"/>
      <c r="U53" s="143"/>
    </row>
    <row r="54" spans="1:21" s="153" customFormat="1" ht="12">
      <c r="A54" s="149" t="s">
        <v>157</v>
      </c>
      <c r="B54" s="150">
        <f>SUM(C54:D54)</f>
        <v>19645387</v>
      </c>
      <c r="C54" s="150">
        <f t="shared" ref="C54:T54" si="24">SUM(C45:C53)</f>
        <v>19403180</v>
      </c>
      <c r="D54" s="150">
        <f t="shared" si="24"/>
        <v>242207</v>
      </c>
      <c r="E54" s="150">
        <f t="shared" si="24"/>
        <v>16697734</v>
      </c>
      <c r="F54" s="150">
        <f t="shared" si="24"/>
        <v>0</v>
      </c>
      <c r="G54" s="150">
        <f t="shared" si="24"/>
        <v>0</v>
      </c>
      <c r="H54" s="150">
        <f t="shared" si="24"/>
        <v>242207</v>
      </c>
      <c r="I54" s="150">
        <f t="shared" si="24"/>
        <v>2705446</v>
      </c>
      <c r="J54" s="150">
        <f t="shared" si="24"/>
        <v>0</v>
      </c>
      <c r="K54" s="150">
        <f t="shared" si="24"/>
        <v>0</v>
      </c>
      <c r="L54" s="150">
        <f t="shared" si="24"/>
        <v>0</v>
      </c>
      <c r="M54" s="150">
        <f t="shared" si="24"/>
        <v>0</v>
      </c>
      <c r="N54" s="150">
        <f t="shared" si="24"/>
        <v>0</v>
      </c>
      <c r="O54" s="150">
        <f t="shared" si="24"/>
        <v>0</v>
      </c>
      <c r="P54" s="150">
        <f t="shared" si="24"/>
        <v>0</v>
      </c>
      <c r="Q54" s="150">
        <f t="shared" si="24"/>
        <v>0</v>
      </c>
      <c r="R54" s="342">
        <f t="shared" si="24"/>
        <v>19645387</v>
      </c>
      <c r="S54" s="150">
        <f t="shared" si="24"/>
        <v>11752244</v>
      </c>
      <c r="T54" s="150">
        <f t="shared" si="2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5">SUM(C56+D56)</f>
        <v>487878</v>
      </c>
      <c r="C56" s="147">
        <f>ROUND('[1]4%'!$G$70,0)</f>
        <v>487878</v>
      </c>
      <c r="D56" s="147"/>
      <c r="E56" s="147">
        <f t="shared" ref="E56:E61" si="26">B56-SUM(F56:Q56)</f>
        <v>487878</v>
      </c>
      <c r="F56" s="147"/>
      <c r="G56" s="147"/>
      <c r="H56" s="147">
        <f t="shared" ref="H56:H61" si="27">D56</f>
        <v>0</v>
      </c>
      <c r="I56" s="147"/>
      <c r="J56" s="147"/>
      <c r="K56" s="147"/>
      <c r="L56" s="147"/>
      <c r="M56" s="147"/>
      <c r="N56" s="147"/>
      <c r="O56" s="147"/>
      <c r="P56" s="147"/>
      <c r="Q56" s="147"/>
      <c r="R56" s="516">
        <f t="shared" ref="R56:R61" si="28">SUM(E56:Q56)</f>
        <v>487878</v>
      </c>
      <c r="S56" s="148"/>
      <c r="T56" s="148"/>
      <c r="U56" s="143"/>
    </row>
    <row r="57" spans="1:21" s="192" customFormat="1">
      <c r="A57" s="186" t="s">
        <v>152</v>
      </c>
      <c r="B57" s="193">
        <f t="shared" si="25"/>
        <v>0</v>
      </c>
      <c r="C57" s="190"/>
      <c r="D57" s="190"/>
      <c r="E57" s="190">
        <f t="shared" si="26"/>
        <v>0</v>
      </c>
      <c r="F57" s="190"/>
      <c r="G57" s="190"/>
      <c r="H57" s="190">
        <f t="shared" si="27"/>
        <v>0</v>
      </c>
      <c r="I57" s="190"/>
      <c r="J57" s="190"/>
      <c r="K57" s="190"/>
      <c r="L57" s="190"/>
      <c r="M57" s="190"/>
      <c r="N57" s="190"/>
      <c r="O57" s="190"/>
      <c r="P57" s="190"/>
      <c r="Q57" s="190"/>
      <c r="R57" s="516">
        <f t="shared" si="28"/>
        <v>0</v>
      </c>
      <c r="S57" s="194"/>
      <c r="T57" s="194"/>
      <c r="U57" s="191"/>
    </row>
    <row r="58" spans="1:21" s="144" customFormat="1">
      <c r="A58" s="145" t="s">
        <v>156</v>
      </c>
      <c r="B58" s="146">
        <f t="shared" si="25"/>
        <v>50000</v>
      </c>
      <c r="C58" s="147">
        <f>'[1]4%'!$G$72</f>
        <v>50000</v>
      </c>
      <c r="D58" s="147"/>
      <c r="E58" s="147">
        <f t="shared" si="26"/>
        <v>50000</v>
      </c>
      <c r="F58" s="147"/>
      <c r="G58" s="147"/>
      <c r="H58" s="147">
        <f t="shared" si="27"/>
        <v>0</v>
      </c>
      <c r="I58" s="147"/>
      <c r="J58" s="147"/>
      <c r="K58" s="147"/>
      <c r="L58" s="147"/>
      <c r="M58" s="147"/>
      <c r="N58" s="147"/>
      <c r="O58" s="147"/>
      <c r="P58" s="147"/>
      <c r="Q58" s="147"/>
      <c r="R58" s="516">
        <f t="shared" si="28"/>
        <v>50000</v>
      </c>
      <c r="S58" s="148"/>
      <c r="T58" s="148"/>
      <c r="U58" s="143"/>
    </row>
    <row r="59" spans="1:21" s="144" customFormat="1">
      <c r="A59" s="283" t="s">
        <v>154</v>
      </c>
      <c r="B59" s="146">
        <f t="shared" si="25"/>
        <v>0</v>
      </c>
      <c r="C59" s="147"/>
      <c r="D59" s="147"/>
      <c r="E59" s="147">
        <f t="shared" si="26"/>
        <v>0</v>
      </c>
      <c r="F59" s="147"/>
      <c r="G59" s="147"/>
      <c r="H59" s="147">
        <f t="shared" si="27"/>
        <v>0</v>
      </c>
      <c r="I59" s="147"/>
      <c r="J59" s="147"/>
      <c r="K59" s="147"/>
      <c r="L59" s="147"/>
      <c r="M59" s="147"/>
      <c r="N59" s="147"/>
      <c r="O59" s="147"/>
      <c r="P59" s="147"/>
      <c r="Q59" s="147"/>
      <c r="R59" s="516">
        <f t="shared" si="28"/>
        <v>0</v>
      </c>
      <c r="S59" s="148"/>
      <c r="T59" s="148"/>
      <c r="U59" s="143"/>
    </row>
    <row r="60" spans="1:21" s="144" customFormat="1">
      <c r="A60" s="145" t="s">
        <v>155</v>
      </c>
      <c r="B60" s="146">
        <f t="shared" si="25"/>
        <v>0</v>
      </c>
      <c r="C60" s="147"/>
      <c r="D60" s="147"/>
      <c r="E60" s="147">
        <f t="shared" si="26"/>
        <v>0</v>
      </c>
      <c r="F60" s="147"/>
      <c r="G60" s="147"/>
      <c r="H60" s="147">
        <f t="shared" si="27"/>
        <v>0</v>
      </c>
      <c r="I60" s="147"/>
      <c r="J60" s="147"/>
      <c r="K60" s="147"/>
      <c r="L60" s="147"/>
      <c r="M60" s="147"/>
      <c r="N60" s="147"/>
      <c r="O60" s="147"/>
      <c r="P60" s="147"/>
      <c r="Q60" s="147"/>
      <c r="R60" s="516">
        <f t="shared" si="28"/>
        <v>0</v>
      </c>
      <c r="S60" s="148"/>
      <c r="T60" s="148"/>
      <c r="U60" s="143"/>
    </row>
    <row r="61" spans="1:21" s="144" customFormat="1">
      <c r="A61" s="1143" t="s">
        <v>2663</v>
      </c>
      <c r="B61" s="146">
        <f t="shared" si="25"/>
        <v>140000</v>
      </c>
      <c r="C61" s="147">
        <f>'[1]4%'!$G$74+'[1]4%'!$G$73</f>
        <v>140000</v>
      </c>
      <c r="D61" s="147"/>
      <c r="E61" s="147">
        <f t="shared" si="26"/>
        <v>140000</v>
      </c>
      <c r="F61" s="147"/>
      <c r="G61" s="147"/>
      <c r="H61" s="147">
        <f t="shared" si="27"/>
        <v>0</v>
      </c>
      <c r="I61" s="147"/>
      <c r="J61" s="147"/>
      <c r="K61" s="147"/>
      <c r="L61" s="147"/>
      <c r="M61" s="147"/>
      <c r="N61" s="147"/>
      <c r="O61" s="147"/>
      <c r="P61" s="147"/>
      <c r="Q61" s="147"/>
      <c r="R61" s="516">
        <f t="shared" si="28"/>
        <v>140000</v>
      </c>
      <c r="S61" s="148"/>
      <c r="T61" s="148"/>
      <c r="U61" s="143"/>
    </row>
    <row r="62" spans="1:21" s="144" customFormat="1" ht="13.65" customHeight="1">
      <c r="A62" s="149" t="s">
        <v>300</v>
      </c>
      <c r="B62" s="146">
        <f>SUM(C62:D62)</f>
        <v>677878</v>
      </c>
      <c r="C62" s="146">
        <f t="shared" ref="C62:R62" si="29">SUM(C56:C61)</f>
        <v>677878</v>
      </c>
      <c r="D62" s="146">
        <f t="shared" si="29"/>
        <v>0</v>
      </c>
      <c r="E62" s="146">
        <f t="shared" si="29"/>
        <v>677878</v>
      </c>
      <c r="F62" s="146">
        <f t="shared" si="29"/>
        <v>0</v>
      </c>
      <c r="G62" s="146">
        <f t="shared" si="29"/>
        <v>0</v>
      </c>
      <c r="H62" s="146">
        <f t="shared" si="29"/>
        <v>0</v>
      </c>
      <c r="I62" s="146">
        <f t="shared" si="29"/>
        <v>0</v>
      </c>
      <c r="J62" s="146">
        <f t="shared" si="29"/>
        <v>0</v>
      </c>
      <c r="K62" s="146">
        <f t="shared" si="29"/>
        <v>0</v>
      </c>
      <c r="L62" s="146">
        <f t="shared" si="29"/>
        <v>0</v>
      </c>
      <c r="M62" s="146">
        <f t="shared" si="29"/>
        <v>0</v>
      </c>
      <c r="N62" s="146">
        <f t="shared" si="29"/>
        <v>0</v>
      </c>
      <c r="O62" s="146">
        <f t="shared" si="29"/>
        <v>0</v>
      </c>
      <c r="P62" s="146">
        <f t="shared" si="29"/>
        <v>0</v>
      </c>
      <c r="Q62" s="146">
        <f t="shared" si="29"/>
        <v>0</v>
      </c>
      <c r="R62" s="342">
        <f t="shared" si="29"/>
        <v>677878</v>
      </c>
      <c r="S62" s="148"/>
      <c r="T62" s="148"/>
      <c r="U62" s="143"/>
    </row>
    <row r="63" spans="1:21" s="144" customFormat="1">
      <c r="A63" s="154" t="s">
        <v>301</v>
      </c>
      <c r="B63" s="146">
        <f t="shared" ref="B63:R63" si="30">SUM(B8+B11+B13+B14+B15+B26+B27+B38+B42+B43+B54+B62)</f>
        <v>158461351</v>
      </c>
      <c r="C63" s="146">
        <f t="shared" si="30"/>
        <v>150869980</v>
      </c>
      <c r="D63" s="146">
        <f t="shared" si="30"/>
        <v>7591371</v>
      </c>
      <c r="E63" s="146">
        <f t="shared" si="30"/>
        <v>51127178</v>
      </c>
      <c r="F63" s="146">
        <f t="shared" si="30"/>
        <v>48787800</v>
      </c>
      <c r="G63" s="146">
        <f t="shared" si="30"/>
        <v>48249556</v>
      </c>
      <c r="H63" s="146">
        <f t="shared" si="30"/>
        <v>7591371</v>
      </c>
      <c r="I63" s="146">
        <f t="shared" si="30"/>
        <v>2705446</v>
      </c>
      <c r="J63" s="146">
        <f t="shared" si="30"/>
        <v>0</v>
      </c>
      <c r="K63" s="146">
        <f t="shared" si="30"/>
        <v>0</v>
      </c>
      <c r="L63" s="146">
        <f t="shared" si="30"/>
        <v>0</v>
      </c>
      <c r="M63" s="146">
        <f t="shared" si="30"/>
        <v>0</v>
      </c>
      <c r="N63" s="146">
        <f t="shared" si="30"/>
        <v>0</v>
      </c>
      <c r="O63" s="146">
        <f t="shared" si="30"/>
        <v>0</v>
      </c>
      <c r="P63" s="146">
        <f t="shared" si="30"/>
        <v>0</v>
      </c>
      <c r="Q63" s="146">
        <f t="shared" si="30"/>
        <v>0</v>
      </c>
      <c r="R63" s="342">
        <f t="shared" si="30"/>
        <v>158461351</v>
      </c>
      <c r="S63" s="146">
        <f>SUM(S10+S13+S14+S15+S26+S27+S38+S42+S43+S54)</f>
        <v>141677606</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130000</v>
      </c>
      <c r="C65" s="147">
        <f>'[1]4%'!$G$77</f>
        <v>130000</v>
      </c>
      <c r="D65" s="147"/>
      <c r="E65" s="147">
        <f t="shared" ref="E65:E69" si="31">B65-SUM(F65:Q65)</f>
        <v>130000</v>
      </c>
      <c r="F65" s="147"/>
      <c r="G65" s="147"/>
      <c r="H65" s="147">
        <f t="shared" ref="H65:H69" si="32">D65</f>
        <v>0</v>
      </c>
      <c r="I65" s="147"/>
      <c r="J65" s="147"/>
      <c r="K65" s="147"/>
      <c r="L65" s="147"/>
      <c r="M65" s="147"/>
      <c r="N65" s="147"/>
      <c r="O65" s="147"/>
      <c r="P65" s="147"/>
      <c r="Q65" s="147"/>
      <c r="R65" s="516">
        <f>SUM(E65:Q65)</f>
        <v>130000</v>
      </c>
      <c r="S65" s="147">
        <f>ROUND('[1]4%'!$I$77,0)</f>
        <v>16852</v>
      </c>
      <c r="T65" s="147"/>
      <c r="U65" s="143"/>
    </row>
    <row r="66" spans="1:21" s="144" customFormat="1" ht="24" customHeight="1">
      <c r="A66" s="283" t="s">
        <v>1629</v>
      </c>
      <c r="B66" s="146">
        <f>SUM(C66+D66)</f>
        <v>0</v>
      </c>
      <c r="C66" s="147"/>
      <c r="D66" s="147"/>
      <c r="E66" s="147">
        <f t="shared" si="31"/>
        <v>0</v>
      </c>
      <c r="F66" s="147"/>
      <c r="G66" s="147"/>
      <c r="H66" s="147">
        <f t="shared" si="32"/>
        <v>0</v>
      </c>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f t="shared" si="31"/>
        <v>0</v>
      </c>
      <c r="F67" s="147"/>
      <c r="G67" s="147"/>
      <c r="H67" s="147">
        <f t="shared" si="32"/>
        <v>0</v>
      </c>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31"/>
        <v>0</v>
      </c>
      <c r="F68" s="147"/>
      <c r="G68" s="147"/>
      <c r="H68" s="147">
        <f t="shared" si="32"/>
        <v>0</v>
      </c>
      <c r="I68" s="147"/>
      <c r="J68" s="147"/>
      <c r="K68" s="147"/>
      <c r="L68" s="147"/>
      <c r="M68" s="147"/>
      <c r="N68" s="147"/>
      <c r="O68" s="147"/>
      <c r="P68" s="147"/>
      <c r="Q68" s="147"/>
      <c r="R68" s="516">
        <f>SUM(E68:Q68)</f>
        <v>0</v>
      </c>
      <c r="S68" s="147"/>
      <c r="T68" s="147"/>
      <c r="U68" s="143"/>
    </row>
    <row r="69" spans="1:21" s="144" customFormat="1">
      <c r="A69" s="1143" t="s">
        <v>2664</v>
      </c>
      <c r="B69" s="146">
        <f>SUM(C69+D69)</f>
        <v>75000</v>
      </c>
      <c r="C69" s="147">
        <f>ROUND('[1]4%'!G78,0)</f>
        <v>71008</v>
      </c>
      <c r="D69" s="147">
        <f>ROUND('[1]4%'!H78,0)</f>
        <v>3992</v>
      </c>
      <c r="E69" s="147">
        <f t="shared" si="31"/>
        <v>71008</v>
      </c>
      <c r="F69" s="147"/>
      <c r="G69" s="147"/>
      <c r="H69" s="147">
        <f t="shared" si="32"/>
        <v>3992</v>
      </c>
      <c r="I69" s="147"/>
      <c r="J69" s="147"/>
      <c r="K69" s="147"/>
      <c r="L69" s="147"/>
      <c r="M69" s="147"/>
      <c r="N69" s="147"/>
      <c r="O69" s="147"/>
      <c r="P69" s="147"/>
      <c r="Q69" s="147"/>
      <c r="R69" s="516">
        <f>SUM(E69:Q69)</f>
        <v>75000</v>
      </c>
      <c r="S69" s="147">
        <f>C69</f>
        <v>71008</v>
      </c>
      <c r="T69" s="147"/>
      <c r="U69" s="143"/>
    </row>
    <row r="70" spans="1:21" s="144" customFormat="1" ht="12">
      <c r="A70" s="149" t="s">
        <v>1633</v>
      </c>
      <c r="B70" s="146">
        <f>SUM(C70:D70)</f>
        <v>205000</v>
      </c>
      <c r="C70" s="146">
        <f>SUM(C65:C69)</f>
        <v>201008</v>
      </c>
      <c r="D70" s="146">
        <f>SUM(D65:D69)</f>
        <v>3992</v>
      </c>
      <c r="E70" s="146">
        <f t="shared" ref="E70:T70" si="33">SUM(E65:E69)</f>
        <v>201008</v>
      </c>
      <c r="F70" s="146">
        <f t="shared" si="33"/>
        <v>0</v>
      </c>
      <c r="G70" s="146">
        <f t="shared" si="33"/>
        <v>0</v>
      </c>
      <c r="H70" s="146">
        <f t="shared" si="33"/>
        <v>3992</v>
      </c>
      <c r="I70" s="146">
        <f t="shared" si="33"/>
        <v>0</v>
      </c>
      <c r="J70" s="146">
        <f t="shared" si="33"/>
        <v>0</v>
      </c>
      <c r="K70" s="146">
        <f t="shared" si="33"/>
        <v>0</v>
      </c>
      <c r="L70" s="146">
        <f t="shared" si="33"/>
        <v>0</v>
      </c>
      <c r="M70" s="146">
        <f t="shared" si="33"/>
        <v>0</v>
      </c>
      <c r="N70" s="146">
        <f t="shared" si="33"/>
        <v>0</v>
      </c>
      <c r="O70" s="146">
        <f t="shared" si="33"/>
        <v>0</v>
      </c>
      <c r="P70" s="146">
        <f t="shared" si="33"/>
        <v>0</v>
      </c>
      <c r="Q70" s="146">
        <f t="shared" si="33"/>
        <v>0</v>
      </c>
      <c r="R70" s="342">
        <f t="shared" si="33"/>
        <v>205000</v>
      </c>
      <c r="S70" s="150">
        <f t="shared" si="33"/>
        <v>87860</v>
      </c>
      <c r="T70" s="150">
        <f t="shared" si="33"/>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f t="shared" ref="E72:E76" si="34">B72-SUM(F72:Q72)</f>
        <v>0</v>
      </c>
      <c r="F72" s="147"/>
      <c r="G72" s="147"/>
      <c r="H72" s="147">
        <f t="shared" ref="H72:H76" si="35">D72</f>
        <v>0</v>
      </c>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f t="shared" si="34"/>
        <v>0</v>
      </c>
      <c r="F73" s="147"/>
      <c r="G73" s="147"/>
      <c r="H73" s="147">
        <f t="shared" si="35"/>
        <v>0</v>
      </c>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34"/>
        <v>0</v>
      </c>
      <c r="F74" s="147"/>
      <c r="G74" s="147"/>
      <c r="H74" s="147">
        <f t="shared" si="35"/>
        <v>0</v>
      </c>
      <c r="I74" s="147"/>
      <c r="J74" s="147"/>
      <c r="K74" s="147"/>
      <c r="L74" s="147"/>
      <c r="M74" s="147"/>
      <c r="N74" s="147"/>
      <c r="O74" s="147"/>
      <c r="P74" s="147"/>
      <c r="Q74" s="147"/>
      <c r="R74" s="516">
        <f>SUM(E74:Q74)</f>
        <v>0</v>
      </c>
      <c r="S74" s="148"/>
      <c r="T74" s="148"/>
      <c r="U74" s="143"/>
    </row>
    <row r="75" spans="1:21" s="144" customFormat="1">
      <c r="A75" s="145" t="s">
        <v>604</v>
      </c>
      <c r="B75" s="146">
        <f>SUM(C75+D75)</f>
        <v>1389751</v>
      </c>
      <c r="C75" s="147">
        <f>ROUND('[1]4%'!$G$81,0)</f>
        <v>1389751</v>
      </c>
      <c r="D75" s="147"/>
      <c r="E75" s="147">
        <f t="shared" si="34"/>
        <v>1389751</v>
      </c>
      <c r="F75" s="147"/>
      <c r="G75" s="147"/>
      <c r="H75" s="147">
        <f t="shared" si="35"/>
        <v>0</v>
      </c>
      <c r="I75" s="147"/>
      <c r="J75" s="147"/>
      <c r="K75" s="147"/>
      <c r="L75" s="147"/>
      <c r="M75" s="147"/>
      <c r="N75" s="147"/>
      <c r="O75" s="147"/>
      <c r="P75" s="147"/>
      <c r="Q75" s="147"/>
      <c r="R75" s="516">
        <f>SUM(E75:Q75)</f>
        <v>1389751</v>
      </c>
      <c r="S75" s="148"/>
      <c r="T75" s="148"/>
      <c r="U75" s="143"/>
    </row>
    <row r="76" spans="1:21" s="144" customFormat="1">
      <c r="A76" s="1143" t="s">
        <v>2665</v>
      </c>
      <c r="B76" s="146">
        <f>SUM(C76+D76)</f>
        <v>70200</v>
      </c>
      <c r="C76" s="147">
        <f>'[1]4%'!$G$82</f>
        <v>70200</v>
      </c>
      <c r="D76" s="147"/>
      <c r="E76" s="147">
        <f t="shared" si="34"/>
        <v>70200</v>
      </c>
      <c r="F76" s="147"/>
      <c r="G76" s="147"/>
      <c r="H76" s="147">
        <f t="shared" si="35"/>
        <v>0</v>
      </c>
      <c r="I76" s="147"/>
      <c r="J76" s="147"/>
      <c r="K76" s="147"/>
      <c r="L76" s="147"/>
      <c r="M76" s="147"/>
      <c r="N76" s="147"/>
      <c r="O76" s="147"/>
      <c r="P76" s="147"/>
      <c r="Q76" s="147"/>
      <c r="R76" s="516">
        <f>SUM(E76:Q76)</f>
        <v>70200</v>
      </c>
      <c r="S76" s="148"/>
      <c r="T76" s="148"/>
      <c r="U76" s="143"/>
    </row>
    <row r="77" spans="1:21" s="144" customFormat="1" ht="12">
      <c r="A77" s="149" t="s">
        <v>605</v>
      </c>
      <c r="B77" s="146">
        <f>SUM(C77:D77)</f>
        <v>1459951</v>
      </c>
      <c r="C77" s="146">
        <f>SUM(C72:C76)</f>
        <v>1459951</v>
      </c>
      <c r="D77" s="146">
        <f>SUM(D72:D76)</f>
        <v>0</v>
      </c>
      <c r="E77" s="146">
        <f t="shared" ref="E77:Q77" si="36">SUM(E72:E76)</f>
        <v>1459951</v>
      </c>
      <c r="F77" s="146">
        <f t="shared" si="36"/>
        <v>0</v>
      </c>
      <c r="G77" s="146">
        <f t="shared" si="36"/>
        <v>0</v>
      </c>
      <c r="H77" s="146">
        <f t="shared" si="36"/>
        <v>0</v>
      </c>
      <c r="I77" s="146">
        <f t="shared" si="36"/>
        <v>0</v>
      </c>
      <c r="J77" s="146">
        <f t="shared" si="36"/>
        <v>0</v>
      </c>
      <c r="K77" s="146">
        <f t="shared" si="36"/>
        <v>0</v>
      </c>
      <c r="L77" s="146">
        <f t="shared" si="36"/>
        <v>0</v>
      </c>
      <c r="M77" s="146">
        <f t="shared" si="36"/>
        <v>0</v>
      </c>
      <c r="N77" s="146">
        <f t="shared" si="36"/>
        <v>0</v>
      </c>
      <c r="O77" s="146">
        <f t="shared" si="36"/>
        <v>0</v>
      </c>
      <c r="P77" s="146">
        <f t="shared" si="36"/>
        <v>0</v>
      </c>
      <c r="Q77" s="146">
        <f t="shared" si="36"/>
        <v>0</v>
      </c>
      <c r="R77" s="342">
        <f>SUM(R72:R76)</f>
        <v>1459951</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6532371</v>
      </c>
      <c r="C79" s="147">
        <f>ROUND('[1]4%'!G87,0)</f>
        <v>6184713</v>
      </c>
      <c r="D79" s="147">
        <f>ROUND('[1]4%'!H87,0)</f>
        <v>347658</v>
      </c>
      <c r="E79" s="147">
        <f t="shared" ref="E79:E80" si="37">B79-SUM(F79:Q79)</f>
        <v>6184713</v>
      </c>
      <c r="F79" s="147"/>
      <c r="G79" s="147"/>
      <c r="H79" s="147">
        <f t="shared" ref="H79:H80" si="38">D79</f>
        <v>347658</v>
      </c>
      <c r="I79" s="147"/>
      <c r="J79" s="147"/>
      <c r="K79" s="147"/>
      <c r="L79" s="147"/>
      <c r="M79" s="147"/>
      <c r="N79" s="147"/>
      <c r="O79" s="147"/>
      <c r="P79" s="147"/>
      <c r="Q79" s="147"/>
      <c r="R79" s="516">
        <f>SUM(E79:Q79)</f>
        <v>6532371</v>
      </c>
      <c r="S79" s="147">
        <f>C79</f>
        <v>6184713</v>
      </c>
      <c r="T79" s="147"/>
      <c r="U79" s="143"/>
    </row>
    <row r="80" spans="1:21" s="144" customFormat="1">
      <c r="A80" s="283" t="s">
        <v>58</v>
      </c>
      <c r="B80" s="146">
        <f>SUM(C80:D80)</f>
        <v>1138839</v>
      </c>
      <c r="C80" s="147">
        <f>ROUND('[1]4%'!G102,0)</f>
        <v>1078229</v>
      </c>
      <c r="D80" s="147">
        <f>ROUND('[1]4%'!H102,0)</f>
        <v>60610</v>
      </c>
      <c r="E80" s="147">
        <f t="shared" si="37"/>
        <v>1078229</v>
      </c>
      <c r="F80" s="147"/>
      <c r="G80" s="147"/>
      <c r="H80" s="147">
        <f t="shared" si="38"/>
        <v>60610</v>
      </c>
      <c r="I80" s="147"/>
      <c r="J80" s="147"/>
      <c r="K80" s="147"/>
      <c r="L80" s="147"/>
      <c r="M80" s="147"/>
      <c r="N80" s="147"/>
      <c r="O80" s="147"/>
      <c r="P80" s="147"/>
      <c r="Q80" s="147"/>
      <c r="R80" s="516">
        <f>SUM(E80:Q80)</f>
        <v>1138839</v>
      </c>
      <c r="S80" s="147">
        <f>C80</f>
        <v>1078229</v>
      </c>
      <c r="T80" s="147"/>
      <c r="U80" s="143"/>
    </row>
    <row r="81" spans="1:21" s="144" customFormat="1" ht="12">
      <c r="A81" s="149" t="s">
        <v>1208</v>
      </c>
      <c r="B81" s="146">
        <f>SUM(C81:D81)</f>
        <v>7671210</v>
      </c>
      <c r="C81" s="509">
        <f>SUM(C79:C80)</f>
        <v>7262942</v>
      </c>
      <c r="D81" s="509">
        <f t="shared" ref="D81:T81" si="39">SUM(D79:D80)</f>
        <v>408268</v>
      </c>
      <c r="E81" s="509">
        <f t="shared" si="39"/>
        <v>7262942</v>
      </c>
      <c r="F81" s="509">
        <f t="shared" si="39"/>
        <v>0</v>
      </c>
      <c r="G81" s="509">
        <f t="shared" si="39"/>
        <v>0</v>
      </c>
      <c r="H81" s="509">
        <f t="shared" si="39"/>
        <v>408268</v>
      </c>
      <c r="I81" s="509">
        <f t="shared" si="39"/>
        <v>0</v>
      </c>
      <c r="J81" s="509">
        <f t="shared" si="39"/>
        <v>0</v>
      </c>
      <c r="K81" s="509">
        <f t="shared" si="39"/>
        <v>0</v>
      </c>
      <c r="L81" s="509">
        <f t="shared" si="39"/>
        <v>0</v>
      </c>
      <c r="M81" s="509">
        <f t="shared" si="39"/>
        <v>0</v>
      </c>
      <c r="N81" s="509">
        <f t="shared" si="39"/>
        <v>0</v>
      </c>
      <c r="O81" s="509">
        <f t="shared" si="39"/>
        <v>0</v>
      </c>
      <c r="P81" s="509">
        <f t="shared" si="39"/>
        <v>0</v>
      </c>
      <c r="Q81" s="509">
        <f t="shared" si="39"/>
        <v>0</v>
      </c>
      <c r="R81" s="509">
        <f t="shared" si="39"/>
        <v>7671210</v>
      </c>
      <c r="S81" s="509">
        <f t="shared" si="39"/>
        <v>7262942</v>
      </c>
      <c r="T81" s="509">
        <f t="shared" si="3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2050</v>
      </c>
      <c r="B83" s="146">
        <f t="shared" ref="B83:B95" si="40">SUM(C83+D83)</f>
        <v>257977</v>
      </c>
      <c r="C83" s="147">
        <f>ROUND('[1]4%'!$G$89,0)</f>
        <v>257977</v>
      </c>
      <c r="D83" s="147"/>
      <c r="E83" s="147">
        <f t="shared" ref="E83:E95" si="41">B83-SUM(F83:Q83)</f>
        <v>257977</v>
      </c>
      <c r="F83" s="147"/>
      <c r="G83" s="147"/>
      <c r="H83" s="147">
        <f t="shared" ref="H83:H95" si="42">D83</f>
        <v>0</v>
      </c>
      <c r="I83" s="147"/>
      <c r="J83" s="147"/>
      <c r="K83" s="147"/>
      <c r="L83" s="147"/>
      <c r="M83" s="147"/>
      <c r="N83" s="147"/>
      <c r="O83" s="147"/>
      <c r="P83" s="147"/>
      <c r="Q83" s="147"/>
      <c r="R83" s="516">
        <f t="shared" ref="R83:R95" si="43">SUM(E83:Q83)</f>
        <v>257977</v>
      </c>
      <c r="S83" s="148"/>
      <c r="T83" s="148"/>
      <c r="U83" s="143"/>
    </row>
    <row r="84" spans="1:21" s="144" customFormat="1">
      <c r="A84" s="145" t="s">
        <v>766</v>
      </c>
      <c r="B84" s="146">
        <f t="shared" si="40"/>
        <v>0</v>
      </c>
      <c r="C84" s="147"/>
      <c r="D84" s="147"/>
      <c r="E84" s="147">
        <f t="shared" si="41"/>
        <v>0</v>
      </c>
      <c r="F84" s="147"/>
      <c r="G84" s="147"/>
      <c r="H84" s="147">
        <f t="shared" si="42"/>
        <v>0</v>
      </c>
      <c r="I84" s="147"/>
      <c r="J84" s="147"/>
      <c r="K84" s="147"/>
      <c r="L84" s="147"/>
      <c r="M84" s="147"/>
      <c r="N84" s="147"/>
      <c r="O84" s="147"/>
      <c r="P84" s="147"/>
      <c r="Q84" s="147"/>
      <c r="R84" s="516">
        <f t="shared" si="43"/>
        <v>0</v>
      </c>
      <c r="S84" s="147"/>
      <c r="T84" s="147"/>
      <c r="U84" s="143"/>
    </row>
    <row r="85" spans="1:21" s="144" customFormat="1">
      <c r="A85" s="145" t="s">
        <v>767</v>
      </c>
      <c r="B85" s="146">
        <f t="shared" si="40"/>
        <v>3735141</v>
      </c>
      <c r="C85" s="147">
        <f>ROUND('[1]4%'!G96,0)</f>
        <v>3536354</v>
      </c>
      <c r="D85" s="147">
        <f>ROUND('[1]4%'!H96,0)</f>
        <v>198787</v>
      </c>
      <c r="E85" s="147">
        <f t="shared" si="41"/>
        <v>3536354</v>
      </c>
      <c r="F85" s="147"/>
      <c r="G85" s="147"/>
      <c r="H85" s="147">
        <f t="shared" si="42"/>
        <v>198787</v>
      </c>
      <c r="I85" s="147"/>
      <c r="J85" s="147"/>
      <c r="K85" s="147"/>
      <c r="L85" s="147"/>
      <c r="M85" s="147"/>
      <c r="N85" s="147"/>
      <c r="O85" s="147"/>
      <c r="P85" s="147"/>
      <c r="Q85" s="147"/>
      <c r="R85" s="516">
        <f t="shared" si="43"/>
        <v>3735141</v>
      </c>
      <c r="S85" s="147">
        <f>C85</f>
        <v>3536354</v>
      </c>
      <c r="T85" s="147"/>
      <c r="U85" s="143"/>
    </row>
    <row r="86" spans="1:21" s="144" customFormat="1">
      <c r="A86" s="145" t="s">
        <v>768</v>
      </c>
      <c r="B86" s="146">
        <f t="shared" si="40"/>
        <v>2016277</v>
      </c>
      <c r="C86" s="147">
        <f>ROUND('[1]4%'!G97,0)</f>
        <v>1908969</v>
      </c>
      <c r="D86" s="147">
        <f>ROUND('[1]4%'!H97,0)</f>
        <v>107308</v>
      </c>
      <c r="E86" s="147">
        <f t="shared" si="41"/>
        <v>1908969</v>
      </c>
      <c r="F86" s="147"/>
      <c r="G86" s="147"/>
      <c r="H86" s="147">
        <f t="shared" si="42"/>
        <v>107308</v>
      </c>
      <c r="I86" s="147"/>
      <c r="J86" s="147"/>
      <c r="K86" s="147"/>
      <c r="L86" s="147"/>
      <c r="M86" s="147"/>
      <c r="N86" s="147"/>
      <c r="O86" s="147"/>
      <c r="P86" s="147"/>
      <c r="Q86" s="147"/>
      <c r="R86" s="516">
        <f t="shared" si="43"/>
        <v>2016277</v>
      </c>
      <c r="S86" s="147">
        <f>C86</f>
        <v>1908969</v>
      </c>
      <c r="T86" s="147"/>
      <c r="U86" s="143"/>
    </row>
    <row r="87" spans="1:21" s="144" customFormat="1">
      <c r="A87" s="145" t="s">
        <v>769</v>
      </c>
      <c r="B87" s="146">
        <f t="shared" si="40"/>
        <v>1487689</v>
      </c>
      <c r="C87" s="147">
        <f>ROUND('[1]4%'!G100,0)</f>
        <v>1412514</v>
      </c>
      <c r="D87" s="147">
        <f>ROUND('[1]4%'!H100,0)</f>
        <v>75175</v>
      </c>
      <c r="E87" s="147">
        <f t="shared" si="41"/>
        <v>1412514</v>
      </c>
      <c r="F87" s="147"/>
      <c r="G87" s="147"/>
      <c r="H87" s="147">
        <f t="shared" si="42"/>
        <v>75175</v>
      </c>
      <c r="I87" s="147"/>
      <c r="J87" s="147"/>
      <c r="K87" s="147"/>
      <c r="L87" s="147"/>
      <c r="M87" s="147"/>
      <c r="N87" s="147"/>
      <c r="O87" s="147"/>
      <c r="P87" s="147"/>
      <c r="Q87" s="147"/>
      <c r="R87" s="516">
        <f t="shared" si="43"/>
        <v>1487689</v>
      </c>
      <c r="S87" s="147">
        <f>C87</f>
        <v>1412514</v>
      </c>
      <c r="T87" s="147"/>
      <c r="U87" s="143"/>
    </row>
    <row r="88" spans="1:21" s="144" customFormat="1">
      <c r="A88" s="145" t="s">
        <v>770</v>
      </c>
      <c r="B88" s="146">
        <f t="shared" si="40"/>
        <v>748485</v>
      </c>
      <c r="C88" s="147">
        <f>ROUND('[1]4%'!G99,0)</f>
        <v>748485</v>
      </c>
      <c r="D88" s="147">
        <v>0</v>
      </c>
      <c r="E88" s="147">
        <f t="shared" si="41"/>
        <v>748485</v>
      </c>
      <c r="F88" s="147"/>
      <c r="G88" s="147"/>
      <c r="H88" s="147">
        <f t="shared" si="42"/>
        <v>0</v>
      </c>
      <c r="I88" s="147"/>
      <c r="J88" s="147"/>
      <c r="K88" s="147"/>
      <c r="L88" s="147"/>
      <c r="M88" s="147"/>
      <c r="N88" s="147"/>
      <c r="O88" s="147"/>
      <c r="P88" s="147"/>
      <c r="Q88" s="147"/>
      <c r="R88" s="516">
        <f t="shared" si="43"/>
        <v>748485</v>
      </c>
      <c r="S88" s="148"/>
      <c r="T88" s="148"/>
      <c r="U88" s="143"/>
    </row>
    <row r="89" spans="1:21" s="144" customFormat="1">
      <c r="A89" s="145" t="s">
        <v>771</v>
      </c>
      <c r="B89" s="146">
        <f t="shared" si="40"/>
        <v>397800</v>
      </c>
      <c r="C89" s="147">
        <f>ROUND('[1]4%'!G101,0)</f>
        <v>397800</v>
      </c>
      <c r="D89" s="147">
        <f>ROUND('[1]4%'!H101,0)</f>
        <v>0</v>
      </c>
      <c r="E89" s="147">
        <f t="shared" si="41"/>
        <v>397800</v>
      </c>
      <c r="F89" s="147"/>
      <c r="G89" s="147"/>
      <c r="H89" s="147">
        <f t="shared" si="42"/>
        <v>0</v>
      </c>
      <c r="I89" s="147"/>
      <c r="J89" s="147"/>
      <c r="K89" s="147"/>
      <c r="L89" s="147"/>
      <c r="M89" s="147"/>
      <c r="N89" s="147"/>
      <c r="O89" s="147"/>
      <c r="P89" s="147"/>
      <c r="Q89" s="147"/>
      <c r="R89" s="516">
        <f t="shared" si="43"/>
        <v>397800</v>
      </c>
      <c r="S89" s="147">
        <f>C89</f>
        <v>397800</v>
      </c>
      <c r="T89" s="147"/>
      <c r="U89" s="143"/>
    </row>
    <row r="90" spans="1:21" s="144" customFormat="1">
      <c r="A90" s="145" t="s">
        <v>772</v>
      </c>
      <c r="B90" s="146">
        <f t="shared" si="40"/>
        <v>15000</v>
      </c>
      <c r="C90" s="147">
        <f>'[1]4%'!G98</f>
        <v>15000</v>
      </c>
      <c r="D90" s="147">
        <f>'[1]4%'!H98</f>
        <v>0</v>
      </c>
      <c r="E90" s="147">
        <f t="shared" si="41"/>
        <v>15000</v>
      </c>
      <c r="F90" s="147"/>
      <c r="G90" s="147"/>
      <c r="H90" s="147">
        <f t="shared" si="42"/>
        <v>0</v>
      </c>
      <c r="I90" s="147"/>
      <c r="J90" s="147"/>
      <c r="K90" s="147"/>
      <c r="L90" s="147"/>
      <c r="M90" s="147"/>
      <c r="N90" s="147"/>
      <c r="O90" s="147"/>
      <c r="P90" s="147"/>
      <c r="Q90" s="147"/>
      <c r="R90" s="516">
        <f t="shared" si="43"/>
        <v>15000</v>
      </c>
      <c r="S90" s="147"/>
      <c r="T90" s="147"/>
      <c r="U90" s="143"/>
    </row>
    <row r="91" spans="1:21" s="144" customFormat="1">
      <c r="A91" s="145" t="s">
        <v>371</v>
      </c>
      <c r="B91" s="146">
        <f t="shared" si="40"/>
        <v>0</v>
      </c>
      <c r="C91" s="147"/>
      <c r="D91" s="147"/>
      <c r="E91" s="147">
        <f t="shared" si="41"/>
        <v>0</v>
      </c>
      <c r="F91" s="147"/>
      <c r="G91" s="147"/>
      <c r="H91" s="147">
        <f t="shared" si="42"/>
        <v>0</v>
      </c>
      <c r="I91" s="147"/>
      <c r="J91" s="147"/>
      <c r="K91" s="147"/>
      <c r="L91" s="147"/>
      <c r="M91" s="147"/>
      <c r="N91" s="147"/>
      <c r="O91" s="147"/>
      <c r="P91" s="147"/>
      <c r="Q91" s="147"/>
      <c r="R91" s="516">
        <f t="shared" si="43"/>
        <v>0</v>
      </c>
      <c r="S91" s="147"/>
      <c r="T91" s="147"/>
      <c r="U91" s="143"/>
    </row>
    <row r="92" spans="1:21" s="144" customFormat="1">
      <c r="A92" s="283" t="s">
        <v>1210</v>
      </c>
      <c r="B92" s="146">
        <f t="shared" si="40"/>
        <v>60000</v>
      </c>
      <c r="C92" s="147">
        <f>ROUND('[1]4%'!G86,0)</f>
        <v>56807</v>
      </c>
      <c r="D92" s="147">
        <f>ROUND('[1]4%'!H86,0)</f>
        <v>3193</v>
      </c>
      <c r="E92" s="147">
        <f t="shared" si="41"/>
        <v>56807</v>
      </c>
      <c r="F92" s="147"/>
      <c r="G92" s="147"/>
      <c r="H92" s="147">
        <f t="shared" si="42"/>
        <v>3193</v>
      </c>
      <c r="I92" s="147"/>
      <c r="J92" s="147"/>
      <c r="K92" s="147"/>
      <c r="L92" s="147"/>
      <c r="M92" s="147"/>
      <c r="N92" s="147"/>
      <c r="O92" s="147"/>
      <c r="P92" s="147"/>
      <c r="Q92" s="147"/>
      <c r="R92" s="516">
        <f t="shared" si="43"/>
        <v>60000</v>
      </c>
      <c r="S92" s="147">
        <f>C92</f>
        <v>56807</v>
      </c>
      <c r="T92" s="147"/>
      <c r="U92" s="143"/>
    </row>
    <row r="93" spans="1:21" s="144" customFormat="1">
      <c r="A93" s="1143" t="s">
        <v>2666</v>
      </c>
      <c r="B93" s="146">
        <f t="shared" si="40"/>
        <v>60000</v>
      </c>
      <c r="C93" s="147">
        <f>ROUND('[1]4%'!G92,0)</f>
        <v>56968</v>
      </c>
      <c r="D93" s="147">
        <f>ROUND('[1]4%'!H92,0)</f>
        <v>3032</v>
      </c>
      <c r="E93" s="147">
        <f t="shared" si="41"/>
        <v>56968</v>
      </c>
      <c r="F93" s="147"/>
      <c r="G93" s="147"/>
      <c r="H93" s="147">
        <f t="shared" si="42"/>
        <v>3032</v>
      </c>
      <c r="I93" s="147"/>
      <c r="J93" s="147"/>
      <c r="K93" s="147"/>
      <c r="L93" s="147"/>
      <c r="M93" s="147"/>
      <c r="N93" s="147"/>
      <c r="O93" s="147"/>
      <c r="P93" s="147"/>
      <c r="Q93" s="147"/>
      <c r="R93" s="516">
        <f t="shared" si="43"/>
        <v>60000</v>
      </c>
      <c r="S93" s="147">
        <f>C93</f>
        <v>56968</v>
      </c>
      <c r="T93" s="147"/>
      <c r="U93" s="143"/>
    </row>
    <row r="94" spans="1:21" s="144" customFormat="1">
      <c r="A94" s="1143" t="s">
        <v>34</v>
      </c>
      <c r="B94" s="146">
        <f t="shared" si="40"/>
        <v>0</v>
      </c>
      <c r="C94" s="147"/>
      <c r="D94" s="147"/>
      <c r="E94" s="147">
        <f t="shared" si="41"/>
        <v>0</v>
      </c>
      <c r="F94" s="147"/>
      <c r="G94" s="147"/>
      <c r="H94" s="147">
        <f t="shared" si="42"/>
        <v>0</v>
      </c>
      <c r="I94" s="147"/>
      <c r="J94" s="147"/>
      <c r="K94" s="147"/>
      <c r="L94" s="147"/>
      <c r="M94" s="147"/>
      <c r="N94" s="147"/>
      <c r="O94" s="147"/>
      <c r="P94" s="147"/>
      <c r="Q94" s="147"/>
      <c r="R94" s="516">
        <f t="shared" si="43"/>
        <v>0</v>
      </c>
      <c r="S94" s="147"/>
      <c r="T94" s="147"/>
      <c r="U94" s="143"/>
    </row>
    <row r="95" spans="1:21" s="144" customFormat="1">
      <c r="A95" s="1143" t="s">
        <v>34</v>
      </c>
      <c r="B95" s="146">
        <f t="shared" si="40"/>
        <v>0</v>
      </c>
      <c r="C95" s="147"/>
      <c r="D95" s="147"/>
      <c r="E95" s="147">
        <f t="shared" si="41"/>
        <v>0</v>
      </c>
      <c r="F95" s="147"/>
      <c r="G95" s="147"/>
      <c r="H95" s="147">
        <f t="shared" si="42"/>
        <v>0</v>
      </c>
      <c r="I95" s="147"/>
      <c r="J95" s="147"/>
      <c r="K95" s="147"/>
      <c r="L95" s="147"/>
      <c r="M95" s="147"/>
      <c r="N95" s="147"/>
      <c r="O95" s="147"/>
      <c r="P95" s="147"/>
      <c r="Q95" s="147"/>
      <c r="R95" s="516">
        <f t="shared" si="43"/>
        <v>0</v>
      </c>
      <c r="S95" s="147"/>
      <c r="T95" s="147"/>
      <c r="U95" s="143"/>
    </row>
    <row r="96" spans="1:21" s="144" customFormat="1" ht="12">
      <c r="A96" s="149" t="s">
        <v>773</v>
      </c>
      <c r="B96" s="146">
        <f>SUM(C96:D96)</f>
        <v>8778369</v>
      </c>
      <c r="C96" s="146">
        <f t="shared" ref="C96:R96" si="44">SUM(C83:C95)</f>
        <v>8390874</v>
      </c>
      <c r="D96" s="146">
        <f t="shared" si="44"/>
        <v>387495</v>
      </c>
      <c r="E96" s="146">
        <f t="shared" si="44"/>
        <v>8390874</v>
      </c>
      <c r="F96" s="146">
        <f t="shared" si="44"/>
        <v>0</v>
      </c>
      <c r="G96" s="146">
        <f t="shared" si="44"/>
        <v>0</v>
      </c>
      <c r="H96" s="146">
        <f t="shared" si="44"/>
        <v>387495</v>
      </c>
      <c r="I96" s="146">
        <f t="shared" si="44"/>
        <v>0</v>
      </c>
      <c r="J96" s="146">
        <f t="shared" si="44"/>
        <v>0</v>
      </c>
      <c r="K96" s="146">
        <f t="shared" si="44"/>
        <v>0</v>
      </c>
      <c r="L96" s="146">
        <f t="shared" si="44"/>
        <v>0</v>
      </c>
      <c r="M96" s="146">
        <f t="shared" si="44"/>
        <v>0</v>
      </c>
      <c r="N96" s="146">
        <f t="shared" si="44"/>
        <v>0</v>
      </c>
      <c r="O96" s="146">
        <f t="shared" si="44"/>
        <v>0</v>
      </c>
      <c r="P96" s="146">
        <f t="shared" si="44"/>
        <v>0</v>
      </c>
      <c r="Q96" s="146">
        <f t="shared" si="44"/>
        <v>0</v>
      </c>
      <c r="R96" s="342">
        <f t="shared" si="44"/>
        <v>8778369</v>
      </c>
      <c r="S96" s="150">
        <f>SUM(S84:S87,S89:S95)</f>
        <v>7369412</v>
      </c>
      <c r="T96" s="146">
        <f>SUM(T84:T87,T89:T95)</f>
        <v>0</v>
      </c>
      <c r="U96" s="143"/>
    </row>
    <row r="97" spans="1:21" s="144" customFormat="1" ht="12">
      <c r="A97" s="149" t="s">
        <v>774</v>
      </c>
      <c r="B97" s="146">
        <f>SUM(C97:D97)</f>
        <v>176575881</v>
      </c>
      <c r="C97" s="146">
        <f t="shared" ref="C97:R97" si="45">SUM(C63+C70+C77+C81+C96)</f>
        <v>168184755</v>
      </c>
      <c r="D97" s="146">
        <f t="shared" si="45"/>
        <v>8391126</v>
      </c>
      <c r="E97" s="146">
        <f t="shared" si="45"/>
        <v>68441953</v>
      </c>
      <c r="F97" s="146">
        <f t="shared" si="45"/>
        <v>48787800</v>
      </c>
      <c r="G97" s="146">
        <f t="shared" si="45"/>
        <v>48249556</v>
      </c>
      <c r="H97" s="146">
        <f t="shared" si="45"/>
        <v>8391126</v>
      </c>
      <c r="I97" s="146">
        <f t="shared" si="45"/>
        <v>2705446</v>
      </c>
      <c r="J97" s="146">
        <f t="shared" si="45"/>
        <v>0</v>
      </c>
      <c r="K97" s="146">
        <f t="shared" si="45"/>
        <v>0</v>
      </c>
      <c r="L97" s="146">
        <f t="shared" si="45"/>
        <v>0</v>
      </c>
      <c r="M97" s="146">
        <f t="shared" si="45"/>
        <v>0</v>
      </c>
      <c r="N97" s="146">
        <f t="shared" si="45"/>
        <v>0</v>
      </c>
      <c r="O97" s="146">
        <f t="shared" si="45"/>
        <v>0</v>
      </c>
      <c r="P97" s="146">
        <f t="shared" si="45"/>
        <v>0</v>
      </c>
      <c r="Q97" s="146">
        <f t="shared" si="45"/>
        <v>0</v>
      </c>
      <c r="R97" s="146">
        <f t="shared" si="45"/>
        <v>176575881</v>
      </c>
      <c r="S97" s="146">
        <f>SUM(S63+S70+S81+S96)</f>
        <v>156397820</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23459670</v>
      </c>
      <c r="C99" s="974">
        <f>ROUND('[1]4%'!$G$106,0)</f>
        <v>22211129</v>
      </c>
      <c r="D99" s="974">
        <f>ROUND('[1]4%'!$H$106-2,0)</f>
        <v>1248541</v>
      </c>
      <c r="E99" s="974">
        <f t="shared" ref="E99:E103" si="46">B99-SUM(F99:Q99)</f>
        <v>7456902</v>
      </c>
      <c r="F99" s="147"/>
      <c r="G99" s="147"/>
      <c r="H99" s="147">
        <f t="shared" ref="H99:H103" si="47">D99</f>
        <v>1248541</v>
      </c>
      <c r="I99" s="147"/>
      <c r="J99" s="147">
        <f>ROUND(Application!AO639,0)</f>
        <v>14754227</v>
      </c>
      <c r="K99" s="147"/>
      <c r="L99" s="147"/>
      <c r="M99" s="147"/>
      <c r="N99" s="147"/>
      <c r="O99" s="147"/>
      <c r="P99" s="147"/>
      <c r="Q99" s="147"/>
      <c r="R99" s="516">
        <f>SUM(E99:Q99)</f>
        <v>23459670</v>
      </c>
      <c r="S99" s="147">
        <f>C99</f>
        <v>22211129</v>
      </c>
      <c r="T99" s="147"/>
      <c r="U99" s="143"/>
    </row>
    <row r="100" spans="1:21" s="144" customFormat="1">
      <c r="A100" s="283" t="s">
        <v>1634</v>
      </c>
      <c r="B100" s="146">
        <f>SUM(C100+D100)</f>
        <v>0</v>
      </c>
      <c r="C100" s="147"/>
      <c r="D100" s="147"/>
      <c r="E100" s="147">
        <f t="shared" si="46"/>
        <v>0</v>
      </c>
      <c r="F100" s="147"/>
      <c r="G100" s="147"/>
      <c r="H100" s="147">
        <f t="shared" si="47"/>
        <v>0</v>
      </c>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f t="shared" si="46"/>
        <v>0</v>
      </c>
      <c r="F101" s="147"/>
      <c r="G101" s="147"/>
      <c r="H101" s="147">
        <f t="shared" si="47"/>
        <v>0</v>
      </c>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f t="shared" si="46"/>
        <v>0</v>
      </c>
      <c r="F102" s="147"/>
      <c r="G102" s="147"/>
      <c r="H102" s="147">
        <f t="shared" si="47"/>
        <v>0</v>
      </c>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f t="shared" si="46"/>
        <v>0</v>
      </c>
      <c r="F103" s="147"/>
      <c r="G103" s="147"/>
      <c r="H103" s="147">
        <f t="shared" si="47"/>
        <v>0</v>
      </c>
      <c r="I103" s="147"/>
      <c r="J103" s="147"/>
      <c r="K103" s="147"/>
      <c r="L103" s="147"/>
      <c r="M103" s="147"/>
      <c r="N103" s="147"/>
      <c r="O103" s="147"/>
      <c r="P103" s="147"/>
      <c r="Q103" s="147"/>
      <c r="R103" s="516">
        <f>SUM(E103:Q103)</f>
        <v>0</v>
      </c>
      <c r="S103" s="147"/>
      <c r="T103" s="147"/>
      <c r="U103" s="143"/>
    </row>
    <row r="104" spans="1:21" s="144" customFormat="1" ht="12">
      <c r="A104" s="149" t="s">
        <v>778</v>
      </c>
      <c r="B104" s="146">
        <f>SUM(C104:D104)</f>
        <v>23459670</v>
      </c>
      <c r="C104" s="146">
        <f>SUM(C99:C103)</f>
        <v>22211129</v>
      </c>
      <c r="D104" s="146">
        <f t="shared" ref="D104:T104" si="48">SUM(D99:D103)</f>
        <v>1248541</v>
      </c>
      <c r="E104" s="146">
        <f t="shared" si="48"/>
        <v>7456902</v>
      </c>
      <c r="F104" s="146">
        <f t="shared" si="48"/>
        <v>0</v>
      </c>
      <c r="G104" s="146">
        <f t="shared" si="48"/>
        <v>0</v>
      </c>
      <c r="H104" s="146">
        <f t="shared" si="48"/>
        <v>1248541</v>
      </c>
      <c r="I104" s="146">
        <f t="shared" si="48"/>
        <v>0</v>
      </c>
      <c r="J104" s="146">
        <f t="shared" si="48"/>
        <v>14754227</v>
      </c>
      <c r="K104" s="146">
        <f t="shared" si="48"/>
        <v>0</v>
      </c>
      <c r="L104" s="146">
        <f t="shared" si="48"/>
        <v>0</v>
      </c>
      <c r="M104" s="146">
        <f t="shared" si="48"/>
        <v>0</v>
      </c>
      <c r="N104" s="146">
        <f t="shared" si="48"/>
        <v>0</v>
      </c>
      <c r="O104" s="146">
        <f t="shared" si="48"/>
        <v>0</v>
      </c>
      <c r="P104" s="146">
        <f t="shared" si="48"/>
        <v>0</v>
      </c>
      <c r="Q104" s="146">
        <f t="shared" si="48"/>
        <v>0</v>
      </c>
      <c r="R104" s="342">
        <f t="shared" si="48"/>
        <v>23459670</v>
      </c>
      <c r="S104" s="150">
        <f t="shared" si="48"/>
        <v>22211129</v>
      </c>
      <c r="T104" s="150">
        <f t="shared" si="48"/>
        <v>0</v>
      </c>
      <c r="U104" s="143"/>
    </row>
    <row r="105" spans="1:21" s="144" customFormat="1" ht="12">
      <c r="A105" s="149" t="s">
        <v>779</v>
      </c>
      <c r="B105" s="150">
        <f>SUM(C105:D105)</f>
        <v>200035551</v>
      </c>
      <c r="C105" s="150">
        <f t="shared" ref="C105:R105" si="49">SUM(C97+C104)</f>
        <v>190395884</v>
      </c>
      <c r="D105" s="150">
        <f t="shared" si="49"/>
        <v>9639667</v>
      </c>
      <c r="E105" s="150">
        <f t="shared" si="49"/>
        <v>75898855</v>
      </c>
      <c r="F105" s="150">
        <f t="shared" si="49"/>
        <v>48787800</v>
      </c>
      <c r="G105" s="150">
        <f t="shared" si="49"/>
        <v>48249556</v>
      </c>
      <c r="H105" s="150">
        <f t="shared" si="49"/>
        <v>9639667</v>
      </c>
      <c r="I105" s="150">
        <f t="shared" si="49"/>
        <v>2705446</v>
      </c>
      <c r="J105" s="150">
        <f t="shared" si="49"/>
        <v>14754227</v>
      </c>
      <c r="K105" s="150">
        <f t="shared" si="49"/>
        <v>0</v>
      </c>
      <c r="L105" s="150">
        <f t="shared" si="49"/>
        <v>0</v>
      </c>
      <c r="M105" s="150">
        <f t="shared" si="49"/>
        <v>0</v>
      </c>
      <c r="N105" s="150">
        <f t="shared" si="49"/>
        <v>0</v>
      </c>
      <c r="O105" s="150">
        <f t="shared" si="49"/>
        <v>0</v>
      </c>
      <c r="P105" s="150">
        <f t="shared" si="49"/>
        <v>0</v>
      </c>
      <c r="Q105" s="150">
        <f t="shared" si="49"/>
        <v>0</v>
      </c>
      <c r="R105" s="342">
        <f t="shared" si="49"/>
        <v>200035551</v>
      </c>
      <c r="S105" s="150">
        <f>S97+S104</f>
        <v>178608949</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178608949</v>
      </c>
      <c r="T107" s="150">
        <f>T105+T106</f>
        <v>0</v>
      </c>
    </row>
    <row r="108" spans="1:21" s="189" customFormat="1" ht="12">
      <c r="A108" s="162" t="s">
        <v>878</v>
      </c>
      <c r="B108" s="157"/>
      <c r="C108" s="157"/>
      <c r="D108" s="157"/>
      <c r="E108" s="301">
        <f>Application!AO648</f>
        <v>75898855</v>
      </c>
      <c r="F108" s="301">
        <f>Application!AO635</f>
        <v>48787800</v>
      </c>
      <c r="G108" s="301">
        <f>Application!AO636</f>
        <v>48249556</v>
      </c>
      <c r="H108" s="301">
        <f>Application!AO637</f>
        <v>9639667</v>
      </c>
      <c r="I108" s="301">
        <f>Application!AO638</f>
        <v>2705446</v>
      </c>
      <c r="J108" s="301">
        <f>Application!AO639</f>
        <v>14754227</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2051</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1880" t="s">
        <v>989</v>
      </c>
      <c r="E122" s="1880"/>
      <c r="F122" s="1880"/>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2" t="s">
        <v>1223</v>
      </c>
      <c r="E123" s="1566"/>
      <c r="F123" s="1566"/>
      <c r="G123" s="1566"/>
      <c r="H123" s="1566"/>
      <c r="I123" s="1566"/>
      <c r="J123" s="1566"/>
      <c r="K123" s="1566"/>
      <c r="L123" s="1566"/>
      <c r="M123" s="1566"/>
      <c r="N123" s="1566"/>
      <c r="O123" s="1566"/>
      <c r="P123" s="1566"/>
      <c r="Q123" s="1566"/>
      <c r="R123" s="1566"/>
      <c r="S123" s="1566"/>
      <c r="T123" s="324"/>
      <c r="U123" s="326"/>
    </row>
    <row r="124" spans="1:21" ht="13.2">
      <c r="A124" s="117" t="s">
        <v>991</v>
      </c>
      <c r="B124" s="333"/>
      <c r="C124" s="117"/>
      <c r="D124" s="1566"/>
      <c r="E124" s="1566"/>
      <c r="F124" s="1566"/>
      <c r="G124" s="1566"/>
      <c r="H124" s="1566"/>
      <c r="I124" s="1566"/>
      <c r="J124" s="1566"/>
      <c r="K124" s="1566"/>
      <c r="L124" s="1566"/>
      <c r="M124" s="1566"/>
      <c r="N124" s="1566"/>
      <c r="O124" s="1566"/>
      <c r="P124" s="1566"/>
      <c r="Q124" s="1566"/>
      <c r="R124" s="1566"/>
      <c r="S124" s="1566"/>
      <c r="T124" s="324"/>
      <c r="U124" s="326"/>
    </row>
    <row r="125" spans="1:21" ht="13.2">
      <c r="A125" s="117" t="s">
        <v>992</v>
      </c>
      <c r="B125" s="333"/>
      <c r="C125" s="117"/>
      <c r="D125" s="1566"/>
      <c r="E125" s="1566"/>
      <c r="F125" s="1566"/>
      <c r="G125" s="1566"/>
      <c r="H125" s="1566"/>
      <c r="I125" s="1566"/>
      <c r="J125" s="1566"/>
      <c r="K125" s="1566"/>
      <c r="L125" s="1566"/>
      <c r="M125" s="1566"/>
      <c r="N125" s="1566"/>
      <c r="O125" s="1566"/>
      <c r="P125" s="1566"/>
      <c r="Q125" s="1566"/>
      <c r="R125" s="1566"/>
      <c r="S125" s="1566"/>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1875"/>
      <c r="E128" s="1875"/>
      <c r="F128" s="1875"/>
      <c r="G128" s="1875"/>
      <c r="H128" s="1875"/>
      <c r="I128" s="117"/>
      <c r="J128" s="1871"/>
      <c r="K128" s="1871"/>
      <c r="L128" s="117"/>
      <c r="M128" s="117"/>
      <c r="N128" s="117"/>
      <c r="O128" s="117"/>
      <c r="P128" s="117"/>
      <c r="Q128" s="117"/>
      <c r="R128" s="117"/>
      <c r="S128" s="117"/>
      <c r="T128" s="324"/>
      <c r="U128" s="326"/>
    </row>
    <row r="129" spans="1:21" ht="13.2">
      <c r="A129" s="117" t="s">
        <v>299</v>
      </c>
      <c r="B129" s="333"/>
      <c r="C129" s="117"/>
      <c r="D129" s="1879" t="s">
        <v>996</v>
      </c>
      <c r="E129" s="1879"/>
      <c r="F129" s="1879"/>
      <c r="G129" s="1879"/>
      <c r="H129" s="1879"/>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1537"/>
      <c r="E131" s="1537"/>
      <c r="F131" s="1537"/>
      <c r="G131" s="1537"/>
      <c r="H131" s="1537"/>
      <c r="I131" s="117"/>
      <c r="J131" s="1537"/>
      <c r="K131" s="1537"/>
      <c r="L131" s="1537"/>
      <c r="M131" s="1537"/>
      <c r="N131" s="117"/>
      <c r="O131" s="117"/>
      <c r="P131" s="117"/>
      <c r="Q131" s="117"/>
      <c r="R131" s="117"/>
      <c r="S131" s="117"/>
      <c r="T131" s="324"/>
      <c r="U131" s="326"/>
    </row>
    <row r="132" spans="1:21" ht="12" customHeight="1">
      <c r="A132" s="336"/>
      <c r="B132" s="117"/>
      <c r="C132" s="117"/>
      <c r="D132" s="1873" t="s">
        <v>999</v>
      </c>
      <c r="E132" s="1873"/>
      <c r="F132" s="1873"/>
      <c r="G132" s="1873"/>
      <c r="H132" s="1873"/>
      <c r="I132" s="117"/>
      <c r="J132" s="1873" t="s">
        <v>1000</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75"/>
      <c r="C138" s="1875"/>
      <c r="D138" s="328"/>
      <c r="E138" s="1871"/>
      <c r="F138" s="1871"/>
      <c r="G138" s="117"/>
      <c r="H138" s="117"/>
      <c r="I138" s="117"/>
      <c r="J138" s="117"/>
      <c r="K138" s="117"/>
      <c r="L138" s="117"/>
      <c r="M138" s="117"/>
      <c r="N138" s="117"/>
      <c r="O138" s="117"/>
      <c r="P138" s="117"/>
      <c r="Q138" s="117"/>
      <c r="R138" s="117"/>
      <c r="S138" s="117"/>
      <c r="T138" s="330"/>
      <c r="U138" s="331"/>
    </row>
    <row r="139" spans="1:21" ht="13.2">
      <c r="A139" s="1870" t="s">
        <v>1003</v>
      </c>
      <c r="B139" s="1870"/>
      <c r="C139" s="1870"/>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83" t="s">
        <v>1226</v>
      </c>
      <c r="B1" s="1884"/>
      <c r="C1" s="1884"/>
      <c r="D1" s="1884"/>
      <c r="E1" s="1884"/>
      <c r="F1" s="1884"/>
      <c r="G1" s="1884"/>
      <c r="H1" s="1884"/>
      <c r="I1" s="1884"/>
      <c r="J1" s="1885"/>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2</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50000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50002</v>
      </c>
      <c r="C8" s="361">
        <f>SUM(C4:C7)</f>
        <v>0</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11895765</v>
      </c>
      <c r="C10" s="362"/>
      <c r="D10" s="362"/>
      <c r="E10" s="361">
        <f>'Sources and Uses Budget'!S10</f>
        <v>11895765</v>
      </c>
      <c r="F10" s="362"/>
      <c r="G10" s="362"/>
      <c r="H10" s="361">
        <f>'Sources and Uses Budget'!T10</f>
        <v>0</v>
      </c>
      <c r="I10" s="362"/>
      <c r="J10" s="362"/>
      <c r="K10" s="359"/>
    </row>
    <row r="11" spans="1:11" s="360" customFormat="1">
      <c r="A11" s="365" t="s">
        <v>595</v>
      </c>
      <c r="B11" s="361">
        <f>'Sources and Uses Budget'!C11</f>
        <v>11895765</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11945767</v>
      </c>
      <c r="C12" s="361">
        <f>SUM(C8+C11)</f>
        <v>0</v>
      </c>
      <c r="D12" s="361">
        <f>SUM(D8+D11)</f>
        <v>0</v>
      </c>
      <c r="E12" s="363"/>
      <c r="F12" s="363"/>
      <c r="G12" s="363"/>
      <c r="H12" s="363"/>
      <c r="I12" s="363"/>
      <c r="J12" s="363"/>
      <c r="K12" s="359"/>
    </row>
    <row r="13" spans="1:11" s="360" customFormat="1" ht="11.4">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3739778</v>
      </c>
      <c r="C29" s="362"/>
      <c r="D29" s="362"/>
      <c r="E29" s="361">
        <f>'Sources and Uses Budget'!S29</f>
        <v>3739778</v>
      </c>
      <c r="F29" s="362"/>
      <c r="G29" s="362"/>
      <c r="H29" s="361">
        <f>'Sources and Uses Budget'!T29</f>
        <v>0</v>
      </c>
      <c r="I29" s="362"/>
      <c r="J29" s="362"/>
      <c r="K29" s="359"/>
    </row>
    <row r="30" spans="1:11" s="360" customFormat="1" ht="11.4">
      <c r="A30" s="145" t="s">
        <v>598</v>
      </c>
      <c r="B30" s="361">
        <f>'Sources and Uses Budget'!C30</f>
        <v>92613292</v>
      </c>
      <c r="C30" s="362"/>
      <c r="D30" s="362"/>
      <c r="E30" s="361">
        <f>'Sources and Uses Budget'!S30</f>
        <v>92613292</v>
      </c>
      <c r="F30" s="362"/>
      <c r="G30" s="362"/>
      <c r="H30" s="361">
        <f>'Sources and Uses Budget'!T30</f>
        <v>0</v>
      </c>
      <c r="I30" s="362"/>
      <c r="J30" s="362"/>
      <c r="K30" s="359"/>
    </row>
    <row r="31" spans="1:11" s="360" customFormat="1" ht="11.4">
      <c r="A31" s="145" t="s">
        <v>599</v>
      </c>
      <c r="B31" s="361">
        <f>'Sources and Uses Budget'!C31</f>
        <v>5644363</v>
      </c>
      <c r="C31" s="362"/>
      <c r="D31" s="362"/>
      <c r="E31" s="361">
        <f>'Sources and Uses Budget'!S31</f>
        <v>5644363</v>
      </c>
      <c r="F31" s="362"/>
      <c r="G31" s="362"/>
      <c r="H31" s="361">
        <f>'Sources and Uses Budget'!T31</f>
        <v>0</v>
      </c>
      <c r="I31" s="362"/>
      <c r="J31" s="362"/>
      <c r="K31" s="359"/>
    </row>
    <row r="32" spans="1:11" s="360" customFormat="1" ht="11.4">
      <c r="A32" s="145" t="s">
        <v>137</v>
      </c>
      <c r="B32" s="361">
        <f>'Sources and Uses Budget'!C32</f>
        <v>1615423</v>
      </c>
      <c r="C32" s="362"/>
      <c r="D32" s="362"/>
      <c r="E32" s="361">
        <f>'Sources and Uses Budget'!S32</f>
        <v>1615423</v>
      </c>
      <c r="F32" s="362"/>
      <c r="G32" s="362"/>
      <c r="H32" s="361">
        <f>'Sources and Uses Budget'!T32</f>
        <v>0</v>
      </c>
      <c r="I32" s="362"/>
      <c r="J32" s="362"/>
      <c r="K32" s="359"/>
    </row>
    <row r="33" spans="1:11" s="360" customFormat="1" ht="11.4">
      <c r="A33" s="145" t="s">
        <v>138</v>
      </c>
      <c r="B33" s="361">
        <f>'Sources and Uses Budget'!C33</f>
        <v>1615423</v>
      </c>
      <c r="C33" s="362"/>
      <c r="D33" s="362"/>
      <c r="E33" s="361">
        <f>'Sources and Uses Budget'!S33</f>
        <v>1615423</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2067258</v>
      </c>
      <c r="C35" s="362"/>
      <c r="D35" s="362"/>
      <c r="E35" s="361">
        <f>'Sources and Uses Budget'!S35</f>
        <v>2067258</v>
      </c>
      <c r="F35" s="362"/>
      <c r="G35" s="362"/>
      <c r="H35" s="361">
        <f>'Sources and Uses Budget'!T35</f>
        <v>0</v>
      </c>
      <c r="I35" s="362"/>
      <c r="J35" s="362"/>
      <c r="K35" s="359"/>
    </row>
    <row r="36" spans="1:11" s="360" customFormat="1" ht="11.4">
      <c r="A36" s="508" t="s">
        <v>1628</v>
      </c>
      <c r="B36" s="361">
        <f>'Sources and Uses Budget'!C36</f>
        <v>1893558</v>
      </c>
      <c r="C36" s="362"/>
      <c r="D36" s="362"/>
      <c r="E36" s="361">
        <f>'Sources and Uses Budget'!S36</f>
        <v>1080000</v>
      </c>
      <c r="F36" s="362"/>
      <c r="G36" s="362"/>
      <c r="H36" s="361">
        <f>'Sources and Uses Budget'!T36</f>
        <v>0</v>
      </c>
      <c r="I36" s="362"/>
      <c r="J36" s="362"/>
      <c r="K36" s="359"/>
    </row>
    <row r="37" spans="1:11" s="360" customFormat="1" ht="22.8">
      <c r="A37" s="364" t="str">
        <f>'Sources and Uses Budget'!$A37</f>
        <v>Other: GC and Escalation/Design Contingency</v>
      </c>
      <c r="B37" s="361">
        <f>'Sources and Uses Budget'!C37</f>
        <v>4502951</v>
      </c>
      <c r="C37" s="362"/>
      <c r="D37" s="362"/>
      <c r="E37" s="361">
        <f>'Sources and Uses Budget'!S37</f>
        <v>4502951</v>
      </c>
      <c r="F37" s="362"/>
      <c r="G37" s="362"/>
      <c r="H37" s="361">
        <f>'Sources and Uses Budget'!T37</f>
        <v>0</v>
      </c>
      <c r="I37" s="362"/>
      <c r="J37" s="362"/>
      <c r="K37" s="359"/>
    </row>
    <row r="38" spans="1:11" s="360" customFormat="1">
      <c r="A38" s="365" t="s">
        <v>143</v>
      </c>
      <c r="B38" s="361">
        <f>'Sources and Uses Budget'!C38</f>
        <v>113692046</v>
      </c>
      <c r="C38" s="361">
        <f>SUM(C29:C37)</f>
        <v>0</v>
      </c>
      <c r="D38" s="361">
        <f>SUM(D29:D37)</f>
        <v>0</v>
      </c>
      <c r="E38" s="361">
        <f>'Sources and Uses Budget'!S38</f>
        <v>112878488</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5151109</v>
      </c>
      <c r="C40" s="362"/>
      <c r="D40" s="362"/>
      <c r="E40" s="361">
        <f>'Sources and Uses Budget'!S40</f>
        <v>5151109</v>
      </c>
      <c r="F40" s="362"/>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5151109</v>
      </c>
      <c r="C42" s="361">
        <f>SUM(C39:C41)</f>
        <v>0</v>
      </c>
      <c r="D42" s="361">
        <f>SUM(D39:D41)</f>
        <v>0</v>
      </c>
      <c r="E42" s="361">
        <f>'Sources and Uses Budget'!S42</f>
        <v>5151109</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13420738</v>
      </c>
      <c r="C45" s="362"/>
      <c r="D45" s="362"/>
      <c r="E45" s="361">
        <f>'Sources and Uses Budget'!S45</f>
        <v>7226551</v>
      </c>
      <c r="F45" s="362"/>
      <c r="G45" s="362"/>
      <c r="H45" s="361">
        <f>'Sources and Uses Budget'!T45</f>
        <v>0</v>
      </c>
      <c r="I45" s="362"/>
      <c r="J45" s="362"/>
      <c r="K45" s="359"/>
    </row>
    <row r="46" spans="1:11" s="360" customFormat="1" ht="11.4">
      <c r="A46" s="364" t="s">
        <v>151</v>
      </c>
      <c r="B46" s="361">
        <f>'Sources and Uses Budget'!C46</f>
        <v>1132655</v>
      </c>
      <c r="C46" s="362"/>
      <c r="D46" s="362"/>
      <c r="E46" s="361">
        <f>'Sources and Uses Budget'!S46</f>
        <v>146826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424657</v>
      </c>
      <c r="C49" s="362"/>
      <c r="D49" s="362"/>
      <c r="E49" s="361">
        <f>'Sources and Uses Budget'!S49</f>
        <v>55048</v>
      </c>
      <c r="F49" s="362"/>
      <c r="G49" s="362"/>
      <c r="H49" s="361">
        <f>'Sources and Uses Budget'!T49</f>
        <v>0</v>
      </c>
      <c r="I49" s="362"/>
      <c r="J49" s="362"/>
      <c r="K49" s="359"/>
    </row>
    <row r="50" spans="1:11" s="360" customFormat="1" ht="11.4">
      <c r="A50" s="364" t="s">
        <v>156</v>
      </c>
      <c r="B50" s="361">
        <f>'Sources and Uses Budget'!C50</f>
        <v>94678</v>
      </c>
      <c r="C50" s="362"/>
      <c r="D50" s="362"/>
      <c r="E50" s="361">
        <f>'Sources and Uses Budget'!S50</f>
        <v>94678</v>
      </c>
      <c r="F50" s="362"/>
      <c r="G50" s="362"/>
      <c r="H50" s="361">
        <f>'Sources and Uses Budget'!T50</f>
        <v>0</v>
      </c>
      <c r="I50" s="362"/>
      <c r="J50" s="362"/>
      <c r="K50" s="359"/>
    </row>
    <row r="51" spans="1:11" s="360" customFormat="1" ht="11.4">
      <c r="A51" s="364" t="s">
        <v>154</v>
      </c>
      <c r="B51" s="361">
        <f>'Sources and Uses Budget'!C51</f>
        <v>33147</v>
      </c>
      <c r="C51" s="362"/>
      <c r="D51" s="362"/>
      <c r="E51" s="361">
        <f>'Sources and Uses Budget'!S51</f>
        <v>33147</v>
      </c>
      <c r="F51" s="362"/>
      <c r="G51" s="362"/>
      <c r="H51" s="361">
        <f>'Sources and Uses Budget'!T51</f>
        <v>0</v>
      </c>
      <c r="I51" s="362"/>
      <c r="J51" s="362"/>
      <c r="K51" s="359"/>
    </row>
    <row r="52" spans="1:11" s="360" customFormat="1" ht="11.4">
      <c r="A52" s="364" t="s">
        <v>155</v>
      </c>
      <c r="B52" s="361">
        <f>'Sources and Uses Budget'!C52</f>
        <v>4180905</v>
      </c>
      <c r="C52" s="362"/>
      <c r="D52" s="362"/>
      <c r="E52" s="361">
        <f>'Sources and Uses Budget'!S52</f>
        <v>4180905</v>
      </c>
      <c r="F52" s="362"/>
      <c r="G52" s="362"/>
      <c r="H52" s="361">
        <f>'Sources and Uses Budget'!T52</f>
        <v>0</v>
      </c>
      <c r="I52" s="362"/>
      <c r="J52" s="362"/>
      <c r="K52" s="359"/>
    </row>
    <row r="53" spans="1:11" s="360" customFormat="1" ht="11.4">
      <c r="A53" s="364" t="str">
        <f>'Sources and Uses Budget'!$A53</f>
        <v>Other: Lender Expenses</v>
      </c>
      <c r="B53" s="361">
        <f>'Sources and Uses Budget'!C53</f>
        <v>116400</v>
      </c>
      <c r="C53" s="362"/>
      <c r="D53" s="362"/>
      <c r="E53" s="361">
        <f>'Sources and Uses Budget'!S53</f>
        <v>15089</v>
      </c>
      <c r="F53" s="362"/>
      <c r="G53" s="362"/>
      <c r="H53" s="361">
        <f>'Sources and Uses Budget'!T53</f>
        <v>0</v>
      </c>
      <c r="I53" s="362"/>
      <c r="J53" s="362"/>
      <c r="K53" s="359"/>
    </row>
    <row r="54" spans="1:11" s="369" customFormat="1">
      <c r="A54" s="365" t="s">
        <v>157</v>
      </c>
      <c r="B54" s="361">
        <f>'Sources and Uses Budget'!C54</f>
        <v>19403180</v>
      </c>
      <c r="C54" s="367">
        <f>SUM(C45:C53)</f>
        <v>0</v>
      </c>
      <c r="D54" s="367">
        <f>SUM(D45:D53)</f>
        <v>0</v>
      </c>
      <c r="E54" s="361">
        <f>'Sources and Uses Budget'!S54</f>
        <v>11752244</v>
      </c>
      <c r="F54" s="367">
        <f>SUM(F45:F53)</f>
        <v>0</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487878</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50000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Lender Expenses and Legal</v>
      </c>
      <c r="B61" s="361">
        <f>'Sources and Uses Budget'!C61</f>
        <v>140000</v>
      </c>
      <c r="C61" s="362"/>
      <c r="D61" s="362"/>
      <c r="E61" s="363"/>
      <c r="F61" s="363"/>
      <c r="G61" s="363"/>
      <c r="H61" s="363"/>
      <c r="I61" s="363"/>
      <c r="J61" s="363"/>
      <c r="K61" s="359"/>
    </row>
    <row r="62" spans="1:11" s="360" customFormat="1" ht="13.65" customHeight="1">
      <c r="A62" s="365" t="s">
        <v>300</v>
      </c>
      <c r="B62" s="361">
        <f>'Sources and Uses Budget'!C62</f>
        <v>677878</v>
      </c>
      <c r="C62" s="361">
        <f>SUM(C56:C61)</f>
        <v>0</v>
      </c>
      <c r="D62" s="361">
        <f>SUM(D56:D61)</f>
        <v>0</v>
      </c>
      <c r="E62" s="363"/>
      <c r="F62" s="363"/>
      <c r="G62" s="363"/>
      <c r="H62" s="363"/>
      <c r="I62" s="363"/>
      <c r="J62" s="363"/>
      <c r="K62" s="359"/>
    </row>
    <row r="63" spans="1:11" s="360" customFormat="1" ht="11.4">
      <c r="A63" s="370" t="s">
        <v>301</v>
      </c>
      <c r="B63" s="361">
        <f>'Sources and Uses Budget'!C63</f>
        <v>150869980</v>
      </c>
      <c r="C63" s="361">
        <f>SUM(C8+C11+C13+C14+C15+C26+C27+C38+C42+C43+C54+C62)</f>
        <v>0</v>
      </c>
      <c r="D63" s="361">
        <f>SUM(D8+D11+D13+D14+D15+D26+D27+D38+D42+D43+D54+D62)</f>
        <v>0</v>
      </c>
      <c r="E63" s="361">
        <f>'Sources and Uses Budget'!S63</f>
        <v>141677606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ht="11.4">
      <c r="A65" s="145" t="s">
        <v>170</v>
      </c>
      <c r="B65" s="361">
        <f>'Sources and Uses Budget'!C65</f>
        <v>130000</v>
      </c>
      <c r="C65" s="362"/>
      <c r="D65" s="362"/>
      <c r="E65" s="361">
        <f>'Sources and Uses Budget'!S65</f>
        <v>16852</v>
      </c>
      <c r="F65" s="362"/>
      <c r="G65" s="362"/>
      <c r="H65" s="361">
        <f>'Sources and Uses Budget'!T65</f>
        <v>0</v>
      </c>
      <c r="I65" s="362"/>
      <c r="J65" s="362"/>
      <c r="K65" s="359"/>
    </row>
    <row r="66" spans="1:11" s="360" customFormat="1" ht="22.8">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Sponsor Legal</v>
      </c>
      <c r="B69" s="361">
        <f>'Sources and Uses Budget'!C69</f>
        <v>71008</v>
      </c>
      <c r="C69" s="362"/>
      <c r="D69" s="362"/>
      <c r="E69" s="361">
        <f>'Sources and Uses Budget'!S69</f>
        <v>71008</v>
      </c>
      <c r="F69" s="362"/>
      <c r="G69" s="362"/>
      <c r="H69" s="361">
        <f>'Sources and Uses Budget'!T69</f>
        <v>0</v>
      </c>
      <c r="I69" s="362"/>
      <c r="J69" s="362"/>
      <c r="K69" s="359"/>
    </row>
    <row r="70" spans="1:11" s="360" customFormat="1">
      <c r="A70" s="365" t="s">
        <v>600</v>
      </c>
      <c r="B70" s="361">
        <f>'Sources and Uses Budget'!C70</f>
        <v>201008</v>
      </c>
      <c r="C70" s="361">
        <f>SUM(C64:C69)</f>
        <v>0</v>
      </c>
      <c r="D70" s="361">
        <f>SUM(D64:D69)</f>
        <v>0</v>
      </c>
      <c r="E70" s="361">
        <f>'Sources and Uses Budget'!S70</f>
        <v>87860</v>
      </c>
      <c r="F70" s="367">
        <f>SUM(F65:F69)</f>
        <v>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c r="D72" s="362"/>
      <c r="E72" s="363"/>
      <c r="F72" s="363"/>
      <c r="G72" s="363"/>
      <c r="H72" s="363"/>
      <c r="I72" s="363"/>
      <c r="J72" s="363"/>
      <c r="K72" s="359"/>
    </row>
    <row r="73" spans="1:11" s="360" customFormat="1" ht="11.4">
      <c r="A73" s="364" t="s">
        <v>603</v>
      </c>
      <c r="B73" s="361">
        <f>'Sources and Uses Budget'!C73</f>
        <v>0</v>
      </c>
      <c r="C73" s="362"/>
      <c r="D73" s="362"/>
      <c r="E73" s="363"/>
      <c r="F73" s="363"/>
      <c r="G73" s="363"/>
      <c r="H73" s="363"/>
      <c r="I73" s="363"/>
      <c r="J73" s="363"/>
      <c r="K73" s="359"/>
    </row>
    <row r="74" spans="1:11" s="360" customFormat="1" ht="11.4">
      <c r="A74" s="366" t="s">
        <v>985</v>
      </c>
      <c r="B74" s="361">
        <f>'Sources and Uses Budget'!C74</f>
        <v>0</v>
      </c>
      <c r="C74" s="362"/>
      <c r="D74" s="362"/>
      <c r="E74" s="363"/>
      <c r="F74" s="363"/>
      <c r="G74" s="363"/>
      <c r="H74" s="363"/>
      <c r="I74" s="363"/>
      <c r="J74" s="363"/>
      <c r="K74" s="359"/>
    </row>
    <row r="75" spans="1:11" s="360" customFormat="1" ht="11.4">
      <c r="A75" s="364" t="s">
        <v>604</v>
      </c>
      <c r="B75" s="361">
        <f>'Sources and Uses Budget'!C75</f>
        <v>1389751</v>
      </c>
      <c r="C75" s="362"/>
      <c r="D75" s="362"/>
      <c r="E75" s="363"/>
      <c r="F75" s="363"/>
      <c r="G75" s="363"/>
      <c r="H75" s="363"/>
      <c r="I75" s="363"/>
      <c r="J75" s="363"/>
      <c r="K75" s="359"/>
    </row>
    <row r="76" spans="1:11" s="360" customFormat="1" ht="11.4">
      <c r="A76" s="364" t="str">
        <f>'Sources and Uses Budget'!$A76</f>
        <v>Other: Replacement Reserve</v>
      </c>
      <c r="B76" s="361">
        <f>'Sources and Uses Budget'!C76</f>
        <v>70200</v>
      </c>
      <c r="C76" s="362"/>
      <c r="D76" s="362"/>
      <c r="E76" s="363"/>
      <c r="F76" s="363"/>
      <c r="G76" s="363"/>
      <c r="H76" s="363"/>
      <c r="I76" s="363"/>
      <c r="J76" s="363"/>
      <c r="K76" s="359"/>
    </row>
    <row r="77" spans="1:11" s="360" customFormat="1">
      <c r="A77" s="365" t="s">
        <v>605</v>
      </c>
      <c r="B77" s="361">
        <f>'Sources and Uses Budget'!C77</f>
        <v>1459951</v>
      </c>
      <c r="C77" s="361">
        <f>SUM(C72:C76)</f>
        <v>0</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6184713</v>
      </c>
      <c r="C79" s="362"/>
      <c r="D79" s="362"/>
      <c r="E79" s="361">
        <f>'Sources and Uses Budget'!S79</f>
        <v>6184713</v>
      </c>
      <c r="F79" s="362"/>
      <c r="G79" s="362"/>
      <c r="H79" s="361">
        <f>'Sources and Uses Budget'!T79</f>
        <v>0</v>
      </c>
      <c r="I79" s="362"/>
      <c r="J79" s="362"/>
      <c r="K79" s="359"/>
    </row>
    <row r="80" spans="1:11" s="360" customFormat="1" ht="11.4">
      <c r="A80" s="364" t="s">
        <v>58</v>
      </c>
      <c r="B80" s="361">
        <f>'Sources and Uses Budget'!C80</f>
        <v>1078229</v>
      </c>
      <c r="C80" s="362"/>
      <c r="D80" s="362"/>
      <c r="E80" s="361">
        <f>'Sources and Uses Budget'!S80</f>
        <v>1078229</v>
      </c>
      <c r="F80" s="362"/>
      <c r="G80" s="362"/>
      <c r="H80" s="361">
        <f>'Sources and Uses Budget'!T80</f>
        <v>0</v>
      </c>
      <c r="I80" s="362"/>
      <c r="J80" s="362"/>
      <c r="K80" s="359"/>
    </row>
    <row r="81" spans="1:11" s="360" customFormat="1">
      <c r="A81" s="365" t="s">
        <v>1208</v>
      </c>
      <c r="B81" s="361">
        <f>'Sources and Uses Budget'!C81</f>
        <v>7262942</v>
      </c>
      <c r="C81" s="361">
        <f>SUM(C79:C80)</f>
        <v>0</v>
      </c>
      <c r="D81" s="361">
        <f>SUM(D79:D80)</f>
        <v>0</v>
      </c>
      <c r="E81" s="361">
        <f>'Sources and Uses Budget'!S81</f>
        <v>7262942</v>
      </c>
      <c r="F81" s="361">
        <f>SUM(F79:F80)</f>
        <v>0</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65" customHeight="1">
      <c r="A83" s="145" t="s">
        <v>2050</v>
      </c>
      <c r="B83" s="361">
        <f>'Sources and Uses Budget'!C83</f>
        <v>257977</v>
      </c>
      <c r="C83" s="362"/>
      <c r="D83" s="362"/>
      <c r="E83" s="363"/>
      <c r="F83" s="363"/>
      <c r="G83" s="363"/>
      <c r="H83" s="363"/>
      <c r="I83" s="363"/>
      <c r="J83" s="363"/>
      <c r="K83" s="359"/>
    </row>
    <row r="84" spans="1:11" s="360" customFormat="1" ht="11.4">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ht="11.4">
      <c r="A85" s="145" t="s">
        <v>767</v>
      </c>
      <c r="B85" s="361">
        <f>'Sources and Uses Budget'!C85</f>
        <v>3536354</v>
      </c>
      <c r="C85" s="362"/>
      <c r="D85" s="362"/>
      <c r="E85" s="361">
        <f>'Sources and Uses Budget'!S85</f>
        <v>3536354</v>
      </c>
      <c r="F85" s="362"/>
      <c r="G85" s="362"/>
      <c r="H85" s="361">
        <f>'Sources and Uses Budget'!T85</f>
        <v>0</v>
      </c>
      <c r="I85" s="362"/>
      <c r="J85" s="362"/>
      <c r="K85" s="359"/>
    </row>
    <row r="86" spans="1:11" s="360" customFormat="1" ht="11.4">
      <c r="A86" s="145" t="s">
        <v>768</v>
      </c>
      <c r="B86" s="361">
        <f>'Sources and Uses Budget'!C86</f>
        <v>1908969</v>
      </c>
      <c r="C86" s="362"/>
      <c r="D86" s="362"/>
      <c r="E86" s="361">
        <f>'Sources and Uses Budget'!S86</f>
        <v>1908969</v>
      </c>
      <c r="F86" s="362"/>
      <c r="G86" s="362"/>
      <c r="H86" s="361">
        <f>'Sources and Uses Budget'!T86</f>
        <v>0</v>
      </c>
      <c r="I86" s="362"/>
      <c r="J86" s="362"/>
      <c r="K86" s="359"/>
    </row>
    <row r="87" spans="1:11" s="360" customFormat="1" ht="11.4">
      <c r="A87" s="145" t="s">
        <v>769</v>
      </c>
      <c r="B87" s="361">
        <f>'Sources and Uses Budget'!C87</f>
        <v>1412514</v>
      </c>
      <c r="C87" s="362"/>
      <c r="D87" s="362"/>
      <c r="E87" s="361">
        <f>'Sources and Uses Budget'!S87</f>
        <v>1412514</v>
      </c>
      <c r="F87" s="362"/>
      <c r="G87" s="362"/>
      <c r="H87" s="361">
        <f>'Sources and Uses Budget'!T87</f>
        <v>0</v>
      </c>
      <c r="I87" s="362"/>
      <c r="J87" s="362"/>
      <c r="K87" s="359"/>
    </row>
    <row r="88" spans="1:11" s="360" customFormat="1" ht="11.4">
      <c r="A88" s="145" t="s">
        <v>770</v>
      </c>
      <c r="B88" s="361">
        <f>'Sources and Uses Budget'!C88</f>
        <v>748485</v>
      </c>
      <c r="C88" s="362"/>
      <c r="D88" s="362"/>
      <c r="E88" s="363"/>
      <c r="F88" s="363"/>
      <c r="G88" s="363"/>
      <c r="H88" s="363"/>
      <c r="I88" s="363"/>
      <c r="J88" s="363"/>
      <c r="K88" s="359"/>
    </row>
    <row r="89" spans="1:11" s="360" customFormat="1" ht="11.4">
      <c r="A89" s="145" t="s">
        <v>771</v>
      </c>
      <c r="B89" s="361">
        <f>'Sources and Uses Budget'!C89</f>
        <v>397800</v>
      </c>
      <c r="C89" s="362"/>
      <c r="D89" s="362"/>
      <c r="E89" s="361">
        <f>'Sources and Uses Budget'!S89</f>
        <v>397800</v>
      </c>
      <c r="F89" s="362"/>
      <c r="G89" s="362"/>
      <c r="H89" s="361">
        <f>'Sources and Uses Budget'!T89</f>
        <v>0</v>
      </c>
      <c r="I89" s="362"/>
      <c r="J89" s="362"/>
      <c r="K89" s="359"/>
    </row>
    <row r="90" spans="1:11" s="360" customFormat="1" ht="11.4">
      <c r="A90" s="145" t="s">
        <v>772</v>
      </c>
      <c r="B90" s="361">
        <f>'Sources and Uses Budget'!C90</f>
        <v>15000</v>
      </c>
      <c r="C90" s="362"/>
      <c r="D90" s="362"/>
      <c r="E90" s="361">
        <f>'Sources and Uses Budget'!S90</f>
        <v>0</v>
      </c>
      <c r="F90" s="362"/>
      <c r="G90" s="362"/>
      <c r="H90" s="361">
        <f>'Sources and Uses Budget'!T90</f>
        <v>0</v>
      </c>
      <c r="I90" s="362"/>
      <c r="J90" s="362"/>
      <c r="K90" s="359"/>
    </row>
    <row r="91" spans="1:11" s="360" customFormat="1" ht="11.4">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ht="11.4">
      <c r="A92" s="508" t="s">
        <v>1210</v>
      </c>
      <c r="B92" s="361">
        <f>'Sources and Uses Budget'!C92</f>
        <v>56807</v>
      </c>
      <c r="C92" s="362"/>
      <c r="D92" s="362"/>
      <c r="E92" s="361">
        <f>'Sources and Uses Budget'!S92</f>
        <v>56807</v>
      </c>
      <c r="F92" s="362"/>
      <c r="G92" s="362"/>
      <c r="H92" s="361">
        <f>'Sources and Uses Budget'!T92</f>
        <v>0</v>
      </c>
      <c r="I92" s="362"/>
      <c r="J92" s="362"/>
      <c r="K92" s="359"/>
    </row>
    <row r="93" spans="1:11" s="360" customFormat="1" ht="11.4">
      <c r="A93" s="364" t="str">
        <f>'Sources and Uses Budget'!$A93</f>
        <v>Other: Wage Monitoring</v>
      </c>
      <c r="B93" s="361">
        <f>'Sources and Uses Budget'!C93</f>
        <v>56968</v>
      </c>
      <c r="C93" s="362"/>
      <c r="D93" s="362"/>
      <c r="E93" s="361">
        <f>'Sources and Uses Budget'!S93</f>
        <v>56968</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8390874</v>
      </c>
      <c r="C96" s="361">
        <f>SUM(C83:C95)</f>
        <v>0</v>
      </c>
      <c r="D96" s="361">
        <f>SUM(D83:D95)</f>
        <v>0</v>
      </c>
      <c r="E96" s="361">
        <f>'Sources and Uses Budget'!S96</f>
        <v>7369412</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168184755</v>
      </c>
      <c r="C97" s="361">
        <f>SUM(C63+C70+C77+C81+C96)</f>
        <v>0</v>
      </c>
      <c r="D97" s="361">
        <f>SUM(D63+D70+D77+D81+D96)</f>
        <v>0</v>
      </c>
      <c r="E97" s="361">
        <f>'Sources and Uses Budget'!S97</f>
        <v>156397820</v>
      </c>
      <c r="F97" s="367">
        <f>SUM(+F63+F70+F81+F96)</f>
        <v>0</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22211129</v>
      </c>
      <c r="C99" s="362"/>
      <c r="D99" s="362"/>
      <c r="E99" s="361">
        <f>'Sources and Uses Budget'!S99</f>
        <v>22211129</v>
      </c>
      <c r="F99" s="362"/>
      <c r="G99" s="362"/>
      <c r="H99" s="361">
        <f>'Sources and Uses Budget'!T99</f>
        <v>0</v>
      </c>
      <c r="I99" s="362"/>
      <c r="J99" s="362"/>
      <c r="K99" s="359"/>
    </row>
    <row r="100" spans="1:11" s="360" customFormat="1" ht="11.4">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22211129</v>
      </c>
      <c r="C104" s="361">
        <f>SUM(C99:C103)</f>
        <v>0</v>
      </c>
      <c r="D104" s="361">
        <f>SUM(D99:D103)</f>
        <v>0</v>
      </c>
      <c r="E104" s="361">
        <f>'Sources and Uses Budget'!S104</f>
        <v>22211129</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190395884</v>
      </c>
      <c r="C105" s="367">
        <f>SUM(C97+C104)</f>
        <v>0</v>
      </c>
      <c r="D105" s="367">
        <f>SUM(D97+D104)</f>
        <v>0</v>
      </c>
      <c r="E105" s="361">
        <f>'Sources and Uses Budget'!S105</f>
        <v>178608949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178608949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81"/>
      <c r="E124" s="1317"/>
      <c r="F124" s="1317"/>
      <c r="G124" s="1317"/>
      <c r="H124" s="1317"/>
      <c r="I124" s="1317"/>
      <c r="J124" s="376"/>
      <c r="K124" s="359"/>
    </row>
    <row r="125" spans="1:11" s="360" customFormat="1" ht="13.2">
      <c r="A125" s="385"/>
      <c r="B125" s="384"/>
      <c r="C125" s="385"/>
      <c r="D125" s="1317"/>
      <c r="E125" s="1317"/>
      <c r="F125" s="1317"/>
      <c r="G125" s="1317"/>
      <c r="H125" s="1317"/>
      <c r="I125" s="1317"/>
      <c r="J125" s="376"/>
      <c r="K125" s="359"/>
    </row>
    <row r="126" spans="1:11" s="360" customFormat="1" ht="13.2">
      <c r="A126" s="385"/>
      <c r="B126" s="384"/>
      <c r="C126" s="385"/>
      <c r="D126" s="1317"/>
      <c r="E126" s="1317"/>
      <c r="F126" s="1317"/>
      <c r="G126" s="1317"/>
      <c r="H126" s="1317"/>
      <c r="I126" s="1317"/>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82"/>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22" t="s">
        <v>2390</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2389</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6" t="s">
        <v>2594</v>
      </c>
      <c r="AY3" s="2177"/>
      <c r="AZ3" s="2177"/>
      <c r="BA3" s="2328"/>
      <c r="BB3" s="2176" t="s">
        <v>2595</v>
      </c>
      <c r="BC3" s="2177"/>
      <c r="BD3" s="2177"/>
      <c r="BE3" s="2328"/>
    </row>
    <row r="4" spans="1:65" ht="15.75" customHeight="1" thickBot="1">
      <c r="A4" s="1207"/>
      <c r="B4" s="1209" t="s">
        <v>655</v>
      </c>
      <c r="C4" s="1209"/>
      <c r="D4" s="1209"/>
      <c r="E4" s="1209"/>
      <c r="F4" s="1209"/>
      <c r="G4" s="1208"/>
      <c r="H4" s="1208"/>
      <c r="I4" s="1208"/>
      <c r="J4" s="1208"/>
      <c r="K4" s="1208"/>
      <c r="L4" s="2319" t="str">
        <f>IF(Application!H18="","",Application!H18)</f>
        <v>Block 5 Apartments</v>
      </c>
      <c r="M4" s="2320"/>
      <c r="N4" s="2320"/>
      <c r="O4" s="2320"/>
      <c r="P4" s="2320"/>
      <c r="Q4" s="2320"/>
      <c r="R4" s="2320"/>
      <c r="S4" s="2320"/>
      <c r="T4" s="2320"/>
      <c r="U4" s="2320"/>
      <c r="V4" s="2320"/>
      <c r="W4" s="2320"/>
      <c r="X4" s="2320"/>
      <c r="Y4" s="2320"/>
      <c r="Z4" s="2320"/>
      <c r="AA4" s="2320"/>
      <c r="AB4" s="2320"/>
      <c r="AC4" s="2321"/>
      <c r="AD4" s="1208"/>
      <c r="AE4" s="1208"/>
      <c r="AF4" s="2308" t="s">
        <v>2388</v>
      </c>
      <c r="AG4" s="2308"/>
      <c r="AH4" s="2308"/>
      <c r="AI4" s="2308"/>
      <c r="AJ4" s="2308"/>
      <c r="AK4" s="2308"/>
      <c r="AL4" s="2308"/>
      <c r="AM4" s="2308"/>
      <c r="AN4" s="2308"/>
      <c r="AO4" s="2308"/>
      <c r="AP4" s="2309"/>
      <c r="AQ4" s="2310"/>
      <c r="AR4" s="2310"/>
      <c r="AS4" s="2310"/>
      <c r="AT4" s="2310"/>
      <c r="AU4" s="2310"/>
      <c r="AV4" s="1208"/>
      <c r="AW4" s="1208"/>
      <c r="AX4" s="2316" t="s">
        <v>2596</v>
      </c>
      <c r="AY4" s="2317"/>
      <c r="AZ4" s="2317"/>
      <c r="BA4" s="2318"/>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8" t="s">
        <v>2387</v>
      </c>
      <c r="AG5" s="2308"/>
      <c r="AH5" s="2308"/>
      <c r="AI5" s="2308"/>
      <c r="AJ5" s="2308"/>
      <c r="AK5" s="2308"/>
      <c r="AL5" s="2308"/>
      <c r="AM5" s="2308"/>
      <c r="AN5" s="2308"/>
      <c r="AO5" s="2308"/>
      <c r="AP5" s="2309"/>
      <c r="AQ5" s="2310"/>
      <c r="AR5" s="2310"/>
      <c r="AS5" s="2310"/>
      <c r="AT5" s="2310"/>
      <c r="AU5" s="2310"/>
      <c r="AV5" s="1208"/>
      <c r="AW5" s="1208"/>
      <c r="AX5" s="2316" t="s">
        <v>2597</v>
      </c>
      <c r="AY5" s="2317"/>
      <c r="AZ5" s="2317"/>
      <c r="BA5" s="2318"/>
      <c r="BB5" s="1210">
        <f t="array" ref="BB5">ROUNDDOWN(SUM(IF((B19:I27&gt;0%)*(B19:I27&lt;=50%),J19:O27,0))/J29,2)</f>
        <v>0.28999999999999998</v>
      </c>
      <c r="BC5" s="1211"/>
      <c r="BD5" s="1211"/>
      <c r="BE5" s="1212"/>
    </row>
    <row r="6" spans="1:65" ht="15.75" customHeight="1" thickBot="1">
      <c r="A6" s="1207"/>
      <c r="B6" s="1209" t="s">
        <v>2386</v>
      </c>
      <c r="C6" s="1208"/>
      <c r="D6" s="1208"/>
      <c r="E6" s="1208"/>
      <c r="F6" s="1208"/>
      <c r="G6" s="1208"/>
      <c r="H6" s="1208"/>
      <c r="I6" s="1208"/>
      <c r="J6" s="1208"/>
      <c r="K6" s="1208"/>
      <c r="L6" s="2319" t="str">
        <f>IF(Application!H16="","",Application!H16)</f>
        <v>Eden Housing, Inc.</v>
      </c>
      <c r="M6" s="2320"/>
      <c r="N6" s="2320"/>
      <c r="O6" s="2320"/>
      <c r="P6" s="2320"/>
      <c r="Q6" s="2320"/>
      <c r="R6" s="2320"/>
      <c r="S6" s="2320"/>
      <c r="T6" s="2320"/>
      <c r="U6" s="2320"/>
      <c r="V6" s="2320"/>
      <c r="W6" s="2320"/>
      <c r="X6" s="2320"/>
      <c r="Y6" s="2320"/>
      <c r="Z6" s="2320"/>
      <c r="AA6" s="2320"/>
      <c r="AB6" s="2320"/>
      <c r="AC6" s="2321"/>
      <c r="AD6" s="1208"/>
      <c r="AE6" s="1208"/>
      <c r="AF6" s="2311" t="s">
        <v>2385</v>
      </c>
      <c r="AG6" s="2311"/>
      <c r="AH6" s="2311"/>
      <c r="AI6" s="2311"/>
      <c r="AJ6" s="2311"/>
      <c r="AK6" s="2311"/>
      <c r="AL6" s="2311"/>
      <c r="AM6" s="2311"/>
      <c r="AN6" s="2311"/>
      <c r="AO6" s="2311"/>
      <c r="AP6" s="2312"/>
      <c r="AQ6" s="2312"/>
      <c r="AR6" s="2312"/>
      <c r="AS6" s="2312"/>
      <c r="AT6" s="2312"/>
      <c r="AU6" s="2312"/>
      <c r="AV6" s="1208"/>
      <c r="AW6" s="1208"/>
      <c r="AX6" s="2316" t="s">
        <v>2598</v>
      </c>
      <c r="AY6" s="2317"/>
      <c r="AZ6" s="2317"/>
      <c r="BA6" s="2318"/>
      <c r="BB6" s="1210">
        <f t="array" ref="BB6">ROUNDDOWN(SUM(IF((B19:I27&gt;60%)*(B19:I27&lt;=80%),J19:O27,0))/J29,2)</f>
        <v>0.4</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1" t="s">
        <v>2384</v>
      </c>
      <c r="AG7" s="2311"/>
      <c r="AH7" s="2311"/>
      <c r="AI7" s="2311"/>
      <c r="AJ7" s="2311"/>
      <c r="AK7" s="2311"/>
      <c r="AL7" s="2311"/>
      <c r="AM7" s="2311"/>
      <c r="AN7" s="2311"/>
      <c r="AO7" s="2311"/>
      <c r="AP7" s="2312"/>
      <c r="AQ7" s="2312"/>
      <c r="AR7" s="2312"/>
      <c r="AS7" s="2312"/>
      <c r="AT7" s="2312"/>
      <c r="AU7" s="2312"/>
      <c r="AV7" s="1208"/>
      <c r="AW7" s="1208"/>
      <c r="AX7" s="1208"/>
      <c r="AY7" s="1208"/>
      <c r="AZ7" s="1208"/>
      <c r="BA7" s="1208"/>
      <c r="BB7" s="1208"/>
      <c r="BC7" s="1208"/>
      <c r="BD7" s="1208"/>
      <c r="BE7" s="1213"/>
    </row>
    <row r="8" spans="1:65" ht="1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3" t="str">
        <f>Application!T197</f>
        <v>No</v>
      </c>
      <c r="AC8" s="2314"/>
      <c r="AD8" s="2315"/>
      <c r="AE8" s="1208"/>
      <c r="AF8" s="2311" t="s">
        <v>2383</v>
      </c>
      <c r="AG8" s="2311"/>
      <c r="AH8" s="2311"/>
      <c r="AI8" s="2311"/>
      <c r="AJ8" s="2311"/>
      <c r="AK8" s="2311"/>
      <c r="AL8" s="2311"/>
      <c r="AM8" s="2311"/>
      <c r="AN8" s="2311"/>
      <c r="AO8" s="2311"/>
      <c r="AP8" s="2312" t="s">
        <v>2054</v>
      </c>
      <c r="AQ8" s="2312"/>
      <c r="AR8" s="2312"/>
      <c r="AS8" s="2312"/>
      <c r="AT8" s="2312"/>
      <c r="AU8" s="2312"/>
      <c r="AV8" s="1208"/>
      <c r="AW8" s="1208"/>
      <c r="AX8" s="1208"/>
      <c r="AY8" s="1208"/>
      <c r="AZ8" s="1208"/>
      <c r="BA8" s="1208"/>
      <c r="BB8" s="1208"/>
      <c r="BC8" s="1208"/>
      <c r="BD8" s="1208"/>
      <c r="BE8" s="1213"/>
      <c r="BM8" s="1204" t="s">
        <v>1956</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8" t="s">
        <v>2382</v>
      </c>
      <c r="AG9" s="2308"/>
      <c r="AH9" s="2308"/>
      <c r="AI9" s="2308"/>
      <c r="AJ9" s="2308"/>
      <c r="AK9" s="2308"/>
      <c r="AL9" s="2308"/>
      <c r="AM9" s="2308"/>
      <c r="AN9" s="2308"/>
      <c r="AO9" s="2308"/>
      <c r="AP9" s="2309"/>
      <c r="AQ9" s="2310"/>
      <c r="AR9" s="2310"/>
      <c r="AS9" s="2310"/>
      <c r="AT9" s="2310"/>
      <c r="AU9" s="2310"/>
      <c r="AV9" s="1208"/>
      <c r="AW9" s="1208"/>
      <c r="AX9" s="1208"/>
      <c r="AY9" s="1208"/>
      <c r="AZ9" s="1208"/>
      <c r="BA9" s="1208"/>
      <c r="BB9" s="1208"/>
      <c r="BC9" s="1208"/>
      <c r="BD9" s="1208"/>
      <c r="BE9" s="1213"/>
      <c r="BM9" s="1204" t="s">
        <v>2381</v>
      </c>
    </row>
    <row r="10" spans="1:65" ht="14.4">
      <c r="A10" s="1207"/>
      <c r="B10" s="1209" t="s">
        <v>2380</v>
      </c>
      <c r="C10" s="1209"/>
      <c r="D10" s="1209"/>
      <c r="E10" s="1209"/>
      <c r="F10" s="1209"/>
      <c r="G10" s="1209"/>
      <c r="H10" s="1209"/>
      <c r="I10" s="1209"/>
      <c r="J10" s="1209"/>
      <c r="K10" s="1209"/>
      <c r="L10" s="1209"/>
      <c r="M10" s="1208"/>
      <c r="N10" s="2307">
        <f>Application!AO635</f>
        <v>48787800</v>
      </c>
      <c r="O10" s="2307"/>
      <c r="P10" s="2307"/>
      <c r="Q10" s="2307"/>
      <c r="R10" s="2307"/>
      <c r="S10" s="2307"/>
      <c r="T10" s="2307"/>
      <c r="U10" s="1208"/>
      <c r="V10" s="1208"/>
      <c r="W10" s="1208"/>
      <c r="X10" s="1214"/>
      <c r="Y10" s="1214"/>
      <c r="Z10" s="1214"/>
      <c r="AA10" s="1214"/>
      <c r="AB10" s="1214"/>
      <c r="AC10" s="1214"/>
      <c r="AD10" s="1214"/>
      <c r="AE10" s="1214"/>
      <c r="AF10" s="2308" t="s">
        <v>2379</v>
      </c>
      <c r="AG10" s="2308"/>
      <c r="AH10" s="2308"/>
      <c r="AI10" s="2308"/>
      <c r="AJ10" s="2308"/>
      <c r="AK10" s="2308"/>
      <c r="AL10" s="2308"/>
      <c r="AM10" s="2308"/>
      <c r="AN10" s="2308"/>
      <c r="AO10" s="2308"/>
      <c r="AP10" s="2309"/>
      <c r="AQ10" s="2310"/>
      <c r="AR10" s="2310"/>
      <c r="AS10" s="2310"/>
      <c r="AT10" s="2310"/>
      <c r="AU10" s="2310"/>
      <c r="AV10" s="1214"/>
      <c r="AW10" s="1214"/>
      <c r="AX10" s="1208"/>
      <c r="AY10" s="1208"/>
      <c r="AZ10" s="1208"/>
      <c r="BA10" s="1208"/>
      <c r="BB10" s="1208"/>
      <c r="BC10" s="1208"/>
      <c r="BD10" s="1208"/>
      <c r="BE10" s="1213"/>
      <c r="BM10" s="1204" t="s">
        <v>2378</v>
      </c>
    </row>
    <row r="11" spans="1:65" ht="14.4">
      <c r="A11" s="1207"/>
      <c r="B11" s="1209" t="s">
        <v>2377</v>
      </c>
      <c r="C11" s="1209"/>
      <c r="D11" s="1209"/>
      <c r="E11" s="1209"/>
      <c r="F11" s="1209"/>
      <c r="G11" s="1209"/>
      <c r="H11" s="1209"/>
      <c r="I11" s="1209"/>
      <c r="J11" s="1209"/>
      <c r="K11" s="1209"/>
      <c r="L11" s="1209"/>
      <c r="M11" s="1208"/>
      <c r="N11" s="2307">
        <f>Application!AA943</f>
        <v>0</v>
      </c>
      <c r="O11" s="2307"/>
      <c r="P11" s="2307"/>
      <c r="Q11" s="2307"/>
      <c r="R11" s="2307"/>
      <c r="S11" s="2307"/>
      <c r="T11" s="2307"/>
      <c r="U11" s="1208"/>
      <c r="V11" s="1208"/>
      <c r="W11" s="1208"/>
      <c r="X11" s="1214"/>
      <c r="Y11" s="1214"/>
      <c r="Z11" s="1214"/>
      <c r="AA11" s="1214"/>
      <c r="AB11" s="1214"/>
      <c r="AC11" s="1214"/>
      <c r="AD11" s="1214"/>
      <c r="AE11" s="1214"/>
      <c r="AF11" s="2308" t="s">
        <v>2376</v>
      </c>
      <c r="AG11" s="2308"/>
      <c r="AH11" s="2308"/>
      <c r="AI11" s="2308"/>
      <c r="AJ11" s="2308"/>
      <c r="AK11" s="2308"/>
      <c r="AL11" s="2308"/>
      <c r="AM11" s="2308"/>
      <c r="AN11" s="2308"/>
      <c r="AO11" s="2308"/>
      <c r="AP11" s="2309"/>
      <c r="AQ11" s="2310"/>
      <c r="AR11" s="2310"/>
      <c r="AS11" s="2310"/>
      <c r="AT11" s="2310"/>
      <c r="AU11" s="2310"/>
      <c r="AV11" s="1214"/>
      <c r="AW11" s="1214"/>
      <c r="AX11" s="1208"/>
      <c r="AY11" s="1208"/>
      <c r="AZ11" s="1208"/>
      <c r="BA11" s="1208"/>
      <c r="BB11" s="1208"/>
      <c r="BC11" s="1208"/>
      <c r="BD11" s="1208"/>
      <c r="BE11" s="1213"/>
      <c r="BM11" s="1204" t="s">
        <v>2054</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ht="15" thickBot="1">
      <c r="A13" s="1208"/>
      <c r="B13" s="2298" t="s">
        <v>2374</v>
      </c>
      <c r="C13" s="2299"/>
      <c r="D13" s="2299"/>
      <c r="E13" s="2299"/>
      <c r="F13" s="2299"/>
      <c r="G13" s="2299"/>
      <c r="H13" s="2299"/>
      <c r="I13" s="2299"/>
      <c r="J13" s="2299"/>
      <c r="K13" s="2299"/>
      <c r="L13" s="2299"/>
      <c r="M13" s="2299"/>
      <c r="N13" s="2299"/>
      <c r="O13" s="2299"/>
      <c r="P13" s="2300"/>
      <c r="Q13" s="2301" t="s">
        <v>668</v>
      </c>
      <c r="R13" s="2302"/>
      <c r="S13" s="2302"/>
      <c r="T13" s="2303"/>
      <c r="U13" s="1214"/>
      <c r="V13" s="1208"/>
      <c r="W13" s="1208"/>
      <c r="X13" s="1208"/>
      <c r="Y13" s="1208"/>
      <c r="Z13" s="1208"/>
      <c r="AA13" s="2288" t="s">
        <v>2373</v>
      </c>
      <c r="AB13" s="2288"/>
      <c r="AC13" s="2288"/>
      <c r="AD13" s="2288"/>
      <c r="AE13" s="2288"/>
      <c r="AF13" s="2288"/>
      <c r="AG13" s="2288"/>
      <c r="AH13" s="2288"/>
      <c r="AI13" s="2288"/>
      <c r="AJ13" s="2288"/>
      <c r="AK13" s="2288"/>
      <c r="AL13" s="2288"/>
      <c r="AM13" s="2288"/>
      <c r="AN13" s="2288"/>
      <c r="AO13" s="2304">
        <f>Application!W481</f>
        <v>50</v>
      </c>
      <c r="AP13" s="2305"/>
      <c r="AQ13" s="2305"/>
      <c r="AR13" s="2305"/>
      <c r="AS13" s="2305"/>
      <c r="AT13" s="1214"/>
      <c r="AU13" s="1214"/>
      <c r="AV13" s="1214"/>
      <c r="AW13" s="1214"/>
      <c r="AX13" s="1214"/>
      <c r="AY13" s="1214"/>
      <c r="AZ13" s="1214"/>
      <c r="BA13" s="1214"/>
      <c r="BB13" s="1214"/>
      <c r="BC13" s="1214"/>
      <c r="BD13" s="1214"/>
      <c r="BE13" s="1215"/>
      <c r="BM13" s="1204" t="s">
        <v>2372</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6" t="s">
        <v>2371</v>
      </c>
      <c r="AB14" s="2306"/>
      <c r="AC14" s="2306"/>
      <c r="AD14" s="2306"/>
      <c r="AE14" s="2306"/>
      <c r="AF14" s="2306"/>
      <c r="AG14" s="2306"/>
      <c r="AH14" s="2306"/>
      <c r="AI14" s="2306"/>
      <c r="AJ14" s="2306"/>
      <c r="AK14" s="2306"/>
      <c r="AL14" s="2306"/>
      <c r="AM14" s="2306"/>
      <c r="AN14" s="2306"/>
      <c r="AO14" s="2289"/>
      <c r="AP14" s="2290"/>
      <c r="AQ14" s="2290"/>
      <c r="AR14" s="2290"/>
      <c r="AS14" s="2290"/>
      <c r="AT14" s="1214"/>
      <c r="AU14" s="1214"/>
      <c r="AV14" s="1214"/>
      <c r="AW14" s="1214"/>
      <c r="AX14" s="1214"/>
      <c r="AY14" s="1214"/>
      <c r="AZ14" s="1214"/>
      <c r="BA14" s="1214"/>
      <c r="BB14" s="1214"/>
      <c r="BC14" s="1214"/>
      <c r="BD14" s="1214"/>
      <c r="BE14" s="1215"/>
    </row>
    <row r="15" spans="1:65" ht="15" thickBot="1">
      <c r="A15" s="1208"/>
      <c r="B15" s="2283" t="s">
        <v>2370</v>
      </c>
      <c r="C15" s="2284"/>
      <c r="D15" s="2284"/>
      <c r="E15" s="2284"/>
      <c r="F15" s="2284"/>
      <c r="G15" s="2284"/>
      <c r="H15" s="2284"/>
      <c r="I15" s="2284"/>
      <c r="J15" s="2284"/>
      <c r="K15" s="2284"/>
      <c r="L15" s="2284"/>
      <c r="M15" s="2284"/>
      <c r="N15" s="2284"/>
      <c r="O15" s="2284"/>
      <c r="P15" s="2284"/>
      <c r="Q15" s="2284"/>
      <c r="R15" s="2285"/>
      <c r="S15" s="2286" t="str">
        <f>IF(Application!AB215="","",Application!AB215)</f>
        <v/>
      </c>
      <c r="T15" s="2286"/>
      <c r="U15" s="2286"/>
      <c r="V15" s="2286"/>
      <c r="W15" s="2287"/>
      <c r="X15" s="1214"/>
      <c r="Y15" s="1208"/>
      <c r="Z15" s="1208"/>
      <c r="AA15" s="2288" t="s">
        <v>2369</v>
      </c>
      <c r="AB15" s="2288"/>
      <c r="AC15" s="2288"/>
      <c r="AD15" s="2288"/>
      <c r="AE15" s="2288"/>
      <c r="AF15" s="2288"/>
      <c r="AG15" s="2288"/>
      <c r="AH15" s="2288"/>
      <c r="AI15" s="2288"/>
      <c r="AJ15" s="2288"/>
      <c r="AK15" s="2288"/>
      <c r="AL15" s="2288"/>
      <c r="AM15" s="2288"/>
      <c r="AN15" s="2288"/>
      <c r="AO15" s="2289"/>
      <c r="AP15" s="2290"/>
      <c r="AQ15" s="2290"/>
      <c r="AR15" s="2290"/>
      <c r="AS15" s="2290"/>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11" t="s">
        <v>2368</v>
      </c>
      <c r="C17" s="2112"/>
      <c r="D17" s="2112"/>
      <c r="E17" s="2112"/>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c r="AL17" s="2112"/>
      <c r="AM17" s="2112"/>
      <c r="AN17" s="2112"/>
      <c r="AO17" s="2112"/>
      <c r="AP17" s="2112"/>
      <c r="AQ17" s="2112"/>
      <c r="AR17" s="2112"/>
      <c r="AS17" s="2112"/>
      <c r="AT17" s="2112"/>
      <c r="AU17" s="2112"/>
      <c r="AV17" s="2112"/>
      <c r="AW17" s="2112"/>
      <c r="AX17" s="2112"/>
      <c r="AY17" s="2113"/>
      <c r="AZ17" s="1208"/>
      <c r="BA17" s="1208"/>
      <c r="BB17" s="1208"/>
      <c r="BC17" s="1208"/>
      <c r="BD17" s="1208"/>
      <c r="BE17" s="1215"/>
      <c r="BF17" s="1206"/>
    </row>
    <row r="18" spans="1:58" ht="15.75" customHeight="1">
      <c r="A18" s="1208"/>
      <c r="B18" s="2291" t="s">
        <v>2367</v>
      </c>
      <c r="C18" s="2292"/>
      <c r="D18" s="2292"/>
      <c r="E18" s="2292"/>
      <c r="F18" s="2292"/>
      <c r="G18" s="2292"/>
      <c r="H18" s="2292"/>
      <c r="I18" s="2293"/>
      <c r="J18" s="2294" t="s">
        <v>1574</v>
      </c>
      <c r="K18" s="2295"/>
      <c r="L18" s="2295"/>
      <c r="M18" s="2295"/>
      <c r="N18" s="2295"/>
      <c r="O18" s="2296"/>
      <c r="P18" s="2294" t="s">
        <v>323</v>
      </c>
      <c r="Q18" s="2295"/>
      <c r="R18" s="2295"/>
      <c r="S18" s="2295"/>
      <c r="T18" s="2295"/>
      <c r="U18" s="2296"/>
      <c r="V18" s="2294" t="s">
        <v>324</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2366</v>
      </c>
      <c r="AU18" s="2295"/>
      <c r="AV18" s="2295"/>
      <c r="AW18" s="2295"/>
      <c r="AX18" s="2295"/>
      <c r="AY18" s="2297"/>
      <c r="AZ18" s="1208"/>
      <c r="BA18" s="1208"/>
      <c r="BB18" s="1208"/>
      <c r="BC18" s="1208"/>
      <c r="BD18" s="1208"/>
      <c r="BE18" s="1215"/>
    </row>
    <row r="19" spans="1:58" ht="14.4">
      <c r="A19" s="1208"/>
      <c r="B19" s="2277">
        <v>0.3</v>
      </c>
      <c r="C19" s="2278"/>
      <c r="D19" s="2278"/>
      <c r="E19" s="2278"/>
      <c r="F19" s="2278"/>
      <c r="G19" s="2278"/>
      <c r="H19" s="2278"/>
      <c r="I19" s="2279"/>
      <c r="J19" s="2280">
        <f t="shared" ref="J19:J24" si="0">SUM(P19:AS19)</f>
        <v>24</v>
      </c>
      <c r="K19" s="2281"/>
      <c r="L19" s="2281"/>
      <c r="M19" s="2281"/>
      <c r="N19" s="2281"/>
      <c r="O19" s="2282"/>
      <c r="P19" s="2280" cm="1">
        <f t="array" ref="P19">SUMPRODUCT((Application!$B$726:$B$760 = 'CalHFA Addendum'!P$18)*(Application!$AC$726:$AC$760 = 'CalHFA Addendum'!$B19),Application!$G$726:$G$760)</f>
        <v>23</v>
      </c>
      <c r="Q19" s="2281"/>
      <c r="R19" s="2281"/>
      <c r="S19" s="2281"/>
      <c r="T19" s="2281"/>
      <c r="U19" s="2282"/>
      <c r="V19" s="2280" cm="1">
        <f t="array" ref="V19">SUMPRODUCT((Application!$B$726:$B$760 = 'CalHFA Addendum'!V$18)*(Application!$AC$726:$AC$760 = 'CalHFA Addendum'!$B19),Application!$G$726:$G$760)</f>
        <v>0</v>
      </c>
      <c r="W19" s="2281"/>
      <c r="X19" s="2281"/>
      <c r="Y19" s="2281"/>
      <c r="Z19" s="2281"/>
      <c r="AA19" s="2282"/>
      <c r="AB19" s="2280" cm="1">
        <f t="array" ref="AB19">SUMPRODUCT((Application!$B$726:$B$760 = 'CalHFA Addendum'!AB$18)*(Application!$AC$726:$AC$760 = 'CalHFA Addendum'!$B19),Application!$G$726:$G$760)</f>
        <v>0</v>
      </c>
      <c r="AC19" s="2281"/>
      <c r="AD19" s="2281"/>
      <c r="AE19" s="2281"/>
      <c r="AF19" s="2281"/>
      <c r="AG19" s="2282"/>
      <c r="AH19" s="2280" cm="1">
        <f t="array" ref="AH19">SUMPRODUCT((Application!$B$726:$B$760 = 'CalHFA Addendum'!AH$18)*(Application!$AC$726:$AC$760 = 'CalHFA Addendum'!$B19),Application!$G$726:$G$760)</f>
        <v>1</v>
      </c>
      <c r="AI19" s="2281"/>
      <c r="AJ19" s="2281"/>
      <c r="AK19" s="2281"/>
      <c r="AL19" s="2281"/>
      <c r="AM19" s="2282"/>
      <c r="AN19" s="2280" cm="1">
        <f t="array" ref="AN19">SUMPRODUCT((Application!$B$726:$B$760 = 'CalHFA Addendum'!AN$18)*(Application!$AC$726:$AC$760 = 'CalHFA Addendum'!$B19),Application!$G$726:$G$760)</f>
        <v>0</v>
      </c>
      <c r="AO19" s="2281"/>
      <c r="AP19" s="2281"/>
      <c r="AQ19" s="2281"/>
      <c r="AR19" s="2281"/>
      <c r="AS19" s="2282"/>
      <c r="AT19" s="2265">
        <f>J19/$J$29</f>
        <v>0.10256410256410256</v>
      </c>
      <c r="AU19" s="2266"/>
      <c r="AV19" s="2266"/>
      <c r="AW19" s="2266"/>
      <c r="AX19" s="2266"/>
      <c r="AY19" s="2267"/>
      <c r="AZ19" s="1216"/>
      <c r="BA19" s="1208"/>
      <c r="BB19" s="1208"/>
      <c r="BC19" s="1208"/>
      <c r="BD19" s="1208"/>
      <c r="BE19" s="1215"/>
    </row>
    <row r="20" spans="1:58" ht="15" customHeight="1">
      <c r="A20" s="1208"/>
      <c r="B20" s="2277">
        <v>0.4</v>
      </c>
      <c r="C20" s="2278"/>
      <c r="D20" s="2278"/>
      <c r="E20" s="2278"/>
      <c r="F20" s="2278"/>
      <c r="G20" s="2278"/>
      <c r="H20" s="2278"/>
      <c r="I20" s="2279"/>
      <c r="J20" s="2280">
        <f t="shared" si="0"/>
        <v>0</v>
      </c>
      <c r="K20" s="2281"/>
      <c r="L20" s="2281"/>
      <c r="M20" s="2281"/>
      <c r="N20" s="2281"/>
      <c r="O20" s="2282"/>
      <c r="P20" s="2280" cm="1">
        <f t="array" ref="P20">SUMPRODUCT((Application!$B$726:$B$760 = 'CalHFA Addendum'!P$18)*(Application!$AC$726:$AC$760 = 'CalHFA Addendum'!$B20),Application!$G$726:$G$760)</f>
        <v>0</v>
      </c>
      <c r="Q20" s="2281"/>
      <c r="R20" s="2281"/>
      <c r="S20" s="2281"/>
      <c r="T20" s="2281"/>
      <c r="U20" s="2282"/>
      <c r="V20" s="2280" cm="1">
        <f t="array" ref="V20">SUMPRODUCT((Application!$B$726:$B$760 = 'CalHFA Addendum'!V$18)*(Application!$AC$726:$AC$760 = 'CalHFA Addendum'!$B20),Application!$G$726:$G$760)</f>
        <v>0</v>
      </c>
      <c r="W20" s="2281"/>
      <c r="X20" s="2281"/>
      <c r="Y20" s="2281"/>
      <c r="Z20" s="2281"/>
      <c r="AA20" s="2282"/>
      <c r="AB20" s="2280" cm="1">
        <f t="array" ref="AB20">SUMPRODUCT((Application!$B$726:$B$760 = 'CalHFA Addendum'!AB$18)*(Application!$AC$726:$AC$760 = 'CalHFA Addendum'!$B20),Application!$G$726:$G$760)</f>
        <v>0</v>
      </c>
      <c r="AC20" s="2281"/>
      <c r="AD20" s="2281"/>
      <c r="AE20" s="2281"/>
      <c r="AF20" s="2281"/>
      <c r="AG20" s="2282"/>
      <c r="AH20" s="2280" cm="1">
        <f t="array" ref="AH20">SUMPRODUCT((Application!$B$726:$B$760 = 'CalHFA Addendum'!AH$18)*(Application!$AC$726:$AC$760 = 'CalHFA Addendum'!$B20),Application!$G$726:$G$760)</f>
        <v>0</v>
      </c>
      <c r="AI20" s="2281"/>
      <c r="AJ20" s="2281"/>
      <c r="AK20" s="2281"/>
      <c r="AL20" s="2281"/>
      <c r="AM20" s="2282"/>
      <c r="AN20" s="2280" cm="1">
        <f t="array" ref="AN20">SUMPRODUCT((Application!$B$726:$B$760 = 'CalHFA Addendum'!AN$18)*(Application!$AC$726:$AC$760 = 'CalHFA Addendum'!$B20),Application!$G$726:$G$760)</f>
        <v>0</v>
      </c>
      <c r="AO20" s="2281"/>
      <c r="AP20" s="2281"/>
      <c r="AQ20" s="2281"/>
      <c r="AR20" s="2281"/>
      <c r="AS20" s="2282"/>
      <c r="AT20" s="2265">
        <f t="shared" ref="AT20:AT29" si="1">J20/$J$29</f>
        <v>0</v>
      </c>
      <c r="AU20" s="2266"/>
      <c r="AV20" s="2266"/>
      <c r="AW20" s="2266"/>
      <c r="AX20" s="2266"/>
      <c r="AY20" s="2267"/>
      <c r="AZ20" s="1208"/>
      <c r="BA20" s="1208"/>
      <c r="BB20" s="1208"/>
      <c r="BC20" s="1208"/>
      <c r="BD20" s="1208"/>
      <c r="BE20" s="1215"/>
    </row>
    <row r="21" spans="1:58" ht="14.4">
      <c r="A21" s="1208"/>
      <c r="B21" s="2277">
        <v>0.5</v>
      </c>
      <c r="C21" s="2278"/>
      <c r="D21" s="2278"/>
      <c r="E21" s="2278"/>
      <c r="F21" s="2278"/>
      <c r="G21" s="2278"/>
      <c r="H21" s="2278"/>
      <c r="I21" s="2279"/>
      <c r="J21" s="2280">
        <f t="shared" si="0"/>
        <v>46</v>
      </c>
      <c r="K21" s="2281"/>
      <c r="L21" s="2281"/>
      <c r="M21" s="2281"/>
      <c r="N21" s="2281"/>
      <c r="O21" s="2282"/>
      <c r="P21" s="2280" cm="1">
        <f t="array" ref="P21">SUMPRODUCT((Application!$B$726:$B$760 = 'CalHFA Addendum'!P$18)*(Application!$AC$726:$AC$760 = 'CalHFA Addendum'!$B21),Application!$G$726:$G$760)</f>
        <v>41</v>
      </c>
      <c r="Q21" s="2281"/>
      <c r="R21" s="2281"/>
      <c r="S21" s="2281"/>
      <c r="T21" s="2281"/>
      <c r="U21" s="2282"/>
      <c r="V21" s="2280" cm="1">
        <f t="array" ref="V21">SUMPRODUCT((Application!$B$726:$B$760 = 'CalHFA Addendum'!V$18)*(Application!$AC$726:$AC$760 = 'CalHFA Addendum'!$B21),Application!$G$726:$G$760)</f>
        <v>5</v>
      </c>
      <c r="W21" s="2281"/>
      <c r="X21" s="2281"/>
      <c r="Y21" s="2281"/>
      <c r="Z21" s="2281"/>
      <c r="AA21" s="2282"/>
      <c r="AB21" s="2280" cm="1">
        <f t="array" ref="AB21">SUMPRODUCT((Application!$B$726:$B$760 = 'CalHFA Addendum'!AB$18)*(Application!$AC$726:$AC$760 = 'CalHFA Addendum'!$B21),Application!$G$726:$G$760)</f>
        <v>0</v>
      </c>
      <c r="AC21" s="2281"/>
      <c r="AD21" s="2281"/>
      <c r="AE21" s="2281"/>
      <c r="AF21" s="2281"/>
      <c r="AG21" s="2282"/>
      <c r="AH21" s="2280" cm="1">
        <f t="array" ref="AH21">SUMPRODUCT((Application!$B$726:$B$760 = 'CalHFA Addendum'!AH$18)*(Application!$AC$726:$AC$760 = 'CalHFA Addendum'!$B21),Application!$G$726:$G$760)</f>
        <v>0</v>
      </c>
      <c r="AI21" s="2281"/>
      <c r="AJ21" s="2281"/>
      <c r="AK21" s="2281"/>
      <c r="AL21" s="2281"/>
      <c r="AM21" s="2282"/>
      <c r="AN21" s="2280" cm="1">
        <f t="array" ref="AN21">SUMPRODUCT((Application!$B$726:$B$760 = 'CalHFA Addendum'!AN$18)*(Application!$AC$726:$AC$760 = 'CalHFA Addendum'!$B21),Application!$G$726:$G$760)</f>
        <v>0</v>
      </c>
      <c r="AO21" s="2281"/>
      <c r="AP21" s="2281"/>
      <c r="AQ21" s="2281"/>
      <c r="AR21" s="2281"/>
      <c r="AS21" s="2282"/>
      <c r="AT21" s="2265">
        <f t="shared" si="1"/>
        <v>0.19658119658119658</v>
      </c>
      <c r="AU21" s="2266"/>
      <c r="AV21" s="2266"/>
      <c r="AW21" s="2266"/>
      <c r="AX21" s="2266"/>
      <c r="AY21" s="2267"/>
      <c r="AZ21" s="1208"/>
      <c r="BA21" s="1208"/>
      <c r="BB21" s="1208"/>
      <c r="BC21" s="1208"/>
      <c r="BD21" s="1208"/>
      <c r="BE21" s="1215"/>
    </row>
    <row r="22" spans="1:58" ht="14.4">
      <c r="A22" s="1208"/>
      <c r="B22" s="2277">
        <v>0.6</v>
      </c>
      <c r="C22" s="2278"/>
      <c r="D22" s="2278"/>
      <c r="E22" s="2278"/>
      <c r="F22" s="2278"/>
      <c r="G22" s="2278"/>
      <c r="H22" s="2278"/>
      <c r="I22" s="2279"/>
      <c r="J22" s="2280">
        <f t="shared" si="0"/>
        <v>68</v>
      </c>
      <c r="K22" s="2281"/>
      <c r="L22" s="2281"/>
      <c r="M22" s="2281"/>
      <c r="N22" s="2281"/>
      <c r="O22" s="2282"/>
      <c r="P22" s="2280" cm="1">
        <f t="array" ref="P22">SUMPRODUCT((Application!$B$726:$B$760 = 'CalHFA Addendum'!P$18)*(Application!$AC$726:$AC$760 = 'CalHFA Addendum'!$B22),Application!$G$726:$G$760)</f>
        <v>1</v>
      </c>
      <c r="Q22" s="2281"/>
      <c r="R22" s="2281"/>
      <c r="S22" s="2281"/>
      <c r="T22" s="2281"/>
      <c r="U22" s="2282"/>
      <c r="V22" s="2280" cm="1">
        <f t="array" ref="V22">SUMPRODUCT((Application!$B$726:$B$760 = 'CalHFA Addendum'!V$18)*(Application!$AC$726:$AC$760 = 'CalHFA Addendum'!$B22),Application!$G$726:$G$760)</f>
        <v>25</v>
      </c>
      <c r="W22" s="2281"/>
      <c r="X22" s="2281"/>
      <c r="Y22" s="2281"/>
      <c r="Z22" s="2281"/>
      <c r="AA22" s="2282"/>
      <c r="AB22" s="2280" cm="1">
        <f t="array" ref="AB22">SUMPRODUCT((Application!$B$726:$B$760 = 'CalHFA Addendum'!AB$18)*(Application!$AC$726:$AC$760 = 'CalHFA Addendum'!$B22),Application!$G$726:$G$760)</f>
        <v>20</v>
      </c>
      <c r="AC22" s="2281"/>
      <c r="AD22" s="2281"/>
      <c r="AE22" s="2281"/>
      <c r="AF22" s="2281"/>
      <c r="AG22" s="2282"/>
      <c r="AH22" s="2280" cm="1">
        <f t="array" ref="AH22">SUMPRODUCT((Application!$B$726:$B$760 = 'CalHFA Addendum'!AH$18)*(Application!$AC$726:$AC$760 = 'CalHFA Addendum'!$B22),Application!$G$726:$G$760)</f>
        <v>22</v>
      </c>
      <c r="AI22" s="2281"/>
      <c r="AJ22" s="2281"/>
      <c r="AK22" s="2281"/>
      <c r="AL22" s="2281"/>
      <c r="AM22" s="2282"/>
      <c r="AN22" s="2280" cm="1">
        <f t="array" ref="AN22">SUMPRODUCT((Application!$B$726:$B$760 = 'CalHFA Addendum'!AN$18)*(Application!$AC$726:$AC$760 = 'CalHFA Addendum'!$B22),Application!$G$726:$G$760)</f>
        <v>0</v>
      </c>
      <c r="AO22" s="2281"/>
      <c r="AP22" s="2281"/>
      <c r="AQ22" s="2281"/>
      <c r="AR22" s="2281"/>
      <c r="AS22" s="2282"/>
      <c r="AT22" s="2265">
        <f t="shared" si="1"/>
        <v>0.29059829059829062</v>
      </c>
      <c r="AU22" s="2266"/>
      <c r="AV22" s="2266"/>
      <c r="AW22" s="2266"/>
      <c r="AX22" s="2266"/>
      <c r="AY22" s="2267"/>
      <c r="AZ22" s="1208"/>
      <c r="BA22" s="1208"/>
      <c r="BB22" s="1208"/>
      <c r="BC22" s="1208"/>
      <c r="BD22" s="1208"/>
      <c r="BE22" s="1215"/>
    </row>
    <row r="23" spans="1:58" ht="14.4">
      <c r="A23" s="1208"/>
      <c r="B23" s="2277">
        <v>0.7</v>
      </c>
      <c r="C23" s="2278"/>
      <c r="D23" s="2278"/>
      <c r="E23" s="2278"/>
      <c r="F23" s="2278"/>
      <c r="G23" s="2278"/>
      <c r="H23" s="2278"/>
      <c r="I23" s="2279"/>
      <c r="J23" s="2280">
        <f t="shared" si="0"/>
        <v>94</v>
      </c>
      <c r="K23" s="2281"/>
      <c r="L23" s="2281"/>
      <c r="M23" s="2281"/>
      <c r="N23" s="2281"/>
      <c r="O23" s="2282"/>
      <c r="P23" s="2280" cm="1">
        <f t="array" ref="P23">SUMPRODUCT((Application!$B$726:$B$760 = 'CalHFA Addendum'!P$18)*(Application!$AC$726:$AC$760 = 'CalHFA Addendum'!$B23),Application!$G$726:$G$760)</f>
        <v>0</v>
      </c>
      <c r="Q23" s="2281"/>
      <c r="R23" s="2281"/>
      <c r="S23" s="2281"/>
      <c r="T23" s="2281"/>
      <c r="U23" s="2282"/>
      <c r="V23" s="2280" cm="1">
        <f t="array" ref="V23">SUMPRODUCT((Application!$B$726:$B$760 = 'CalHFA Addendum'!V$18)*(Application!$AC$726:$AC$760 = 'CalHFA Addendum'!$B23),Application!$G$726:$G$760)</f>
        <v>18</v>
      </c>
      <c r="W23" s="2281"/>
      <c r="X23" s="2281"/>
      <c r="Y23" s="2281"/>
      <c r="Z23" s="2281"/>
      <c r="AA23" s="2282"/>
      <c r="AB23" s="2280" cm="1">
        <f t="array" ref="AB23">SUMPRODUCT((Application!$B$726:$B$760 = 'CalHFA Addendum'!AB$18)*(Application!$AC$726:$AC$760 = 'CalHFA Addendum'!$B23),Application!$G$726:$G$760)</f>
        <v>39</v>
      </c>
      <c r="AC23" s="2281"/>
      <c r="AD23" s="2281"/>
      <c r="AE23" s="2281"/>
      <c r="AF23" s="2281"/>
      <c r="AG23" s="2282"/>
      <c r="AH23" s="2280" cm="1">
        <f t="array" ref="AH23">SUMPRODUCT((Application!$B$726:$B$760 = 'CalHFA Addendum'!AH$18)*(Application!$AC$726:$AC$760 = 'CalHFA Addendum'!$B23),Application!$G$726:$G$760)</f>
        <v>37</v>
      </c>
      <c r="AI23" s="2281"/>
      <c r="AJ23" s="2281"/>
      <c r="AK23" s="2281"/>
      <c r="AL23" s="2281"/>
      <c r="AM23" s="2282"/>
      <c r="AN23" s="2280" cm="1">
        <f t="array" ref="AN23">SUMPRODUCT((Application!$B$726:$B$760 = 'CalHFA Addendum'!AN$18)*(Application!$AC$726:$AC$760 = 'CalHFA Addendum'!$B23),Application!$G$726:$G$760)</f>
        <v>0</v>
      </c>
      <c r="AO23" s="2281"/>
      <c r="AP23" s="2281"/>
      <c r="AQ23" s="2281"/>
      <c r="AR23" s="2281"/>
      <c r="AS23" s="2282"/>
      <c r="AT23" s="2265">
        <f t="shared" si="1"/>
        <v>0.40170940170940173</v>
      </c>
      <c r="AU23" s="2266"/>
      <c r="AV23" s="2266"/>
      <c r="AW23" s="2266"/>
      <c r="AX23" s="2266"/>
      <c r="AY23" s="2267"/>
      <c r="AZ23" s="1208"/>
      <c r="BA23" s="1208"/>
      <c r="BB23" s="1208"/>
      <c r="BC23" s="1208"/>
      <c r="BD23" s="1208"/>
      <c r="BE23" s="1215"/>
    </row>
    <row r="24" spans="1:58" ht="14.4">
      <c r="A24" s="1208"/>
      <c r="B24" s="2277">
        <v>0.8</v>
      </c>
      <c r="C24" s="2278"/>
      <c r="D24" s="2278"/>
      <c r="E24" s="2278"/>
      <c r="F24" s="2278"/>
      <c r="G24" s="2278"/>
      <c r="H24" s="2278"/>
      <c r="I24" s="2279"/>
      <c r="J24" s="2280">
        <f t="shared" si="0"/>
        <v>0</v>
      </c>
      <c r="K24" s="2281"/>
      <c r="L24" s="2281"/>
      <c r="M24" s="2281"/>
      <c r="N24" s="2281"/>
      <c r="O24" s="2282"/>
      <c r="P24" s="2280" cm="1">
        <f t="array" ref="P24">SUMPRODUCT((Application!$B$726:$B$760 = 'CalHFA Addendum'!P$18)*(Application!$AC$726:$AC$760 = 'CalHFA Addendum'!$B24),Application!$G$726:$G$760)</f>
        <v>0</v>
      </c>
      <c r="Q24" s="2281"/>
      <c r="R24" s="2281"/>
      <c r="S24" s="2281"/>
      <c r="T24" s="2281"/>
      <c r="U24" s="2282"/>
      <c r="V24" s="2280" cm="1">
        <f t="array" ref="V24">SUMPRODUCT((Application!$B$726:$B$760 = 'CalHFA Addendum'!V$18)*(Application!$AC$726:$AC$760 = 'CalHFA Addendum'!$B24),Application!$G$726:$G$760)</f>
        <v>0</v>
      </c>
      <c r="W24" s="2281"/>
      <c r="X24" s="2281"/>
      <c r="Y24" s="2281"/>
      <c r="Z24" s="2281"/>
      <c r="AA24" s="2282"/>
      <c r="AB24" s="2280" cm="1">
        <f t="array" ref="AB24">SUMPRODUCT((Application!$B$726:$B$760 = 'CalHFA Addendum'!AB$18)*(Application!$AC$726:$AC$760 = 'CalHFA Addendum'!$B24),Application!$G$726:$G$760)</f>
        <v>0</v>
      </c>
      <c r="AC24" s="2281"/>
      <c r="AD24" s="2281"/>
      <c r="AE24" s="2281"/>
      <c r="AF24" s="2281"/>
      <c r="AG24" s="2282"/>
      <c r="AH24" s="2280" cm="1">
        <f t="array" ref="AH24">SUMPRODUCT((Application!$B$726:$B$760 = 'CalHFA Addendum'!AH$18)*(Application!$AC$726:$AC$760 = 'CalHFA Addendum'!$B24),Application!$G$726:$G$760)</f>
        <v>0</v>
      </c>
      <c r="AI24" s="2281"/>
      <c r="AJ24" s="2281"/>
      <c r="AK24" s="2281"/>
      <c r="AL24" s="2281"/>
      <c r="AM24" s="2282"/>
      <c r="AN24" s="2280" cm="1">
        <f t="array" ref="AN24">SUMPRODUCT((Application!$B$726:$B$760 = 'CalHFA Addendum'!AN$18)*(Application!$AC$726:$AC$760 = 'CalHFA Addendum'!$B24),Application!$G$726:$G$760)</f>
        <v>0</v>
      </c>
      <c r="AO24" s="2281"/>
      <c r="AP24" s="2281"/>
      <c r="AQ24" s="2281"/>
      <c r="AR24" s="2281"/>
      <c r="AS24" s="2282"/>
      <c r="AT24" s="2265">
        <f t="shared" si="1"/>
        <v>0</v>
      </c>
      <c r="AU24" s="2266"/>
      <c r="AV24" s="2266"/>
      <c r="AW24" s="2266"/>
      <c r="AX24" s="2266"/>
      <c r="AY24" s="2267"/>
      <c r="AZ24" s="1208"/>
      <c r="BA24" s="1208"/>
      <c r="BB24" s="1208"/>
      <c r="BC24" s="1208"/>
      <c r="BD24" s="1208"/>
      <c r="BE24" s="1215"/>
    </row>
    <row r="25" spans="1:58" ht="14.4">
      <c r="A25" s="1208"/>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208"/>
      <c r="BA25" s="1208"/>
      <c r="BB25" s="1208"/>
      <c r="BC25" s="1208"/>
      <c r="BD25" s="1208"/>
      <c r="BE25" s="1215"/>
    </row>
    <row r="26" spans="1:58" ht="14.4">
      <c r="A26" s="1208"/>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208"/>
      <c r="BA26" s="1208"/>
      <c r="BB26" s="1208"/>
      <c r="BC26" s="1208"/>
      <c r="BD26" s="1208"/>
      <c r="BE26" s="1215"/>
    </row>
    <row r="27" spans="1:58" ht="14.4">
      <c r="A27" s="1208"/>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208"/>
      <c r="BA27" s="1208"/>
      <c r="BB27" s="1208"/>
      <c r="BC27" s="1208"/>
      <c r="BD27" s="1208"/>
      <c r="BE27" s="1215"/>
    </row>
    <row r="28" spans="1:58" ht="15" thickBot="1">
      <c r="A28" s="1208"/>
      <c r="B28" s="2268" t="s">
        <v>2365</v>
      </c>
      <c r="C28" s="2269"/>
      <c r="D28" s="2269"/>
      <c r="E28" s="2269"/>
      <c r="F28" s="2269"/>
      <c r="G28" s="2269"/>
      <c r="H28" s="2269"/>
      <c r="I28" s="2270"/>
      <c r="J28" s="2271">
        <f>SUM(P28:AS28)</f>
        <v>2</v>
      </c>
      <c r="K28" s="2272"/>
      <c r="L28" s="2272"/>
      <c r="M28" s="2272"/>
      <c r="N28" s="2272"/>
      <c r="O28" s="2273"/>
      <c r="P28" s="2271">
        <f>_xlfn.IFNA(VLOOKUP(P$18,Application!$J$781:$S$784,6,FALSE), 0)</f>
        <v>0</v>
      </c>
      <c r="Q28" s="2272"/>
      <c r="R28" s="2272"/>
      <c r="S28" s="2272"/>
      <c r="T28" s="2272"/>
      <c r="U28" s="2273"/>
      <c r="V28" s="2271">
        <f>_xlfn.IFNA(VLOOKUP(V$18,Application!$J$781:$S$784,6,FALSE), 0)</f>
        <v>0</v>
      </c>
      <c r="W28" s="2272"/>
      <c r="X28" s="2272"/>
      <c r="Y28" s="2272"/>
      <c r="Z28" s="2272"/>
      <c r="AA28" s="2273"/>
      <c r="AB28" s="2271">
        <f>_xlfn.IFNA(VLOOKUP(AB$18,Application!$J$781:$S$784,6,FALSE), 0)</f>
        <v>2</v>
      </c>
      <c r="AC28" s="2272"/>
      <c r="AD28" s="2272"/>
      <c r="AE28" s="2272"/>
      <c r="AF28" s="2272"/>
      <c r="AG28" s="2273"/>
      <c r="AH28" s="2271">
        <f>_xlfn.IFNA(VLOOKUP(AH$18,Application!$J$781:$S$784,6,FALSE), 0)</f>
        <v>0</v>
      </c>
      <c r="AI28" s="2272"/>
      <c r="AJ28" s="2272"/>
      <c r="AK28" s="2272"/>
      <c r="AL28" s="2272"/>
      <c r="AM28" s="2273"/>
      <c r="AN28" s="2271">
        <f>_xlfn.IFNA(VLOOKUP(AN$18,Application!$J$781:$S$784,6,FALSE), 0)</f>
        <v>0</v>
      </c>
      <c r="AO28" s="2272"/>
      <c r="AP28" s="2272"/>
      <c r="AQ28" s="2272"/>
      <c r="AR28" s="2272"/>
      <c r="AS28" s="2273"/>
      <c r="AT28" s="2274">
        <f t="shared" si="1"/>
        <v>8.5470085470085479E-3</v>
      </c>
      <c r="AU28" s="2275"/>
      <c r="AV28" s="2275"/>
      <c r="AW28" s="2275"/>
      <c r="AX28" s="2275"/>
      <c r="AY28" s="2276"/>
      <c r="AZ28" s="1208"/>
      <c r="BA28" s="1208"/>
      <c r="BB28" s="1208"/>
      <c r="BC28" s="1208"/>
      <c r="BD28" s="1208"/>
      <c r="BE28" s="1215"/>
    </row>
    <row r="29" spans="1:58" ht="15" thickBot="1">
      <c r="A29" s="1208"/>
      <c r="B29" s="2251" t="s">
        <v>1574</v>
      </c>
      <c r="C29" s="2224"/>
      <c r="D29" s="2224"/>
      <c r="E29" s="2224"/>
      <c r="F29" s="2224"/>
      <c r="G29" s="2224"/>
      <c r="H29" s="2224"/>
      <c r="I29" s="2225"/>
      <c r="J29" s="2223">
        <f>SUM(J19:O28)</f>
        <v>234</v>
      </c>
      <c r="K29" s="2224"/>
      <c r="L29" s="2224"/>
      <c r="M29" s="2224"/>
      <c r="N29" s="2224"/>
      <c r="O29" s="2225"/>
      <c r="P29" s="2223">
        <f>SUM(P19:U28)</f>
        <v>65</v>
      </c>
      <c r="Q29" s="2224"/>
      <c r="R29" s="2224"/>
      <c r="S29" s="2224"/>
      <c r="T29" s="2224"/>
      <c r="U29" s="2225"/>
      <c r="V29" s="2223">
        <f>SUM(V19:AA28)</f>
        <v>48</v>
      </c>
      <c r="W29" s="2224"/>
      <c r="X29" s="2224"/>
      <c r="Y29" s="2224"/>
      <c r="Z29" s="2224"/>
      <c r="AA29" s="2225"/>
      <c r="AB29" s="2223">
        <f>SUM(AB19:AG28)</f>
        <v>61</v>
      </c>
      <c r="AC29" s="2224"/>
      <c r="AD29" s="2224"/>
      <c r="AE29" s="2224"/>
      <c r="AF29" s="2224"/>
      <c r="AG29" s="2225"/>
      <c r="AH29" s="2223">
        <f>SUM(AH19:AM28)</f>
        <v>60</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9" t="s">
        <v>2364</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215"/>
    </row>
    <row r="32" spans="1:58" ht="15" thickBot="1">
      <c r="A32" s="1208"/>
      <c r="B32" s="2232" t="s">
        <v>2363</v>
      </c>
      <c r="C32" s="2233"/>
      <c r="D32" s="2233"/>
      <c r="E32" s="2233"/>
      <c r="F32" s="2233"/>
      <c r="G32" s="2233"/>
      <c r="H32" s="2233"/>
      <c r="I32" s="2233"/>
      <c r="J32" s="2236" t="s">
        <v>2362</v>
      </c>
      <c r="K32" s="2237"/>
      <c r="L32" s="2237"/>
      <c r="M32" s="2237"/>
      <c r="N32" s="2236" t="s">
        <v>2361</v>
      </c>
      <c r="O32" s="2237"/>
      <c r="P32" s="2237"/>
      <c r="Q32" s="2239"/>
      <c r="R32" s="2241" t="s">
        <v>2360</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215"/>
    </row>
    <row r="33" spans="1:58" ht="15" customHeight="1">
      <c r="A33" s="1208"/>
      <c r="B33" s="2234"/>
      <c r="C33" s="2235"/>
      <c r="D33" s="2235"/>
      <c r="E33" s="2235"/>
      <c r="F33" s="2235"/>
      <c r="G33" s="2235"/>
      <c r="H33" s="2235"/>
      <c r="I33" s="2235"/>
      <c r="J33" s="2238"/>
      <c r="K33" s="2238"/>
      <c r="L33" s="2238"/>
      <c r="M33" s="2238"/>
      <c r="N33" s="2238"/>
      <c r="O33" s="2238"/>
      <c r="P33" s="2238"/>
      <c r="Q33" s="2240"/>
      <c r="R33" s="2244" t="s">
        <v>2359</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215"/>
    </row>
    <row r="34" spans="1:58" ht="15.75" customHeight="1" thickBot="1">
      <c r="A34" s="1208"/>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215"/>
    </row>
    <row r="35" spans="1:58" ht="15.75" customHeight="1">
      <c r="A35" s="1208"/>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2358</v>
      </c>
      <c r="AT35" s="2253"/>
      <c r="AU35" s="2253"/>
      <c r="AV35" s="2253"/>
      <c r="AW35" s="2253"/>
      <c r="AX35" s="2261"/>
      <c r="AY35" s="2252" t="s">
        <v>2357</v>
      </c>
      <c r="AZ35" s="2253"/>
      <c r="BA35" s="2253"/>
      <c r="BB35" s="2253"/>
      <c r="BC35" s="2253"/>
      <c r="BD35" s="2254"/>
      <c r="BE35" s="1215"/>
    </row>
    <row r="36" spans="1:58" ht="15.75" customHeight="1">
      <c r="A36" s="1208"/>
      <c r="B36" s="2156" t="s">
        <v>2356</v>
      </c>
      <c r="C36" s="2157"/>
      <c r="D36" s="2157"/>
      <c r="E36" s="2157"/>
      <c r="F36" s="2157"/>
      <c r="G36" s="2157"/>
      <c r="H36" s="2157"/>
      <c r="I36" s="2157"/>
      <c r="J36" s="2221" t="s">
        <v>2355</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215"/>
    </row>
    <row r="37" spans="1:58" ht="15.75" customHeight="1">
      <c r="A37" s="1208"/>
      <c r="B37" s="2156" t="s">
        <v>2354</v>
      </c>
      <c r="C37" s="2157"/>
      <c r="D37" s="2157"/>
      <c r="E37" s="2157"/>
      <c r="F37" s="2157"/>
      <c r="G37" s="2157"/>
      <c r="H37" s="2157"/>
      <c r="I37" s="2157"/>
      <c r="J37" s="2221" t="s">
        <v>2353</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215"/>
    </row>
    <row r="38" spans="1:58" ht="15.75" customHeight="1">
      <c r="A38" s="1208"/>
      <c r="B38" s="2156" t="s">
        <v>2352</v>
      </c>
      <c r="C38" s="2157"/>
      <c r="D38" s="2157"/>
      <c r="E38" s="2157"/>
      <c r="F38" s="2157"/>
      <c r="G38" s="2157"/>
      <c r="H38" s="2157"/>
      <c r="I38" s="2157"/>
      <c r="J38" s="2221" t="s">
        <v>2351</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215"/>
    </row>
    <row r="39" spans="1:58" ht="15.75" customHeight="1">
      <c r="A39" s="1208"/>
      <c r="B39" s="2156" t="s">
        <v>2350</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215"/>
    </row>
    <row r="40" spans="1:58" ht="15.75" customHeight="1">
      <c r="A40" s="1208"/>
      <c r="B40" s="2156" t="s">
        <v>2350</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215"/>
    </row>
    <row r="41" spans="1:58" ht="15.75" customHeight="1">
      <c r="A41" s="1208"/>
      <c r="B41" s="2156" t="s">
        <v>2349</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215"/>
    </row>
    <row r="42" spans="1:58" ht="15.75" customHeight="1">
      <c r="A42" s="1208"/>
      <c r="B42" s="2156" t="s">
        <v>2349</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215"/>
    </row>
    <row r="43" spans="1:58" ht="15.75" customHeight="1">
      <c r="A43" s="1208"/>
      <c r="B43" s="2161" t="s">
        <v>2348</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215"/>
    </row>
    <row r="44" spans="1:58" ht="15.75" customHeight="1">
      <c r="A44" s="1208"/>
      <c r="B44" s="2161" t="s">
        <v>2347</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215"/>
    </row>
    <row r="45" spans="1:58" ht="15.75" customHeight="1">
      <c r="A45" s="1208"/>
      <c r="B45" s="2161" t="s">
        <v>2346</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215"/>
    </row>
    <row r="46" spans="1:58" ht="15.75" customHeight="1">
      <c r="A46" s="1208"/>
      <c r="B46" s="2161" t="s">
        <v>2278</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215"/>
    </row>
    <row r="47" spans="1:58" ht="15.75" customHeight="1" thickBot="1">
      <c r="A47" s="1208"/>
      <c r="B47" s="2215" t="s">
        <v>299</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0" t="s">
        <v>2343</v>
      </c>
      <c r="C50" s="2036"/>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c r="AC50" s="2036"/>
      <c r="AD50" s="2036"/>
      <c r="AE50" s="2036"/>
      <c r="AF50" s="2036"/>
      <c r="AG50" s="2036"/>
      <c r="AH50" s="2036"/>
      <c r="AI50" s="2036"/>
      <c r="AJ50" s="2036"/>
      <c r="AK50" s="2036"/>
      <c r="AL50" s="2036"/>
      <c r="AM50" s="2036"/>
      <c r="AN50" s="2036"/>
      <c r="AO50" s="203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4" t="s">
        <v>2336</v>
      </c>
      <c r="C51" s="2108"/>
      <c r="D51" s="2108"/>
      <c r="E51" s="2108"/>
      <c r="F51" s="2108"/>
      <c r="G51" s="2108"/>
      <c r="H51" s="2108"/>
      <c r="I51" s="2108"/>
      <c r="J51" s="2108" t="s">
        <v>2342</v>
      </c>
      <c r="K51" s="2108"/>
      <c r="L51" s="2108"/>
      <c r="M51" s="2108"/>
      <c r="N51" s="2108"/>
      <c r="O51" s="2108"/>
      <c r="P51" s="2108"/>
      <c r="Q51" s="2108"/>
      <c r="R51" s="2200" t="s">
        <v>2341</v>
      </c>
      <c r="S51" s="2200"/>
      <c r="T51" s="2200"/>
      <c r="U51" s="2200"/>
      <c r="V51" s="2200"/>
      <c r="W51" s="2200"/>
      <c r="X51" s="2200"/>
      <c r="Y51" s="2200"/>
      <c r="Z51" s="2200" t="s">
        <v>2340</v>
      </c>
      <c r="AA51" s="2200"/>
      <c r="AB51" s="2200"/>
      <c r="AC51" s="2200"/>
      <c r="AD51" s="2200"/>
      <c r="AE51" s="2200"/>
      <c r="AF51" s="2200"/>
      <c r="AG51" s="2200"/>
      <c r="AH51" s="2200" t="s">
        <v>2339</v>
      </c>
      <c r="AI51" s="2200"/>
      <c r="AJ51" s="2200"/>
      <c r="AK51" s="2200"/>
      <c r="AL51" s="2200"/>
      <c r="AM51" s="2200"/>
      <c r="AN51" s="2200"/>
      <c r="AO51" s="220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1" t="s">
        <v>2338</v>
      </c>
      <c r="C52" s="2162"/>
      <c r="D52" s="2162"/>
      <c r="E52" s="2162"/>
      <c r="F52" s="2162"/>
      <c r="G52" s="2162"/>
      <c r="H52" s="2162"/>
      <c r="I52" s="2162"/>
      <c r="J52" s="1997">
        <v>0</v>
      </c>
      <c r="K52" s="1997"/>
      <c r="L52" s="1997"/>
      <c r="M52" s="1997"/>
      <c r="N52" s="1997"/>
      <c r="O52" s="1997"/>
      <c r="P52" s="1997"/>
      <c r="Q52" s="1997"/>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1" t="s">
        <v>2337</v>
      </c>
      <c r="C53" s="2162"/>
      <c r="D53" s="2162"/>
      <c r="E53" s="2162"/>
      <c r="F53" s="2162"/>
      <c r="G53" s="2162"/>
      <c r="H53" s="2162"/>
      <c r="I53" s="2162"/>
      <c r="J53" s="1997">
        <v>0</v>
      </c>
      <c r="K53" s="1997"/>
      <c r="L53" s="1997"/>
      <c r="M53" s="1997"/>
      <c r="N53" s="1997"/>
      <c r="O53" s="1997"/>
      <c r="P53" s="1997"/>
      <c r="Q53" s="1997"/>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1"/>
      <c r="C54" s="2162"/>
      <c r="D54" s="2162"/>
      <c r="E54" s="2162"/>
      <c r="F54" s="2162"/>
      <c r="G54" s="2162"/>
      <c r="H54" s="2162"/>
      <c r="I54" s="2162"/>
      <c r="J54" s="1997"/>
      <c r="K54" s="1997"/>
      <c r="L54" s="1997"/>
      <c r="M54" s="1997"/>
      <c r="N54" s="1997"/>
      <c r="O54" s="1997"/>
      <c r="P54" s="1997"/>
      <c r="Q54" s="1997"/>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1"/>
      <c r="C55" s="2162"/>
      <c r="D55" s="2162"/>
      <c r="E55" s="2162"/>
      <c r="F55" s="2162"/>
      <c r="G55" s="2162"/>
      <c r="H55" s="2162"/>
      <c r="I55" s="2162"/>
      <c r="J55" s="1997"/>
      <c r="K55" s="1997"/>
      <c r="L55" s="1997"/>
      <c r="M55" s="1997"/>
      <c r="N55" s="1997"/>
      <c r="O55" s="1997"/>
      <c r="P55" s="1997"/>
      <c r="Q55" s="1997"/>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61"/>
      <c r="C56" s="2162"/>
      <c r="D56" s="2162"/>
      <c r="E56" s="2162"/>
      <c r="F56" s="2162"/>
      <c r="G56" s="2162"/>
      <c r="H56" s="2162"/>
      <c r="I56" s="2162"/>
      <c r="J56" s="1997"/>
      <c r="K56" s="1997"/>
      <c r="L56" s="1997"/>
      <c r="M56" s="1997"/>
      <c r="N56" s="1997"/>
      <c r="O56" s="1997"/>
      <c r="P56" s="1997"/>
      <c r="Q56" s="1997"/>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2" t="s">
        <v>1574</v>
      </c>
      <c r="C57" s="2143"/>
      <c r="D57" s="2143"/>
      <c r="E57" s="2143"/>
      <c r="F57" s="2143"/>
      <c r="G57" s="2143"/>
      <c r="H57" s="2143"/>
      <c r="I57" s="2143"/>
      <c r="J57" s="2143"/>
      <c r="K57" s="2143"/>
      <c r="L57" s="2143"/>
      <c r="M57" s="2143"/>
      <c r="N57" s="2143"/>
      <c r="O57" s="2143"/>
      <c r="P57" s="2143"/>
      <c r="Q57" s="2143"/>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9" t="s">
        <v>2336</v>
      </c>
      <c r="C59" s="2190"/>
      <c r="D59" s="2190"/>
      <c r="E59" s="2190"/>
      <c r="F59" s="2190"/>
      <c r="G59" s="2190"/>
      <c r="H59" s="2190"/>
      <c r="I59" s="2191"/>
      <c r="J59" s="2112" t="s">
        <v>2335</v>
      </c>
      <c r="K59" s="2112"/>
      <c r="L59" s="2112"/>
      <c r="M59" s="2112"/>
      <c r="N59" s="2112"/>
      <c r="O59" s="2112"/>
      <c r="P59" s="2112"/>
      <c r="Q59" s="2112"/>
      <c r="R59" s="2112"/>
      <c r="S59" s="2112"/>
      <c r="T59" s="2112"/>
      <c r="U59" s="2112"/>
      <c r="V59" s="2112"/>
      <c r="W59" s="2112"/>
      <c r="X59" s="2112"/>
      <c r="Y59" s="2112"/>
      <c r="Z59" s="2112"/>
      <c r="AA59" s="2112"/>
      <c r="AB59" s="2112"/>
      <c r="AC59" s="2112"/>
      <c r="AD59" s="2112"/>
      <c r="AE59" s="2112"/>
      <c r="AF59" s="2112"/>
      <c r="AG59" s="2112"/>
      <c r="AH59" s="2112"/>
      <c r="AI59" s="2112"/>
      <c r="AJ59" s="2112"/>
      <c r="AK59" s="2112"/>
      <c r="AL59" s="2112"/>
      <c r="AM59" s="2112"/>
      <c r="AN59" s="2112"/>
      <c r="AO59" s="2112"/>
      <c r="AP59" s="2112"/>
      <c r="AQ59" s="2112"/>
      <c r="AR59" s="2112"/>
      <c r="AS59" s="2112"/>
      <c r="AT59" s="2112"/>
      <c r="AU59" s="2112"/>
      <c r="AV59" s="2112"/>
      <c r="AW59" s="2113"/>
      <c r="AX59" s="1208"/>
      <c r="AY59" s="1208"/>
      <c r="AZ59" s="1208"/>
      <c r="BA59" s="1208"/>
      <c r="BB59" s="1208"/>
      <c r="BC59" s="1208"/>
      <c r="BD59" s="1208"/>
      <c r="BE59" s="1215"/>
    </row>
    <row r="60" spans="1:77" ht="15.75" customHeight="1">
      <c r="A60" s="1208"/>
      <c r="B60" s="2181" t="str">
        <f>IF(B52="", "", B52)</f>
        <v>Services Company 1</v>
      </c>
      <c r="C60" s="2182"/>
      <c r="D60" s="2182"/>
      <c r="E60" s="2182"/>
      <c r="F60" s="2182"/>
      <c r="G60" s="2182"/>
      <c r="H60" s="2182"/>
      <c r="I60" s="2183"/>
      <c r="J60" s="2184"/>
      <c r="K60" s="2000"/>
      <c r="L60" s="2000"/>
      <c r="M60" s="200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c r="AS60" s="2000"/>
      <c r="AT60" s="2000"/>
      <c r="AU60" s="2000"/>
      <c r="AV60" s="2000"/>
      <c r="AW60" s="2001"/>
      <c r="AX60" s="1208"/>
      <c r="AY60" s="1208"/>
      <c r="AZ60" s="1208"/>
      <c r="BA60" s="1208"/>
      <c r="BB60" s="1208"/>
      <c r="BC60" s="1208"/>
      <c r="BD60" s="1208"/>
      <c r="BE60" s="1215"/>
    </row>
    <row r="61" spans="1:77" ht="15.75" customHeight="1">
      <c r="A61" s="1208"/>
      <c r="B61" s="2181" t="str">
        <f>IF(B53="", "", B53)</f>
        <v>Services Company 2</v>
      </c>
      <c r="C61" s="2182"/>
      <c r="D61" s="2182"/>
      <c r="E61" s="2182"/>
      <c r="F61" s="2182"/>
      <c r="G61" s="2182"/>
      <c r="H61" s="2182"/>
      <c r="I61" s="2183"/>
      <c r="J61" s="2184"/>
      <c r="K61" s="2000"/>
      <c r="L61" s="2000"/>
      <c r="M61" s="2000"/>
      <c r="N61" s="2000"/>
      <c r="O61" s="2000"/>
      <c r="P61" s="2000"/>
      <c r="Q61" s="2000"/>
      <c r="R61" s="2000"/>
      <c r="S61" s="2000"/>
      <c r="T61" s="2000"/>
      <c r="U61" s="2000"/>
      <c r="V61" s="2000"/>
      <c r="W61" s="2000"/>
      <c r="X61" s="2000"/>
      <c r="Y61" s="2000"/>
      <c r="Z61" s="2000"/>
      <c r="AA61" s="2000"/>
      <c r="AB61" s="2000"/>
      <c r="AC61" s="2000"/>
      <c r="AD61" s="2000"/>
      <c r="AE61" s="2000"/>
      <c r="AF61" s="2000"/>
      <c r="AG61" s="2000"/>
      <c r="AH61" s="2000"/>
      <c r="AI61" s="2000"/>
      <c r="AJ61" s="2000"/>
      <c r="AK61" s="2000"/>
      <c r="AL61" s="2000"/>
      <c r="AM61" s="2000"/>
      <c r="AN61" s="2000"/>
      <c r="AO61" s="2000"/>
      <c r="AP61" s="2000"/>
      <c r="AQ61" s="2000"/>
      <c r="AR61" s="2000"/>
      <c r="AS61" s="2000"/>
      <c r="AT61" s="2000"/>
      <c r="AU61" s="2000"/>
      <c r="AV61" s="2000"/>
      <c r="AW61" s="2001"/>
      <c r="AX61" s="1208"/>
      <c r="AY61" s="1208"/>
      <c r="AZ61" s="1208"/>
      <c r="BA61" s="1208"/>
      <c r="BB61" s="1208"/>
      <c r="BC61" s="1208"/>
      <c r="BD61" s="1208"/>
      <c r="BE61" s="1215"/>
    </row>
    <row r="62" spans="1:77" ht="15.75" customHeight="1">
      <c r="A62" s="1208"/>
      <c r="B62" s="2181" t="str">
        <f>IF(B54="", "", B54)</f>
        <v/>
      </c>
      <c r="C62" s="2182"/>
      <c r="D62" s="2182"/>
      <c r="E62" s="2182"/>
      <c r="F62" s="2182"/>
      <c r="G62" s="2182"/>
      <c r="H62" s="2182"/>
      <c r="I62" s="2183"/>
      <c r="J62" s="2184"/>
      <c r="K62" s="2000"/>
      <c r="L62" s="2000"/>
      <c r="M62" s="2000"/>
      <c r="N62" s="2000"/>
      <c r="O62" s="2000"/>
      <c r="P62" s="2000"/>
      <c r="Q62" s="2000"/>
      <c r="R62" s="2000"/>
      <c r="S62" s="2000"/>
      <c r="T62" s="2000"/>
      <c r="U62" s="2000"/>
      <c r="V62" s="2000"/>
      <c r="W62" s="2000"/>
      <c r="X62" s="2000"/>
      <c r="Y62" s="2000"/>
      <c r="Z62" s="2000"/>
      <c r="AA62" s="2000"/>
      <c r="AB62" s="2000"/>
      <c r="AC62" s="2000"/>
      <c r="AD62" s="2000"/>
      <c r="AE62" s="2000"/>
      <c r="AF62" s="2000"/>
      <c r="AG62" s="2000"/>
      <c r="AH62" s="2000"/>
      <c r="AI62" s="2000"/>
      <c r="AJ62" s="2000"/>
      <c r="AK62" s="2000"/>
      <c r="AL62" s="2000"/>
      <c r="AM62" s="2000"/>
      <c r="AN62" s="2000"/>
      <c r="AO62" s="2000"/>
      <c r="AP62" s="2000"/>
      <c r="AQ62" s="2000"/>
      <c r="AR62" s="2000"/>
      <c r="AS62" s="2000"/>
      <c r="AT62" s="2000"/>
      <c r="AU62" s="2000"/>
      <c r="AV62" s="2000"/>
      <c r="AW62" s="2001"/>
      <c r="AX62" s="1208"/>
      <c r="AY62" s="1208"/>
      <c r="AZ62" s="1208"/>
      <c r="BA62" s="1208"/>
      <c r="BB62" s="1208"/>
      <c r="BC62" s="1208"/>
      <c r="BD62" s="1208"/>
      <c r="BE62" s="1215"/>
    </row>
    <row r="63" spans="1:77" ht="15.75" customHeight="1">
      <c r="A63" s="1208"/>
      <c r="B63" s="2181" t="str">
        <f>IF(B55="", "", B55)</f>
        <v/>
      </c>
      <c r="C63" s="2182"/>
      <c r="D63" s="2182"/>
      <c r="E63" s="2182"/>
      <c r="F63" s="2182"/>
      <c r="G63" s="2182"/>
      <c r="H63" s="2182"/>
      <c r="I63" s="2183"/>
      <c r="J63" s="2184"/>
      <c r="K63" s="2000"/>
      <c r="L63" s="2000"/>
      <c r="M63" s="2000"/>
      <c r="N63" s="200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c r="AS63" s="2000"/>
      <c r="AT63" s="2000"/>
      <c r="AU63" s="2000"/>
      <c r="AV63" s="2000"/>
      <c r="AW63" s="2001"/>
      <c r="AX63" s="1208"/>
      <c r="AY63" s="1208"/>
      <c r="AZ63" s="1208"/>
      <c r="BA63" s="1208"/>
      <c r="BB63" s="1208"/>
      <c r="BC63" s="1208"/>
      <c r="BD63" s="1208"/>
      <c r="BE63" s="1215"/>
    </row>
    <row r="64" spans="1:77" ht="15.75" customHeight="1" thickBot="1">
      <c r="A64" s="1208"/>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1" t="s">
        <v>2333</v>
      </c>
      <c r="C68" s="2112"/>
      <c r="D68" s="2112"/>
      <c r="E68" s="2112"/>
      <c r="F68" s="2112"/>
      <c r="G68" s="2112"/>
      <c r="H68" s="2112"/>
      <c r="I68" s="2112"/>
      <c r="J68" s="2112"/>
      <c r="K68" s="2112"/>
      <c r="L68" s="2112"/>
      <c r="M68" s="2112"/>
      <c r="N68" s="2112"/>
      <c r="O68" s="2112"/>
      <c r="P68" s="2112"/>
      <c r="Q68" s="2112"/>
      <c r="R68" s="2112"/>
      <c r="S68" s="2112"/>
      <c r="T68" s="2112"/>
      <c r="U68" s="2112"/>
      <c r="V68" s="2112"/>
      <c r="W68" s="2112"/>
      <c r="X68" s="2112"/>
      <c r="Y68" s="2112"/>
      <c r="Z68" s="2112"/>
      <c r="AA68" s="2113"/>
      <c r="AB68" s="1208"/>
      <c r="AC68" s="2034" t="s">
        <v>2332</v>
      </c>
      <c r="AD68" s="2035"/>
      <c r="AE68" s="2035"/>
      <c r="AF68" s="2035"/>
      <c r="AG68" s="2035"/>
      <c r="AH68" s="2035"/>
      <c r="AI68" s="2035"/>
      <c r="AJ68" s="2035"/>
      <c r="AK68" s="2035"/>
      <c r="AL68" s="2035"/>
      <c r="AM68" s="2035"/>
      <c r="AN68" s="2035"/>
      <c r="AO68" s="2035"/>
      <c r="AP68" s="2035"/>
      <c r="AQ68" s="2035"/>
      <c r="AR68" s="2035"/>
      <c r="AS68" s="2035"/>
      <c r="AT68" s="2035"/>
      <c r="AU68" s="2035"/>
      <c r="AV68" s="2173" t="s">
        <v>668</v>
      </c>
      <c r="AW68" s="2091"/>
      <c r="AX68" s="2091"/>
      <c r="AY68" s="2091"/>
      <c r="AZ68" s="2091"/>
      <c r="BA68" s="2091"/>
      <c r="BB68" s="2091"/>
      <c r="BC68" s="2092"/>
      <c r="BD68" s="1208"/>
      <c r="BE68" s="1215"/>
      <c r="BM68" s="1221" t="s">
        <v>2331</v>
      </c>
    </row>
    <row r="69" spans="1:94" ht="15.75" customHeight="1" thickTop="1" thickBot="1">
      <c r="A69" s="1208"/>
      <c r="B69" s="2174" t="s">
        <v>2330</v>
      </c>
      <c r="C69" s="2175"/>
      <c r="D69" s="2175"/>
      <c r="E69" s="2175"/>
      <c r="F69" s="2175"/>
      <c r="G69" s="2175"/>
      <c r="H69" s="2175"/>
      <c r="I69" s="2175"/>
      <c r="J69" s="2175"/>
      <c r="K69" s="2175"/>
      <c r="L69" s="2175"/>
      <c r="M69" s="2175"/>
      <c r="N69" s="2175"/>
      <c r="O69" s="2176" t="s">
        <v>2329</v>
      </c>
      <c r="P69" s="2177"/>
      <c r="Q69" s="2177"/>
      <c r="R69" s="2177"/>
      <c r="S69" s="2177"/>
      <c r="T69" s="2177"/>
      <c r="U69" s="2177"/>
      <c r="V69" s="2177"/>
      <c r="W69" s="2177"/>
      <c r="X69" s="2177"/>
      <c r="Y69" s="2177"/>
      <c r="Z69" s="2177"/>
      <c r="AA69" s="2178"/>
      <c r="AB69" s="1208"/>
      <c r="AC69" s="2179" t="s">
        <v>2328</v>
      </c>
      <c r="AD69" s="2180"/>
      <c r="AE69" s="2180"/>
      <c r="AF69" s="2180"/>
      <c r="AG69" s="2180"/>
      <c r="AH69" s="2180"/>
      <c r="AI69" s="2180"/>
      <c r="AJ69" s="2180"/>
      <c r="AK69" s="2180"/>
      <c r="AL69" s="2180"/>
      <c r="AM69" s="2180"/>
      <c r="AN69" s="2180"/>
      <c r="AO69" s="2180"/>
      <c r="AP69" s="2180"/>
      <c r="AQ69" s="2180"/>
      <c r="AR69" s="2180"/>
      <c r="AS69" s="2180"/>
      <c r="AT69" s="2180"/>
      <c r="AU69" s="2180"/>
      <c r="AV69" s="2173" t="s">
        <v>668</v>
      </c>
      <c r="AW69" s="2091"/>
      <c r="AX69" s="2091"/>
      <c r="AY69" s="2091"/>
      <c r="AZ69" s="2091"/>
      <c r="BA69" s="2091"/>
      <c r="BB69" s="2091"/>
      <c r="BC69" s="2092"/>
      <c r="BD69" s="1208"/>
      <c r="BE69" s="1215"/>
      <c r="BM69" s="1222" t="s">
        <v>544</v>
      </c>
    </row>
    <row r="70" spans="1:94" ht="15.75" customHeight="1">
      <c r="A70" s="1208"/>
      <c r="B70" s="2156" t="s">
        <v>2327</v>
      </c>
      <c r="C70" s="2157"/>
      <c r="D70" s="2157"/>
      <c r="E70" s="2157"/>
      <c r="F70" s="2157"/>
      <c r="G70" s="2157"/>
      <c r="H70" s="2157"/>
      <c r="I70" s="2157"/>
      <c r="J70" s="2157"/>
      <c r="K70" s="2157"/>
      <c r="L70" s="2157"/>
      <c r="M70" s="2157"/>
      <c r="N70" s="2157"/>
      <c r="O70" s="2042">
        <v>0</v>
      </c>
      <c r="P70" s="2042"/>
      <c r="Q70" s="2042"/>
      <c r="R70" s="2042"/>
      <c r="S70" s="2042"/>
      <c r="T70" s="2042"/>
      <c r="U70" s="2042"/>
      <c r="V70" s="2042"/>
      <c r="W70" s="2042"/>
      <c r="X70" s="2042"/>
      <c r="Y70" s="2042"/>
      <c r="Z70" s="2042"/>
      <c r="AA70" s="2158"/>
      <c r="AB70" s="1208"/>
      <c r="AC70" s="2080" t="s">
        <v>2326</v>
      </c>
      <c r="AD70" s="2036"/>
      <c r="AE70" s="2036"/>
      <c r="AF70" s="2167"/>
      <c r="AG70" s="2167"/>
      <c r="AH70" s="2167"/>
      <c r="AI70" s="2167"/>
      <c r="AJ70" s="2167"/>
      <c r="AK70" s="2167"/>
      <c r="AL70" s="2167"/>
      <c r="AM70" s="2167"/>
      <c r="AN70" s="2167"/>
      <c r="AO70" s="2167"/>
      <c r="AP70" s="2167"/>
      <c r="AQ70" s="2167"/>
      <c r="AR70" s="2167"/>
      <c r="AS70" s="2167"/>
      <c r="AT70" s="2167"/>
      <c r="AU70" s="2168"/>
      <c r="AV70" s="1208"/>
      <c r="AW70" s="1208"/>
      <c r="AX70" s="1208"/>
      <c r="AY70" s="1208"/>
      <c r="AZ70" s="1208"/>
      <c r="BA70" s="1208"/>
      <c r="BB70" s="1208"/>
      <c r="BC70" s="1208"/>
      <c r="BD70" s="1208"/>
      <c r="BE70" s="1215"/>
      <c r="BM70" s="1223" t="s">
        <v>668</v>
      </c>
    </row>
    <row r="71" spans="1:94" ht="15.75" customHeight="1" thickBot="1">
      <c r="A71" s="1208"/>
      <c r="B71" s="2156" t="s">
        <v>2325</v>
      </c>
      <c r="C71" s="2157"/>
      <c r="D71" s="2157"/>
      <c r="E71" s="2157"/>
      <c r="F71" s="2157"/>
      <c r="G71" s="2157"/>
      <c r="H71" s="2157"/>
      <c r="I71" s="2157"/>
      <c r="J71" s="2157"/>
      <c r="K71" s="2157"/>
      <c r="L71" s="2157"/>
      <c r="M71" s="2157"/>
      <c r="N71" s="2157"/>
      <c r="O71" s="2042">
        <v>0</v>
      </c>
      <c r="P71" s="2042"/>
      <c r="Q71" s="2042"/>
      <c r="R71" s="2042"/>
      <c r="S71" s="2042"/>
      <c r="T71" s="2042"/>
      <c r="U71" s="2042"/>
      <c r="V71" s="2042"/>
      <c r="W71" s="2042"/>
      <c r="X71" s="2042"/>
      <c r="Y71" s="2042"/>
      <c r="Z71" s="2042"/>
      <c r="AA71" s="2158"/>
      <c r="AB71" s="1208"/>
      <c r="AC71" s="2169" t="s">
        <v>2324</v>
      </c>
      <c r="AD71" s="2170"/>
      <c r="AE71" s="2170"/>
      <c r="AF71" s="2171"/>
      <c r="AG71" s="2171"/>
      <c r="AH71" s="2171"/>
      <c r="AI71" s="2171"/>
      <c r="AJ71" s="2171"/>
      <c r="AK71" s="2171"/>
      <c r="AL71" s="2171"/>
      <c r="AM71" s="2171"/>
      <c r="AN71" s="2171"/>
      <c r="AO71" s="2171"/>
      <c r="AP71" s="2171"/>
      <c r="AQ71" s="2171"/>
      <c r="AR71" s="2171"/>
      <c r="AS71" s="2171"/>
      <c r="AT71" s="2171"/>
      <c r="AU71" s="2172"/>
      <c r="AV71" s="1208"/>
      <c r="AW71" s="1208"/>
      <c r="AX71" s="1208"/>
      <c r="AY71" s="1208"/>
      <c r="AZ71" s="1208"/>
      <c r="BA71" s="1208"/>
      <c r="BB71" s="1208"/>
      <c r="BC71" s="1208"/>
      <c r="BD71" s="1208"/>
      <c r="BE71" s="1215"/>
      <c r="BM71" s="1204" t="s">
        <v>2323</v>
      </c>
    </row>
    <row r="72" spans="1:94" ht="15.75" customHeight="1">
      <c r="A72" s="1208"/>
      <c r="B72" s="2156" t="s">
        <v>2322</v>
      </c>
      <c r="C72" s="2157"/>
      <c r="D72" s="2157"/>
      <c r="E72" s="2157"/>
      <c r="F72" s="2157"/>
      <c r="G72" s="2157"/>
      <c r="H72" s="2157"/>
      <c r="I72" s="2157"/>
      <c r="J72" s="2157"/>
      <c r="K72" s="2157"/>
      <c r="L72" s="2157"/>
      <c r="M72" s="2157"/>
      <c r="N72" s="2157"/>
      <c r="O72" s="2042">
        <v>0</v>
      </c>
      <c r="P72" s="2042"/>
      <c r="Q72" s="2042"/>
      <c r="R72" s="2042"/>
      <c r="S72" s="2042"/>
      <c r="T72" s="2042"/>
      <c r="U72" s="2042"/>
      <c r="V72" s="2042"/>
      <c r="W72" s="2042"/>
      <c r="X72" s="2042"/>
      <c r="Y72" s="2042"/>
      <c r="Z72" s="2042"/>
      <c r="AA72" s="2158"/>
      <c r="AB72" s="1208"/>
      <c r="AC72" s="2159" t="s">
        <v>2321</v>
      </c>
      <c r="AD72" s="2160"/>
      <c r="AE72" s="2160"/>
      <c r="AF72" s="2160"/>
      <c r="AG72" s="2160"/>
      <c r="AH72" s="2160"/>
      <c r="AI72" s="2160"/>
      <c r="AJ72" s="2160"/>
      <c r="AK72" s="2160"/>
      <c r="AL72" s="2160"/>
      <c r="AM72" s="2160"/>
      <c r="AN72" s="2160"/>
      <c r="AO72" s="2160"/>
      <c r="AP72" s="2160"/>
      <c r="AQ72" s="2160"/>
      <c r="AR72" s="2160"/>
      <c r="AS72" s="2160"/>
      <c r="AT72" s="2160"/>
      <c r="AU72" s="2160"/>
      <c r="AV72" s="2036"/>
      <c r="AW72" s="2036"/>
      <c r="AX72" s="2036"/>
      <c r="AY72" s="2036"/>
      <c r="AZ72" s="2036"/>
      <c r="BA72" s="2036"/>
      <c r="BB72" s="2036"/>
      <c r="BC72" s="2037"/>
      <c r="BD72" s="1208"/>
      <c r="BE72" s="1215"/>
    </row>
    <row r="73" spans="1:94" ht="15.75" customHeight="1">
      <c r="A73" s="1208"/>
      <c r="B73" s="2161" t="s">
        <v>2320</v>
      </c>
      <c r="C73" s="2162"/>
      <c r="D73" s="2162"/>
      <c r="E73" s="2162"/>
      <c r="F73" s="2162"/>
      <c r="G73" s="2162"/>
      <c r="H73" s="2162"/>
      <c r="I73" s="2162"/>
      <c r="J73" s="2162"/>
      <c r="K73" s="2162"/>
      <c r="L73" s="2162"/>
      <c r="M73" s="2162"/>
      <c r="N73" s="2162"/>
      <c r="O73" s="2042">
        <v>0</v>
      </c>
      <c r="P73" s="2042"/>
      <c r="Q73" s="2042"/>
      <c r="R73" s="2042"/>
      <c r="S73" s="2042"/>
      <c r="T73" s="2042"/>
      <c r="U73" s="2042"/>
      <c r="V73" s="2042"/>
      <c r="W73" s="2042"/>
      <c r="X73" s="2042"/>
      <c r="Y73" s="2042"/>
      <c r="Z73" s="2042"/>
      <c r="AA73" s="2158"/>
      <c r="AB73" s="1208"/>
      <c r="AC73" s="2051" t="s">
        <v>2273</v>
      </c>
      <c r="AD73" s="2052"/>
      <c r="AE73" s="2052"/>
      <c r="AF73" s="2052"/>
      <c r="AG73" s="2052"/>
      <c r="AH73" s="2052"/>
      <c r="AI73" s="2052"/>
      <c r="AJ73" s="2052"/>
      <c r="AK73" s="2052"/>
      <c r="AL73" s="2052"/>
      <c r="AM73" s="2052"/>
      <c r="AN73" s="2052"/>
      <c r="AO73" s="2052"/>
      <c r="AP73" s="2052"/>
      <c r="AQ73" s="2052"/>
      <c r="AR73" s="2052"/>
      <c r="AS73" s="2052"/>
      <c r="AT73" s="2052"/>
      <c r="AU73" s="2052"/>
      <c r="AV73" s="2052"/>
      <c r="AW73" s="2052"/>
      <c r="AX73" s="2052"/>
      <c r="AY73" s="2052"/>
      <c r="AZ73" s="2052"/>
      <c r="BA73" s="2052"/>
      <c r="BB73" s="2052"/>
      <c r="BC73" s="2053"/>
      <c r="BD73" s="1208"/>
      <c r="BE73" s="1215"/>
      <c r="CK73" s="1206"/>
      <c r="CL73" s="1206"/>
      <c r="CM73" s="1206"/>
      <c r="CN73" s="1206"/>
      <c r="CO73" s="1206"/>
      <c r="CP73" s="1206"/>
    </row>
    <row r="74" spans="1:94" ht="15.75" customHeight="1">
      <c r="A74" s="1208"/>
      <c r="B74" s="1996"/>
      <c r="C74" s="1997"/>
      <c r="D74" s="1997"/>
      <c r="E74" s="1997"/>
      <c r="F74" s="1997"/>
      <c r="G74" s="1997"/>
      <c r="H74" s="1997"/>
      <c r="I74" s="1997"/>
      <c r="J74" s="1997"/>
      <c r="K74" s="1997"/>
      <c r="L74" s="1997"/>
      <c r="M74" s="1997"/>
      <c r="N74" s="1997"/>
      <c r="O74" s="2042"/>
      <c r="P74" s="2042"/>
      <c r="Q74" s="2042"/>
      <c r="R74" s="2042"/>
      <c r="S74" s="2042"/>
      <c r="T74" s="2042"/>
      <c r="U74" s="2042"/>
      <c r="V74" s="2042"/>
      <c r="W74" s="2042"/>
      <c r="X74" s="2042"/>
      <c r="Y74" s="2042"/>
      <c r="Z74" s="2042"/>
      <c r="AA74" s="2158"/>
      <c r="AB74" s="1208"/>
      <c r="AC74" s="2051"/>
      <c r="AD74" s="2052"/>
      <c r="AE74" s="2052"/>
      <c r="AF74" s="2052"/>
      <c r="AG74" s="2052"/>
      <c r="AH74" s="2052"/>
      <c r="AI74" s="2052"/>
      <c r="AJ74" s="2052"/>
      <c r="AK74" s="2052"/>
      <c r="AL74" s="2052"/>
      <c r="AM74" s="2052"/>
      <c r="AN74" s="2052"/>
      <c r="AO74" s="2052"/>
      <c r="AP74" s="2052"/>
      <c r="AQ74" s="2052"/>
      <c r="AR74" s="2052"/>
      <c r="AS74" s="2052"/>
      <c r="AT74" s="2052"/>
      <c r="AU74" s="2052"/>
      <c r="AV74" s="2052"/>
      <c r="AW74" s="2052"/>
      <c r="AX74" s="2052"/>
      <c r="AY74" s="2052"/>
      <c r="AZ74" s="2052"/>
      <c r="BA74" s="2052"/>
      <c r="BB74" s="2052"/>
      <c r="BC74" s="2053"/>
      <c r="BD74" s="1208"/>
      <c r="BE74" s="1215"/>
      <c r="CK74" s="1206"/>
      <c r="CL74" s="1206"/>
      <c r="CM74" s="1206"/>
      <c r="CN74" s="1206"/>
      <c r="CO74" s="1206"/>
      <c r="CP74" s="1206"/>
    </row>
    <row r="75" spans="1:94" ht="15.75" customHeight="1" thickBot="1">
      <c r="A75" s="1208"/>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208"/>
      <c r="AC75" s="2051"/>
      <c r="AD75" s="2052"/>
      <c r="AE75" s="2052"/>
      <c r="AF75" s="2052"/>
      <c r="AG75" s="2052"/>
      <c r="AH75" s="2052"/>
      <c r="AI75" s="2052"/>
      <c r="AJ75" s="2052"/>
      <c r="AK75" s="2052"/>
      <c r="AL75" s="2052"/>
      <c r="AM75" s="2052"/>
      <c r="AN75" s="2052"/>
      <c r="AO75" s="2052"/>
      <c r="AP75" s="2052"/>
      <c r="AQ75" s="2052"/>
      <c r="AR75" s="2052"/>
      <c r="AS75" s="2052"/>
      <c r="AT75" s="2052"/>
      <c r="AU75" s="2052"/>
      <c r="AV75" s="2052"/>
      <c r="AW75" s="2052"/>
      <c r="AX75" s="2052"/>
      <c r="AY75" s="2052"/>
      <c r="AZ75" s="2052"/>
      <c r="BA75" s="2052"/>
      <c r="BB75" s="2052"/>
      <c r="BC75" s="205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1"/>
      <c r="AD76" s="2052"/>
      <c r="AE76" s="2052"/>
      <c r="AF76" s="2052"/>
      <c r="AG76" s="2052"/>
      <c r="AH76" s="2052"/>
      <c r="AI76" s="2052"/>
      <c r="AJ76" s="2052"/>
      <c r="AK76" s="2052"/>
      <c r="AL76" s="2052"/>
      <c r="AM76" s="2052"/>
      <c r="AN76" s="2052"/>
      <c r="AO76" s="2052"/>
      <c r="AP76" s="2052"/>
      <c r="AQ76" s="2052"/>
      <c r="AR76" s="2052"/>
      <c r="AS76" s="2052"/>
      <c r="AT76" s="2052"/>
      <c r="AU76" s="2052"/>
      <c r="AV76" s="2052"/>
      <c r="AW76" s="2052"/>
      <c r="AX76" s="2052"/>
      <c r="AY76" s="2052"/>
      <c r="AZ76" s="2052"/>
      <c r="BA76" s="2052"/>
      <c r="BB76" s="2052"/>
      <c r="BC76" s="205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4"/>
      <c r="AD77" s="2055"/>
      <c r="AE77" s="2055"/>
      <c r="AF77" s="2055"/>
      <c r="AG77" s="2055"/>
      <c r="AH77" s="2055"/>
      <c r="AI77" s="2055"/>
      <c r="AJ77" s="2055"/>
      <c r="AK77" s="2055"/>
      <c r="AL77" s="2055"/>
      <c r="AM77" s="2055"/>
      <c r="AN77" s="2055"/>
      <c r="AO77" s="2055"/>
      <c r="AP77" s="2055"/>
      <c r="AQ77" s="2055"/>
      <c r="AR77" s="2055"/>
      <c r="AS77" s="2055"/>
      <c r="AT77" s="2055"/>
      <c r="AU77" s="2055"/>
      <c r="AV77" s="2055"/>
      <c r="AW77" s="2055"/>
      <c r="AX77" s="2055"/>
      <c r="AY77" s="2055"/>
      <c r="AZ77" s="2055"/>
      <c r="BA77" s="2055"/>
      <c r="BB77" s="2055"/>
      <c r="BC77" s="2056"/>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6"/>
      <c r="G79" s="2147"/>
      <c r="H79" s="2147"/>
      <c r="I79" s="2147"/>
      <c r="J79" s="2147"/>
      <c r="K79" s="2147"/>
      <c r="L79" s="2147"/>
      <c r="M79" s="2147"/>
      <c r="N79" s="2147"/>
      <c r="O79" s="2147"/>
      <c r="P79" s="2147"/>
      <c r="Q79" s="2147"/>
      <c r="R79" s="2147"/>
      <c r="S79" s="2147"/>
      <c r="T79" s="214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9" t="s">
        <v>2318</v>
      </c>
      <c r="C81" s="2150"/>
      <c r="D81" s="2150"/>
      <c r="E81" s="2150"/>
      <c r="F81" s="2150"/>
      <c r="G81" s="2150"/>
      <c r="H81" s="2150"/>
      <c r="I81" s="2150"/>
      <c r="J81" s="2150"/>
      <c r="K81" s="2150"/>
      <c r="L81" s="2150"/>
      <c r="M81" s="2150"/>
      <c r="N81" s="2150"/>
      <c r="O81" s="2150"/>
      <c r="P81" s="2150"/>
      <c r="Q81" s="2150"/>
      <c r="R81" s="2150"/>
      <c r="S81" s="2150"/>
      <c r="T81" s="2150"/>
      <c r="U81" s="2150"/>
      <c r="V81" s="2150"/>
      <c r="W81" s="2150"/>
      <c r="X81" s="2150"/>
      <c r="Y81" s="2150"/>
      <c r="Z81" s="2150"/>
      <c r="AA81" s="2150"/>
      <c r="AB81" s="2150"/>
      <c r="AC81" s="2150"/>
      <c r="AD81" s="2150"/>
      <c r="AE81" s="2150"/>
      <c r="AF81" s="2150"/>
      <c r="AG81" s="2150"/>
      <c r="AH81" s="2151"/>
      <c r="AI81" s="1208"/>
      <c r="AJ81" s="2133" t="s">
        <v>2624</v>
      </c>
      <c r="AK81" s="2134"/>
      <c r="AL81" s="2134"/>
      <c r="AM81" s="2134"/>
      <c r="AN81" s="2134"/>
      <c r="AO81" s="2134"/>
      <c r="AP81" s="2134"/>
      <c r="AQ81" s="2134"/>
      <c r="AR81" s="2134"/>
      <c r="AS81" s="2134"/>
      <c r="AT81" s="2134"/>
      <c r="AU81" s="2134"/>
      <c r="AV81" s="2134"/>
      <c r="AW81" s="2134"/>
      <c r="AX81" s="2134"/>
      <c r="AY81" s="2152" t="s">
        <v>544</v>
      </c>
      <c r="AZ81" s="2152"/>
      <c r="BA81" s="2152"/>
      <c r="BB81" s="2153"/>
      <c r="BC81" s="1208"/>
      <c r="BD81" s="1208"/>
      <c r="BE81" s="1215"/>
      <c r="CK81" s="1206"/>
      <c r="CL81" s="1206"/>
      <c r="CM81" s="1206"/>
      <c r="CN81" s="1206"/>
      <c r="CO81" s="1206"/>
      <c r="CP81" s="1206"/>
    </row>
    <row r="82" spans="1:94" ht="15.75" customHeight="1">
      <c r="A82" s="1208"/>
      <c r="B82" s="2114"/>
      <c r="C82" s="2108"/>
      <c r="D82" s="2108"/>
      <c r="E82" s="2108"/>
      <c r="F82" s="2108"/>
      <c r="G82" s="2108"/>
      <c r="H82" s="2108"/>
      <c r="I82" s="2108" t="s">
        <v>2312</v>
      </c>
      <c r="J82" s="2108"/>
      <c r="K82" s="2108"/>
      <c r="L82" s="2108"/>
      <c r="M82" s="2108"/>
      <c r="N82" s="2108"/>
      <c r="O82" s="2108" t="s">
        <v>2289</v>
      </c>
      <c r="P82" s="2108"/>
      <c r="Q82" s="2108"/>
      <c r="R82" s="2108"/>
      <c r="S82" s="2108"/>
      <c r="T82" s="2108"/>
      <c r="U82" s="2108"/>
      <c r="V82" s="2144" t="s">
        <v>2288</v>
      </c>
      <c r="W82" s="2144"/>
      <c r="X82" s="2144"/>
      <c r="Y82" s="2144"/>
      <c r="Z82" s="2144"/>
      <c r="AA82" s="2144"/>
      <c r="AB82" s="2081" t="s">
        <v>2311</v>
      </c>
      <c r="AC82" s="2081"/>
      <c r="AD82" s="2081"/>
      <c r="AE82" s="2081"/>
      <c r="AF82" s="2081"/>
      <c r="AG82" s="2081"/>
      <c r="AH82" s="2145"/>
      <c r="AI82" s="1208"/>
      <c r="AJ82" s="2136"/>
      <c r="AK82" s="2137"/>
      <c r="AL82" s="2137"/>
      <c r="AM82" s="2137"/>
      <c r="AN82" s="2137"/>
      <c r="AO82" s="2137"/>
      <c r="AP82" s="2137"/>
      <c r="AQ82" s="2137"/>
      <c r="AR82" s="2137"/>
      <c r="AS82" s="2137"/>
      <c r="AT82" s="2137"/>
      <c r="AU82" s="2137"/>
      <c r="AV82" s="2137"/>
      <c r="AW82" s="2137"/>
      <c r="AX82" s="2137"/>
      <c r="AY82" s="2154"/>
      <c r="AZ82" s="2154"/>
      <c r="BA82" s="2154"/>
      <c r="BB82" s="2155"/>
      <c r="BC82" s="1208"/>
      <c r="BD82" s="1208"/>
      <c r="BE82" s="1215"/>
      <c r="CK82" s="1206"/>
      <c r="CL82" s="1206"/>
      <c r="CM82" s="1206"/>
      <c r="CN82" s="1206"/>
      <c r="CO82" s="1206"/>
      <c r="CP82" s="1206"/>
    </row>
    <row r="83" spans="1:94" ht="15.75" customHeight="1">
      <c r="A83" s="1208"/>
      <c r="B83" s="2114"/>
      <c r="C83" s="2108"/>
      <c r="D83" s="2108"/>
      <c r="E83" s="2108"/>
      <c r="F83" s="2108"/>
      <c r="G83" s="2108"/>
      <c r="H83" s="2108"/>
      <c r="I83" s="2108"/>
      <c r="J83" s="2108"/>
      <c r="K83" s="2108"/>
      <c r="L83" s="2108"/>
      <c r="M83" s="2108"/>
      <c r="N83" s="2108"/>
      <c r="O83" s="2108"/>
      <c r="P83" s="2108"/>
      <c r="Q83" s="2108"/>
      <c r="R83" s="2108"/>
      <c r="S83" s="2108"/>
      <c r="T83" s="2108"/>
      <c r="U83" s="2108"/>
      <c r="V83" s="2144"/>
      <c r="W83" s="2144"/>
      <c r="X83" s="2144"/>
      <c r="Y83" s="2144"/>
      <c r="Z83" s="2144"/>
      <c r="AA83" s="2144"/>
      <c r="AB83" s="2081"/>
      <c r="AC83" s="2081"/>
      <c r="AD83" s="2081"/>
      <c r="AE83" s="2081"/>
      <c r="AF83" s="2081"/>
      <c r="AG83" s="2081"/>
      <c r="AH83" s="2145"/>
      <c r="AI83" s="1208"/>
      <c r="AJ83" s="2136"/>
      <c r="AK83" s="2137"/>
      <c r="AL83" s="2137"/>
      <c r="AM83" s="2137"/>
      <c r="AN83" s="2137"/>
      <c r="AO83" s="2137"/>
      <c r="AP83" s="2137"/>
      <c r="AQ83" s="2137"/>
      <c r="AR83" s="2137"/>
      <c r="AS83" s="2137"/>
      <c r="AT83" s="2137"/>
      <c r="AU83" s="2137"/>
      <c r="AV83" s="2137"/>
      <c r="AW83" s="2137"/>
      <c r="AX83" s="2137"/>
      <c r="AY83" s="2154"/>
      <c r="AZ83" s="2154"/>
      <c r="BA83" s="2154"/>
      <c r="BB83" s="2155"/>
      <c r="BC83" s="1208"/>
      <c r="BD83" s="1208"/>
      <c r="BE83" s="1215"/>
      <c r="CK83" s="1206"/>
      <c r="CL83" s="1206"/>
      <c r="CM83" s="1206"/>
      <c r="CN83" s="1206"/>
      <c r="CO83" s="1206"/>
      <c r="CP83" s="1206"/>
    </row>
    <row r="84" spans="1:94" ht="15.75" customHeight="1">
      <c r="A84" s="1208"/>
      <c r="B84" s="2114" t="s">
        <v>2310</v>
      </c>
      <c r="C84" s="2108"/>
      <c r="D84" s="2108"/>
      <c r="E84" s="2108"/>
      <c r="F84" s="2108"/>
      <c r="G84" s="2108"/>
      <c r="H84" s="2108"/>
      <c r="I84" s="2084">
        <v>0</v>
      </c>
      <c r="J84" s="2084"/>
      <c r="K84" s="2084"/>
      <c r="L84" s="2084"/>
      <c r="M84" s="2084"/>
      <c r="N84" s="2084"/>
      <c r="O84" s="2084">
        <v>0</v>
      </c>
      <c r="P84" s="2084"/>
      <c r="Q84" s="2084"/>
      <c r="R84" s="2084"/>
      <c r="S84" s="2084"/>
      <c r="T84" s="2084"/>
      <c r="U84" s="2084"/>
      <c r="V84" s="2084">
        <v>0</v>
      </c>
      <c r="W84" s="2084"/>
      <c r="X84" s="2084"/>
      <c r="Y84" s="2084"/>
      <c r="Z84" s="2084"/>
      <c r="AA84" s="2084"/>
      <c r="AB84" s="2084">
        <v>0</v>
      </c>
      <c r="AC84" s="2084"/>
      <c r="AD84" s="2084"/>
      <c r="AE84" s="2084"/>
      <c r="AF84" s="2084"/>
      <c r="AG84" s="2084"/>
      <c r="AH84" s="2085"/>
      <c r="AI84" s="1208"/>
      <c r="AJ84" s="2136"/>
      <c r="AK84" s="2137"/>
      <c r="AL84" s="2137"/>
      <c r="AM84" s="2137"/>
      <c r="AN84" s="2137"/>
      <c r="AO84" s="2137"/>
      <c r="AP84" s="2137"/>
      <c r="AQ84" s="2137"/>
      <c r="AR84" s="2137"/>
      <c r="AS84" s="2137"/>
      <c r="AT84" s="2137"/>
      <c r="AU84" s="2137"/>
      <c r="AV84" s="2137"/>
      <c r="AW84" s="2137"/>
      <c r="AX84" s="2137"/>
      <c r="AY84" s="2154"/>
      <c r="AZ84" s="2154"/>
      <c r="BA84" s="2154"/>
      <c r="BB84" s="2155"/>
      <c r="BC84" s="1208"/>
      <c r="BD84" s="1208"/>
      <c r="BE84" s="1215"/>
      <c r="CK84" s="1206"/>
      <c r="CL84" s="1206"/>
      <c r="CM84" s="1206"/>
      <c r="CN84" s="1206"/>
      <c r="CO84" s="1206"/>
      <c r="CP84" s="1206"/>
    </row>
    <row r="85" spans="1:94" ht="15.75" customHeight="1">
      <c r="A85" s="1208"/>
      <c r="B85" s="2114" t="s">
        <v>2309</v>
      </c>
      <c r="C85" s="2108"/>
      <c r="D85" s="2108"/>
      <c r="E85" s="2108"/>
      <c r="F85" s="2108"/>
      <c r="G85" s="2108"/>
      <c r="H85" s="2108"/>
      <c r="I85" s="2084">
        <v>0</v>
      </c>
      <c r="J85" s="2084"/>
      <c r="K85" s="2084"/>
      <c r="L85" s="2084"/>
      <c r="M85" s="2084"/>
      <c r="N85" s="2084"/>
      <c r="O85" s="2084">
        <v>0</v>
      </c>
      <c r="P85" s="2084"/>
      <c r="Q85" s="2084"/>
      <c r="R85" s="2084"/>
      <c r="S85" s="2084"/>
      <c r="T85" s="2084"/>
      <c r="U85" s="2084"/>
      <c r="V85" s="2084">
        <v>0</v>
      </c>
      <c r="W85" s="2084"/>
      <c r="X85" s="2084"/>
      <c r="Y85" s="2084"/>
      <c r="Z85" s="2084"/>
      <c r="AA85" s="2084"/>
      <c r="AB85" s="2084">
        <v>0</v>
      </c>
      <c r="AC85" s="2084"/>
      <c r="AD85" s="2084"/>
      <c r="AE85" s="2084"/>
      <c r="AF85" s="2084"/>
      <c r="AG85" s="2084"/>
      <c r="AH85" s="2085"/>
      <c r="AI85" s="1208"/>
      <c r="AJ85" s="2051" t="s">
        <v>2315</v>
      </c>
      <c r="AK85" s="2052"/>
      <c r="AL85" s="2052"/>
      <c r="AM85" s="2052"/>
      <c r="AN85" s="2052"/>
      <c r="AO85" s="2052"/>
      <c r="AP85" s="2052"/>
      <c r="AQ85" s="2052"/>
      <c r="AR85" s="2052"/>
      <c r="AS85" s="2052"/>
      <c r="AT85" s="2052"/>
      <c r="AU85" s="2052"/>
      <c r="AV85" s="2052"/>
      <c r="AW85" s="2052"/>
      <c r="AX85" s="2052"/>
      <c r="AY85" s="2052"/>
      <c r="AZ85" s="2052"/>
      <c r="BA85" s="2052"/>
      <c r="BB85" s="2053"/>
      <c r="BC85" s="1208"/>
      <c r="BD85" s="1208"/>
      <c r="BE85" s="1215"/>
      <c r="CK85" s="1206"/>
      <c r="CL85" s="1206"/>
      <c r="CM85" s="1206"/>
      <c r="CN85" s="1206"/>
      <c r="CO85" s="1206"/>
      <c r="CP85" s="1206"/>
    </row>
    <row r="86" spans="1:94" ht="15.75" customHeight="1" thickBot="1">
      <c r="A86" s="1208"/>
      <c r="B86" s="2142" t="s">
        <v>2308</v>
      </c>
      <c r="C86" s="2143"/>
      <c r="D86" s="2143"/>
      <c r="E86" s="2143"/>
      <c r="F86" s="2143"/>
      <c r="G86" s="2143"/>
      <c r="H86" s="2143"/>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208"/>
      <c r="AJ86" s="2054"/>
      <c r="AK86" s="2055"/>
      <c r="AL86" s="2055"/>
      <c r="AM86" s="2055"/>
      <c r="AN86" s="2055"/>
      <c r="AO86" s="2055"/>
      <c r="AP86" s="2055"/>
      <c r="AQ86" s="2055"/>
      <c r="AR86" s="2055"/>
      <c r="AS86" s="2055"/>
      <c r="AT86" s="2055"/>
      <c r="AU86" s="2055"/>
      <c r="AV86" s="2055"/>
      <c r="AW86" s="2055"/>
      <c r="AX86" s="2055"/>
      <c r="AY86" s="2055"/>
      <c r="AZ86" s="2055"/>
      <c r="BA86" s="2055"/>
      <c r="BB86" s="205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6"/>
      <c r="G90" s="2147"/>
      <c r="H90" s="2147"/>
      <c r="I90" s="2147"/>
      <c r="J90" s="2147"/>
      <c r="K90" s="2147"/>
      <c r="L90" s="2147"/>
      <c r="M90" s="2147"/>
      <c r="N90" s="2147"/>
      <c r="O90" s="2147"/>
      <c r="P90" s="2147"/>
      <c r="Q90" s="2147"/>
      <c r="R90" s="2147"/>
      <c r="S90" s="2147"/>
      <c r="T90" s="214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9" t="s">
        <v>2316</v>
      </c>
      <c r="C92" s="2150"/>
      <c r="D92" s="2150"/>
      <c r="E92" s="2150"/>
      <c r="F92" s="2150"/>
      <c r="G92" s="2150"/>
      <c r="H92" s="2150"/>
      <c r="I92" s="2150"/>
      <c r="J92" s="2150"/>
      <c r="K92" s="2150"/>
      <c r="L92" s="2150"/>
      <c r="M92" s="2150"/>
      <c r="N92" s="2150"/>
      <c r="O92" s="2150"/>
      <c r="P92" s="2150"/>
      <c r="Q92" s="2150"/>
      <c r="R92" s="2150"/>
      <c r="S92" s="2150"/>
      <c r="T92" s="2150"/>
      <c r="U92" s="2150"/>
      <c r="V92" s="2150"/>
      <c r="W92" s="2150"/>
      <c r="X92" s="2150"/>
      <c r="Y92" s="2150"/>
      <c r="Z92" s="2150"/>
      <c r="AA92" s="2150"/>
      <c r="AB92" s="2150"/>
      <c r="AC92" s="2150"/>
      <c r="AD92" s="2150"/>
      <c r="AE92" s="2150"/>
      <c r="AF92" s="2150"/>
      <c r="AG92" s="2150"/>
      <c r="AH92" s="2151"/>
      <c r="AI92" s="1208"/>
      <c r="AJ92" s="2133" t="s">
        <v>2625</v>
      </c>
      <c r="AK92" s="2134"/>
      <c r="AL92" s="2134"/>
      <c r="AM92" s="2134"/>
      <c r="AN92" s="2134"/>
      <c r="AO92" s="2134"/>
      <c r="AP92" s="2134"/>
      <c r="AQ92" s="2134"/>
      <c r="AR92" s="2134"/>
      <c r="AS92" s="2134"/>
      <c r="AT92" s="2134"/>
      <c r="AU92" s="2134"/>
      <c r="AV92" s="2134"/>
      <c r="AW92" s="2134"/>
      <c r="AX92" s="2134"/>
      <c r="AY92" s="2152" t="s">
        <v>544</v>
      </c>
      <c r="AZ92" s="2152"/>
      <c r="BA92" s="2152"/>
      <c r="BB92" s="215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4"/>
      <c r="C93" s="2108"/>
      <c r="D93" s="2108"/>
      <c r="E93" s="2108"/>
      <c r="F93" s="2108"/>
      <c r="G93" s="2108"/>
      <c r="H93" s="2108"/>
      <c r="I93" s="2108" t="s">
        <v>2312</v>
      </c>
      <c r="J93" s="2108"/>
      <c r="K93" s="2108"/>
      <c r="L93" s="2108"/>
      <c r="M93" s="2108"/>
      <c r="N93" s="2108"/>
      <c r="O93" s="2108" t="s">
        <v>2289</v>
      </c>
      <c r="P93" s="2108"/>
      <c r="Q93" s="2108"/>
      <c r="R93" s="2108"/>
      <c r="S93" s="2108"/>
      <c r="T93" s="2108"/>
      <c r="U93" s="2108"/>
      <c r="V93" s="2144" t="s">
        <v>2288</v>
      </c>
      <c r="W93" s="2144"/>
      <c r="X93" s="2144"/>
      <c r="Y93" s="2144"/>
      <c r="Z93" s="2144"/>
      <c r="AA93" s="2144"/>
      <c r="AB93" s="2081" t="s">
        <v>2311</v>
      </c>
      <c r="AC93" s="2081"/>
      <c r="AD93" s="2081"/>
      <c r="AE93" s="2081"/>
      <c r="AF93" s="2081"/>
      <c r="AG93" s="2081"/>
      <c r="AH93" s="2145"/>
      <c r="AI93" s="1208"/>
      <c r="AJ93" s="2136"/>
      <c r="AK93" s="2137"/>
      <c r="AL93" s="2137"/>
      <c r="AM93" s="2137"/>
      <c r="AN93" s="2137"/>
      <c r="AO93" s="2137"/>
      <c r="AP93" s="2137"/>
      <c r="AQ93" s="2137"/>
      <c r="AR93" s="2137"/>
      <c r="AS93" s="2137"/>
      <c r="AT93" s="2137"/>
      <c r="AU93" s="2137"/>
      <c r="AV93" s="2137"/>
      <c r="AW93" s="2137"/>
      <c r="AX93" s="2137"/>
      <c r="AY93" s="2154"/>
      <c r="AZ93" s="2154"/>
      <c r="BA93" s="2154"/>
      <c r="BB93" s="215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4"/>
      <c r="C94" s="2108"/>
      <c r="D94" s="2108"/>
      <c r="E94" s="2108"/>
      <c r="F94" s="2108"/>
      <c r="G94" s="2108"/>
      <c r="H94" s="2108"/>
      <c r="I94" s="2108"/>
      <c r="J94" s="2108"/>
      <c r="K94" s="2108"/>
      <c r="L94" s="2108"/>
      <c r="M94" s="2108"/>
      <c r="N94" s="2108"/>
      <c r="O94" s="2108"/>
      <c r="P94" s="2108"/>
      <c r="Q94" s="2108"/>
      <c r="R94" s="2108"/>
      <c r="S94" s="2108"/>
      <c r="T94" s="2108"/>
      <c r="U94" s="2108"/>
      <c r="V94" s="2144"/>
      <c r="W94" s="2144"/>
      <c r="X94" s="2144"/>
      <c r="Y94" s="2144"/>
      <c r="Z94" s="2144"/>
      <c r="AA94" s="2144"/>
      <c r="AB94" s="2081"/>
      <c r="AC94" s="2081"/>
      <c r="AD94" s="2081"/>
      <c r="AE94" s="2081"/>
      <c r="AF94" s="2081"/>
      <c r="AG94" s="2081"/>
      <c r="AH94" s="2145"/>
      <c r="AI94" s="1208"/>
      <c r="AJ94" s="2136"/>
      <c r="AK94" s="2137"/>
      <c r="AL94" s="2137"/>
      <c r="AM94" s="2137"/>
      <c r="AN94" s="2137"/>
      <c r="AO94" s="2137"/>
      <c r="AP94" s="2137"/>
      <c r="AQ94" s="2137"/>
      <c r="AR94" s="2137"/>
      <c r="AS94" s="2137"/>
      <c r="AT94" s="2137"/>
      <c r="AU94" s="2137"/>
      <c r="AV94" s="2137"/>
      <c r="AW94" s="2137"/>
      <c r="AX94" s="2137"/>
      <c r="AY94" s="2154"/>
      <c r="AZ94" s="2154"/>
      <c r="BA94" s="2154"/>
      <c r="BB94" s="215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4" t="s">
        <v>2310</v>
      </c>
      <c r="C95" s="2108"/>
      <c r="D95" s="2108"/>
      <c r="E95" s="2108"/>
      <c r="F95" s="2108"/>
      <c r="G95" s="2108"/>
      <c r="H95" s="2108"/>
      <c r="I95" s="2084">
        <v>0</v>
      </c>
      <c r="J95" s="2084"/>
      <c r="K95" s="2084"/>
      <c r="L95" s="2084"/>
      <c r="M95" s="2084"/>
      <c r="N95" s="2084"/>
      <c r="O95" s="2084">
        <v>0</v>
      </c>
      <c r="P95" s="2084"/>
      <c r="Q95" s="2084"/>
      <c r="R95" s="2084"/>
      <c r="S95" s="2084"/>
      <c r="T95" s="2084"/>
      <c r="U95" s="2084"/>
      <c r="V95" s="2084">
        <v>0</v>
      </c>
      <c r="W95" s="2084"/>
      <c r="X95" s="2084"/>
      <c r="Y95" s="2084"/>
      <c r="Z95" s="2084"/>
      <c r="AA95" s="2084"/>
      <c r="AB95" s="2084">
        <v>0</v>
      </c>
      <c r="AC95" s="2084"/>
      <c r="AD95" s="2084"/>
      <c r="AE95" s="2084"/>
      <c r="AF95" s="2084"/>
      <c r="AG95" s="2084"/>
      <c r="AH95" s="2085"/>
      <c r="AI95" s="1208"/>
      <c r="AJ95" s="2136"/>
      <c r="AK95" s="2137"/>
      <c r="AL95" s="2137"/>
      <c r="AM95" s="2137"/>
      <c r="AN95" s="2137"/>
      <c r="AO95" s="2137"/>
      <c r="AP95" s="2137"/>
      <c r="AQ95" s="2137"/>
      <c r="AR95" s="2137"/>
      <c r="AS95" s="2137"/>
      <c r="AT95" s="2137"/>
      <c r="AU95" s="2137"/>
      <c r="AV95" s="2137"/>
      <c r="AW95" s="2137"/>
      <c r="AX95" s="2137"/>
      <c r="AY95" s="2154"/>
      <c r="AZ95" s="2154"/>
      <c r="BA95" s="2154"/>
      <c r="BB95" s="215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4" t="s">
        <v>2309</v>
      </c>
      <c r="C96" s="2108"/>
      <c r="D96" s="2108"/>
      <c r="E96" s="2108"/>
      <c r="F96" s="2108"/>
      <c r="G96" s="2108"/>
      <c r="H96" s="2108"/>
      <c r="I96" s="2084">
        <v>0</v>
      </c>
      <c r="J96" s="2084"/>
      <c r="K96" s="2084"/>
      <c r="L96" s="2084"/>
      <c r="M96" s="2084"/>
      <c r="N96" s="2084"/>
      <c r="O96" s="2084">
        <v>0</v>
      </c>
      <c r="P96" s="2084"/>
      <c r="Q96" s="2084"/>
      <c r="R96" s="2084"/>
      <c r="S96" s="2084"/>
      <c r="T96" s="2084"/>
      <c r="U96" s="2084"/>
      <c r="V96" s="2084">
        <v>0</v>
      </c>
      <c r="W96" s="2084"/>
      <c r="X96" s="2084"/>
      <c r="Y96" s="2084"/>
      <c r="Z96" s="2084"/>
      <c r="AA96" s="2084"/>
      <c r="AB96" s="2084">
        <v>0</v>
      </c>
      <c r="AC96" s="2084"/>
      <c r="AD96" s="2084"/>
      <c r="AE96" s="2084"/>
      <c r="AF96" s="2084"/>
      <c r="AG96" s="2084"/>
      <c r="AH96" s="2085"/>
      <c r="AI96" s="1208"/>
      <c r="AJ96" s="2051" t="s">
        <v>2315</v>
      </c>
      <c r="AK96" s="2052"/>
      <c r="AL96" s="2052"/>
      <c r="AM96" s="2052"/>
      <c r="AN96" s="2052"/>
      <c r="AO96" s="2052"/>
      <c r="AP96" s="2052"/>
      <c r="AQ96" s="2052"/>
      <c r="AR96" s="2052"/>
      <c r="AS96" s="2052"/>
      <c r="AT96" s="2052"/>
      <c r="AU96" s="2052"/>
      <c r="AV96" s="2052"/>
      <c r="AW96" s="2052"/>
      <c r="AX96" s="2052"/>
      <c r="AY96" s="2052"/>
      <c r="AZ96" s="2052"/>
      <c r="BA96" s="2052"/>
      <c r="BB96" s="205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2" t="s">
        <v>2308</v>
      </c>
      <c r="C97" s="2143"/>
      <c r="D97" s="2143"/>
      <c r="E97" s="2143"/>
      <c r="F97" s="2143"/>
      <c r="G97" s="2143"/>
      <c r="H97" s="2143"/>
      <c r="I97" s="2078">
        <v>0</v>
      </c>
      <c r="J97" s="2078"/>
      <c r="K97" s="2078"/>
      <c r="L97" s="2078"/>
      <c r="M97" s="2078"/>
      <c r="N97" s="2078"/>
      <c r="O97" s="2078">
        <v>0</v>
      </c>
      <c r="P97" s="2078"/>
      <c r="Q97" s="2078"/>
      <c r="R97" s="2078"/>
      <c r="S97" s="2078"/>
      <c r="T97" s="2078"/>
      <c r="U97" s="2078"/>
      <c r="V97" s="2078">
        <v>0</v>
      </c>
      <c r="W97" s="2078"/>
      <c r="X97" s="2078"/>
      <c r="Y97" s="2078"/>
      <c r="Z97" s="2078"/>
      <c r="AA97" s="2078"/>
      <c r="AB97" s="2078">
        <v>0</v>
      </c>
      <c r="AC97" s="2078"/>
      <c r="AD97" s="2078"/>
      <c r="AE97" s="2078"/>
      <c r="AF97" s="2078"/>
      <c r="AG97" s="2078"/>
      <c r="AH97" s="2079"/>
      <c r="AI97" s="1208"/>
      <c r="AJ97" s="2054"/>
      <c r="AK97" s="2055"/>
      <c r="AL97" s="2055"/>
      <c r="AM97" s="2055"/>
      <c r="AN97" s="2055"/>
      <c r="AO97" s="2055"/>
      <c r="AP97" s="2055"/>
      <c r="AQ97" s="2055"/>
      <c r="AR97" s="2055"/>
      <c r="AS97" s="2055"/>
      <c r="AT97" s="2055"/>
      <c r="AU97" s="2055"/>
      <c r="AV97" s="2055"/>
      <c r="AW97" s="2055"/>
      <c r="AX97" s="2055"/>
      <c r="AY97" s="2055"/>
      <c r="AZ97" s="2055"/>
      <c r="BA97" s="2055"/>
      <c r="BB97" s="205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5"/>
      <c r="G100" s="2106"/>
      <c r="H100" s="2106"/>
      <c r="I100" s="2106"/>
      <c r="J100" s="2106"/>
      <c r="K100" s="2106"/>
      <c r="L100" s="2106"/>
      <c r="M100" s="2106"/>
      <c r="N100" s="2106"/>
      <c r="O100" s="2106"/>
      <c r="P100" s="2106"/>
      <c r="Q100" s="2106"/>
      <c r="R100" s="2107"/>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4" t="s">
        <v>2313</v>
      </c>
      <c r="C102" s="2035"/>
      <c r="D102" s="2035"/>
      <c r="E102" s="2035"/>
      <c r="F102" s="2035"/>
      <c r="G102" s="2035"/>
      <c r="H102" s="2035"/>
      <c r="I102" s="2035"/>
      <c r="J102" s="2035"/>
      <c r="K102" s="2035"/>
      <c r="L102" s="2035"/>
      <c r="M102" s="2035"/>
      <c r="N102" s="2035"/>
      <c r="O102" s="2035"/>
      <c r="P102" s="2035"/>
      <c r="Q102" s="2035"/>
      <c r="R102" s="2035"/>
      <c r="S102" s="2035"/>
      <c r="T102" s="2035"/>
      <c r="U102" s="2035"/>
      <c r="V102" s="2035"/>
      <c r="W102" s="2035"/>
      <c r="X102" s="2035"/>
      <c r="Y102" s="2035"/>
      <c r="Z102" s="2035"/>
      <c r="AA102" s="2035"/>
      <c r="AB102" s="2035"/>
      <c r="AC102" s="2035"/>
      <c r="AD102" s="2035"/>
      <c r="AE102" s="2035"/>
      <c r="AF102" s="2035"/>
      <c r="AG102" s="2035"/>
      <c r="AH102" s="204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4"/>
      <c r="C103" s="2108"/>
      <c r="D103" s="2108"/>
      <c r="E103" s="2108"/>
      <c r="F103" s="2108"/>
      <c r="G103" s="2108"/>
      <c r="H103" s="2108"/>
      <c r="I103" s="2108" t="s">
        <v>2312</v>
      </c>
      <c r="J103" s="2108"/>
      <c r="K103" s="2108"/>
      <c r="L103" s="2108"/>
      <c r="M103" s="2108"/>
      <c r="N103" s="2108"/>
      <c r="O103" s="2108" t="s">
        <v>2289</v>
      </c>
      <c r="P103" s="2108"/>
      <c r="Q103" s="2108"/>
      <c r="R103" s="2108"/>
      <c r="S103" s="2108"/>
      <c r="T103" s="2108"/>
      <c r="U103" s="2108"/>
      <c r="V103" s="2144" t="s">
        <v>2288</v>
      </c>
      <c r="W103" s="2144"/>
      <c r="X103" s="2144"/>
      <c r="Y103" s="2144"/>
      <c r="Z103" s="2144"/>
      <c r="AA103" s="2144"/>
      <c r="AB103" s="2081" t="s">
        <v>2311</v>
      </c>
      <c r="AC103" s="2081"/>
      <c r="AD103" s="2081"/>
      <c r="AE103" s="2081"/>
      <c r="AF103" s="2081"/>
      <c r="AG103" s="2081"/>
      <c r="AH103" s="214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4"/>
      <c r="C104" s="2108"/>
      <c r="D104" s="2108"/>
      <c r="E104" s="2108"/>
      <c r="F104" s="2108"/>
      <c r="G104" s="2108"/>
      <c r="H104" s="2108"/>
      <c r="I104" s="2108"/>
      <c r="J104" s="2108"/>
      <c r="K104" s="2108"/>
      <c r="L104" s="2108"/>
      <c r="M104" s="2108"/>
      <c r="N104" s="2108"/>
      <c r="O104" s="2108"/>
      <c r="P104" s="2108"/>
      <c r="Q104" s="2108"/>
      <c r="R104" s="2108"/>
      <c r="S104" s="2108"/>
      <c r="T104" s="2108"/>
      <c r="U104" s="2108"/>
      <c r="V104" s="2144"/>
      <c r="W104" s="2144"/>
      <c r="X104" s="2144"/>
      <c r="Y104" s="2144"/>
      <c r="Z104" s="2144"/>
      <c r="AA104" s="2144"/>
      <c r="AB104" s="2081"/>
      <c r="AC104" s="2081"/>
      <c r="AD104" s="2081"/>
      <c r="AE104" s="2081"/>
      <c r="AF104" s="2081"/>
      <c r="AG104" s="2081"/>
      <c r="AH104" s="214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4" t="s">
        <v>2310</v>
      </c>
      <c r="C105" s="2108"/>
      <c r="D105" s="2108"/>
      <c r="E105" s="2108"/>
      <c r="F105" s="2108"/>
      <c r="G105" s="2108"/>
      <c r="H105" s="2108"/>
      <c r="I105" s="2084">
        <v>0</v>
      </c>
      <c r="J105" s="2084"/>
      <c r="K105" s="2084"/>
      <c r="L105" s="2084"/>
      <c r="M105" s="2084"/>
      <c r="N105" s="2084"/>
      <c r="O105" s="2084">
        <v>0</v>
      </c>
      <c r="P105" s="2084"/>
      <c r="Q105" s="2084"/>
      <c r="R105" s="2084"/>
      <c r="S105" s="2084"/>
      <c r="T105" s="2084"/>
      <c r="U105" s="2084"/>
      <c r="V105" s="2084">
        <v>0</v>
      </c>
      <c r="W105" s="2084"/>
      <c r="X105" s="2084"/>
      <c r="Y105" s="2084"/>
      <c r="Z105" s="2084"/>
      <c r="AA105" s="2084"/>
      <c r="AB105" s="2084">
        <v>0</v>
      </c>
      <c r="AC105" s="2084"/>
      <c r="AD105" s="2084"/>
      <c r="AE105" s="2084"/>
      <c r="AF105" s="2084"/>
      <c r="AG105" s="2084"/>
      <c r="AH105" s="208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4" t="s">
        <v>2309</v>
      </c>
      <c r="C106" s="2108"/>
      <c r="D106" s="2108"/>
      <c r="E106" s="2108"/>
      <c r="F106" s="2108"/>
      <c r="G106" s="2108"/>
      <c r="H106" s="2108"/>
      <c r="I106" s="2084">
        <v>0</v>
      </c>
      <c r="J106" s="2084"/>
      <c r="K106" s="2084"/>
      <c r="L106" s="2084"/>
      <c r="M106" s="2084"/>
      <c r="N106" s="2084"/>
      <c r="O106" s="2084">
        <v>0</v>
      </c>
      <c r="P106" s="2084"/>
      <c r="Q106" s="2084"/>
      <c r="R106" s="2084"/>
      <c r="S106" s="2084"/>
      <c r="T106" s="2084"/>
      <c r="U106" s="2084"/>
      <c r="V106" s="2084">
        <v>0</v>
      </c>
      <c r="W106" s="2084"/>
      <c r="X106" s="2084"/>
      <c r="Y106" s="2084"/>
      <c r="Z106" s="2084"/>
      <c r="AA106" s="2084"/>
      <c r="AB106" s="2084">
        <v>0</v>
      </c>
      <c r="AC106" s="2084"/>
      <c r="AD106" s="2084"/>
      <c r="AE106" s="2084"/>
      <c r="AF106" s="2084"/>
      <c r="AG106" s="2084"/>
      <c r="AH106" s="208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2" t="s">
        <v>2308</v>
      </c>
      <c r="C107" s="2143"/>
      <c r="D107" s="2143"/>
      <c r="E107" s="2143"/>
      <c r="F107" s="2143"/>
      <c r="G107" s="2143"/>
      <c r="H107" s="2143"/>
      <c r="I107" s="2078">
        <v>0</v>
      </c>
      <c r="J107" s="2078"/>
      <c r="K107" s="2078"/>
      <c r="L107" s="2078"/>
      <c r="M107" s="2078"/>
      <c r="N107" s="2078"/>
      <c r="O107" s="2078">
        <v>0</v>
      </c>
      <c r="P107" s="2078"/>
      <c r="Q107" s="2078"/>
      <c r="R107" s="2078"/>
      <c r="S107" s="2078"/>
      <c r="T107" s="2078"/>
      <c r="U107" s="2078"/>
      <c r="V107" s="2078">
        <v>0</v>
      </c>
      <c r="W107" s="2078"/>
      <c r="X107" s="2078"/>
      <c r="Y107" s="2078"/>
      <c r="Z107" s="2078"/>
      <c r="AA107" s="2078"/>
      <c r="AB107" s="2078">
        <v>0</v>
      </c>
      <c r="AC107" s="2078"/>
      <c r="AD107" s="2078"/>
      <c r="AE107" s="2078"/>
      <c r="AF107" s="2078"/>
      <c r="AG107" s="2078"/>
      <c r="AH107" s="207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5"/>
      <c r="G110" s="2106"/>
      <c r="H110" s="2106"/>
      <c r="I110" s="2106"/>
      <c r="J110" s="2106"/>
      <c r="K110" s="2106"/>
      <c r="L110" s="2106"/>
      <c r="M110" s="2106"/>
      <c r="N110" s="2106"/>
      <c r="O110" s="2106"/>
      <c r="P110" s="2106"/>
      <c r="Q110" s="2106"/>
      <c r="R110" s="2107"/>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5" t="s">
        <v>2626</v>
      </c>
      <c r="C112" s="2116"/>
      <c r="D112" s="2116"/>
      <c r="E112" s="2116"/>
      <c r="F112" s="2116"/>
      <c r="G112" s="2116"/>
      <c r="H112" s="2116"/>
      <c r="I112" s="2116"/>
      <c r="J112" s="2116"/>
      <c r="K112" s="2116"/>
      <c r="L112" s="2116"/>
      <c r="M112" s="2116"/>
      <c r="N112" s="2116"/>
      <c r="O112" s="2116"/>
      <c r="P112" s="2116"/>
      <c r="Q112" s="2116"/>
      <c r="R112" s="2116"/>
      <c r="S112" s="2116"/>
      <c r="T112" s="2116"/>
      <c r="U112" s="2119" t="s">
        <v>544</v>
      </c>
      <c r="V112" s="2119"/>
      <c r="W112" s="2119"/>
      <c r="X112" s="212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7"/>
      <c r="C113" s="2118"/>
      <c r="D113" s="2118"/>
      <c r="E113" s="2118"/>
      <c r="F113" s="2118"/>
      <c r="G113" s="2118"/>
      <c r="H113" s="2118"/>
      <c r="I113" s="2118"/>
      <c r="J113" s="2118"/>
      <c r="K113" s="2118"/>
      <c r="L113" s="2118"/>
      <c r="M113" s="2118"/>
      <c r="N113" s="2118"/>
      <c r="O113" s="2118"/>
      <c r="P113" s="2118"/>
      <c r="Q113" s="2118"/>
      <c r="R113" s="2118"/>
      <c r="S113" s="2118"/>
      <c r="T113" s="2118"/>
      <c r="U113" s="2121"/>
      <c r="V113" s="2121"/>
      <c r="W113" s="2121"/>
      <c r="X113" s="212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7"/>
      <c r="C114" s="2118"/>
      <c r="D114" s="2118"/>
      <c r="E114" s="2118"/>
      <c r="F114" s="2118"/>
      <c r="G114" s="2118"/>
      <c r="H114" s="2118"/>
      <c r="I114" s="2118"/>
      <c r="J114" s="2118"/>
      <c r="K114" s="2118"/>
      <c r="L114" s="2118"/>
      <c r="M114" s="2118"/>
      <c r="N114" s="2118"/>
      <c r="O114" s="2118"/>
      <c r="P114" s="2118"/>
      <c r="Q114" s="2118"/>
      <c r="R114" s="2118"/>
      <c r="S114" s="2118"/>
      <c r="T114" s="2118"/>
      <c r="U114" s="2121"/>
      <c r="V114" s="2121"/>
      <c r="W114" s="2121"/>
      <c r="X114" s="212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7"/>
      <c r="C115" s="2118"/>
      <c r="D115" s="2118"/>
      <c r="E115" s="2118"/>
      <c r="F115" s="2118"/>
      <c r="G115" s="2118"/>
      <c r="H115" s="2118"/>
      <c r="I115" s="2118"/>
      <c r="J115" s="2118"/>
      <c r="K115" s="2118"/>
      <c r="L115" s="2118"/>
      <c r="M115" s="2118"/>
      <c r="N115" s="2118"/>
      <c r="O115" s="2118"/>
      <c r="P115" s="2118"/>
      <c r="Q115" s="2118"/>
      <c r="R115" s="2118"/>
      <c r="S115" s="2118"/>
      <c r="T115" s="2118"/>
      <c r="U115" s="2121"/>
      <c r="V115" s="2121"/>
      <c r="W115" s="2121"/>
      <c r="X115" s="212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3" t="s">
        <v>2626</v>
      </c>
      <c r="C116" s="2124"/>
      <c r="D116" s="2124"/>
      <c r="E116" s="2124"/>
      <c r="F116" s="2124"/>
      <c r="G116" s="2124"/>
      <c r="H116" s="2124"/>
      <c r="I116" s="2124"/>
      <c r="J116" s="2124"/>
      <c r="K116" s="2124"/>
      <c r="L116" s="2124"/>
      <c r="M116" s="2124"/>
      <c r="N116" s="2124"/>
      <c r="O116" s="2124"/>
      <c r="P116" s="2124"/>
      <c r="Q116" s="2124"/>
      <c r="R116" s="2124"/>
      <c r="S116" s="2124"/>
      <c r="T116" s="2124"/>
      <c r="U116" s="2127" t="s">
        <v>544</v>
      </c>
      <c r="V116" s="2127"/>
      <c r="W116" s="2127"/>
      <c r="X116" s="212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5"/>
      <c r="C117" s="2126"/>
      <c r="D117" s="2126"/>
      <c r="E117" s="2126"/>
      <c r="F117" s="2126"/>
      <c r="G117" s="2126"/>
      <c r="H117" s="2126"/>
      <c r="I117" s="2126"/>
      <c r="J117" s="2126"/>
      <c r="K117" s="2126"/>
      <c r="L117" s="2126"/>
      <c r="M117" s="2126"/>
      <c r="N117" s="2126"/>
      <c r="O117" s="2126"/>
      <c r="P117" s="2126"/>
      <c r="Q117" s="2126"/>
      <c r="R117" s="2126"/>
      <c r="S117" s="2126"/>
      <c r="T117" s="2126"/>
      <c r="U117" s="2129"/>
      <c r="V117" s="2129"/>
      <c r="W117" s="2129"/>
      <c r="X117" s="213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3" t="s">
        <v>2305</v>
      </c>
      <c r="Y120" s="2134"/>
      <c r="Z120" s="2134"/>
      <c r="AA120" s="2134"/>
      <c r="AB120" s="2134"/>
      <c r="AC120" s="2134"/>
      <c r="AD120" s="2134"/>
      <c r="AE120" s="2134"/>
      <c r="AF120" s="2134"/>
      <c r="AG120" s="2134"/>
      <c r="AH120" s="2134"/>
      <c r="AI120" s="2134"/>
      <c r="AJ120" s="2134"/>
      <c r="AK120" s="2134"/>
      <c r="AL120" s="2134"/>
      <c r="AM120" s="2134"/>
      <c r="AN120" s="2134"/>
      <c r="AO120" s="2134"/>
      <c r="AP120" s="2134"/>
      <c r="AQ120" s="2134"/>
      <c r="AR120" s="2134"/>
      <c r="AS120" s="2134"/>
      <c r="AT120" s="2134"/>
      <c r="AU120" s="2134"/>
      <c r="AV120" s="2134"/>
      <c r="AW120" s="2134"/>
      <c r="AX120" s="2134"/>
      <c r="AY120" s="2134"/>
      <c r="AZ120" s="2134"/>
      <c r="BA120" s="2134"/>
      <c r="BB120" s="2134"/>
      <c r="BC120" s="2134"/>
      <c r="BD120" s="2135"/>
      <c r="BE120" s="1215"/>
    </row>
    <row r="121" spans="1:57" ht="15.75" customHeight="1">
      <c r="A121" s="1208"/>
      <c r="B121" s="2139" t="s">
        <v>1565</v>
      </c>
      <c r="C121" s="2140"/>
      <c r="D121" s="2140"/>
      <c r="E121" s="2140"/>
      <c r="F121" s="2140"/>
      <c r="G121" s="2140"/>
      <c r="H121" s="2140"/>
      <c r="I121" s="2140"/>
      <c r="J121" s="2140"/>
      <c r="K121" s="2140"/>
      <c r="L121" s="2140"/>
      <c r="M121" s="2140"/>
      <c r="N121" s="2140"/>
      <c r="O121" s="2140"/>
      <c r="P121" s="2140"/>
      <c r="Q121" s="2140"/>
      <c r="R121" s="2140"/>
      <c r="S121" s="2140"/>
      <c r="T121" s="2140"/>
      <c r="U121" s="2141"/>
      <c r="V121" s="1208"/>
      <c r="W121" s="1208"/>
      <c r="X121" s="2136"/>
      <c r="Y121" s="2137"/>
      <c r="Z121" s="2137"/>
      <c r="AA121" s="2137"/>
      <c r="AB121" s="2137"/>
      <c r="AC121" s="2137"/>
      <c r="AD121" s="2137"/>
      <c r="AE121" s="2137"/>
      <c r="AF121" s="2137"/>
      <c r="AG121" s="2137"/>
      <c r="AH121" s="2137"/>
      <c r="AI121" s="2137"/>
      <c r="AJ121" s="2137"/>
      <c r="AK121" s="2137"/>
      <c r="AL121" s="2137"/>
      <c r="AM121" s="2137"/>
      <c r="AN121" s="2137"/>
      <c r="AO121" s="2137"/>
      <c r="AP121" s="2137"/>
      <c r="AQ121" s="2137"/>
      <c r="AR121" s="2137"/>
      <c r="AS121" s="2137"/>
      <c r="AT121" s="2137"/>
      <c r="AU121" s="2137"/>
      <c r="AV121" s="2137"/>
      <c r="AW121" s="2137"/>
      <c r="AX121" s="2137"/>
      <c r="AY121" s="2137"/>
      <c r="AZ121" s="2137"/>
      <c r="BA121" s="2137"/>
      <c r="BB121" s="2137"/>
      <c r="BC121" s="2137"/>
      <c r="BD121" s="2138"/>
      <c r="BE121" s="1215"/>
    </row>
    <row r="122" spans="1:57" ht="15.75" customHeight="1">
      <c r="A122" s="1208"/>
      <c r="B122" s="2048"/>
      <c r="C122" s="2049"/>
      <c r="D122" s="2049"/>
      <c r="E122" s="2049"/>
      <c r="F122" s="2049"/>
      <c r="G122" s="2049"/>
      <c r="H122" s="2049"/>
      <c r="I122" s="2108" t="s">
        <v>2304</v>
      </c>
      <c r="J122" s="2108"/>
      <c r="K122" s="2108"/>
      <c r="L122" s="2108"/>
      <c r="M122" s="2108"/>
      <c r="N122" s="2108"/>
      <c r="O122" s="2109" t="s">
        <v>2303</v>
      </c>
      <c r="P122" s="2109"/>
      <c r="Q122" s="2109"/>
      <c r="R122" s="2109"/>
      <c r="S122" s="2109"/>
      <c r="T122" s="2109"/>
      <c r="U122" s="2110"/>
      <c r="V122" s="1208"/>
      <c r="W122" s="1208"/>
      <c r="X122" s="2051" t="s">
        <v>2273</v>
      </c>
      <c r="Y122" s="2052"/>
      <c r="Z122" s="2052"/>
      <c r="AA122" s="2052"/>
      <c r="AB122" s="2052"/>
      <c r="AC122" s="2052"/>
      <c r="AD122" s="2052"/>
      <c r="AE122" s="2052"/>
      <c r="AF122" s="2052"/>
      <c r="AG122" s="2052"/>
      <c r="AH122" s="2052"/>
      <c r="AI122" s="2052"/>
      <c r="AJ122" s="2052"/>
      <c r="AK122" s="2052"/>
      <c r="AL122" s="2052"/>
      <c r="AM122" s="2052"/>
      <c r="AN122" s="2052"/>
      <c r="AO122" s="2052"/>
      <c r="AP122" s="2052"/>
      <c r="AQ122" s="2052"/>
      <c r="AR122" s="2052"/>
      <c r="AS122" s="2052"/>
      <c r="AT122" s="2052"/>
      <c r="AU122" s="2052"/>
      <c r="AV122" s="2052"/>
      <c r="AW122" s="2052"/>
      <c r="AX122" s="2052"/>
      <c r="AY122" s="2052"/>
      <c r="AZ122" s="2052"/>
      <c r="BA122" s="2052"/>
      <c r="BB122" s="2052"/>
      <c r="BC122" s="2052"/>
      <c r="BD122" s="2053"/>
      <c r="BE122" s="1215"/>
    </row>
    <row r="123" spans="1:57" ht="15.75" customHeight="1">
      <c r="A123" s="1208"/>
      <c r="B123" s="2082" t="s">
        <v>2287</v>
      </c>
      <c r="C123" s="2083"/>
      <c r="D123" s="2083"/>
      <c r="E123" s="2083"/>
      <c r="F123" s="2083"/>
      <c r="G123" s="2083"/>
      <c r="H123" s="2083"/>
      <c r="I123" s="2084">
        <v>0</v>
      </c>
      <c r="J123" s="2084"/>
      <c r="K123" s="2084"/>
      <c r="L123" s="2084"/>
      <c r="M123" s="2084"/>
      <c r="N123" s="2084"/>
      <c r="O123" s="2084">
        <v>0</v>
      </c>
      <c r="P123" s="2084"/>
      <c r="Q123" s="2084"/>
      <c r="R123" s="2084"/>
      <c r="S123" s="2084"/>
      <c r="T123" s="2084"/>
      <c r="U123" s="2085"/>
      <c r="V123" s="1208"/>
      <c r="W123" s="1208"/>
      <c r="X123" s="2051"/>
      <c r="Y123" s="2052"/>
      <c r="Z123" s="2052"/>
      <c r="AA123" s="2052"/>
      <c r="AB123" s="2052"/>
      <c r="AC123" s="2052"/>
      <c r="AD123" s="2052"/>
      <c r="AE123" s="2052"/>
      <c r="AF123" s="2052"/>
      <c r="AG123" s="2052"/>
      <c r="AH123" s="2052"/>
      <c r="AI123" s="2052"/>
      <c r="AJ123" s="2052"/>
      <c r="AK123" s="2052"/>
      <c r="AL123" s="2052"/>
      <c r="AM123" s="2052"/>
      <c r="AN123" s="2052"/>
      <c r="AO123" s="2052"/>
      <c r="AP123" s="2052"/>
      <c r="AQ123" s="2052"/>
      <c r="AR123" s="2052"/>
      <c r="AS123" s="2052"/>
      <c r="AT123" s="2052"/>
      <c r="AU123" s="2052"/>
      <c r="AV123" s="2052"/>
      <c r="AW123" s="2052"/>
      <c r="AX123" s="2052"/>
      <c r="AY123" s="2052"/>
      <c r="AZ123" s="2052"/>
      <c r="BA123" s="2052"/>
      <c r="BB123" s="2052"/>
      <c r="BC123" s="2052"/>
      <c r="BD123" s="2053"/>
      <c r="BE123" s="1215"/>
    </row>
    <row r="124" spans="1:57" ht="15.75" customHeight="1" thickBot="1">
      <c r="A124" s="1208"/>
      <c r="B124" s="2076" t="s">
        <v>2286</v>
      </c>
      <c r="C124" s="2077"/>
      <c r="D124" s="2077"/>
      <c r="E124" s="2077"/>
      <c r="F124" s="2077"/>
      <c r="G124" s="2077"/>
      <c r="H124" s="2077"/>
      <c r="I124" s="2078">
        <v>0</v>
      </c>
      <c r="J124" s="2078"/>
      <c r="K124" s="2078"/>
      <c r="L124" s="2078"/>
      <c r="M124" s="2078"/>
      <c r="N124" s="2078"/>
      <c r="O124" s="2131"/>
      <c r="P124" s="2131"/>
      <c r="Q124" s="2131"/>
      <c r="R124" s="2131"/>
      <c r="S124" s="2131"/>
      <c r="T124" s="2131"/>
      <c r="U124" s="2132"/>
      <c r="V124" s="1208"/>
      <c r="W124" s="1208"/>
      <c r="X124" s="2051"/>
      <c r="Y124" s="2052"/>
      <c r="Z124" s="2052"/>
      <c r="AA124" s="2052"/>
      <c r="AB124" s="2052"/>
      <c r="AC124" s="2052"/>
      <c r="AD124" s="2052"/>
      <c r="AE124" s="2052"/>
      <c r="AF124" s="2052"/>
      <c r="AG124" s="2052"/>
      <c r="AH124" s="2052"/>
      <c r="AI124" s="2052"/>
      <c r="AJ124" s="2052"/>
      <c r="AK124" s="2052"/>
      <c r="AL124" s="2052"/>
      <c r="AM124" s="2052"/>
      <c r="AN124" s="2052"/>
      <c r="AO124" s="2052"/>
      <c r="AP124" s="2052"/>
      <c r="AQ124" s="2052"/>
      <c r="AR124" s="2052"/>
      <c r="AS124" s="2052"/>
      <c r="AT124" s="2052"/>
      <c r="AU124" s="2052"/>
      <c r="AV124" s="2052"/>
      <c r="AW124" s="2052"/>
      <c r="AX124" s="2052"/>
      <c r="AY124" s="2052"/>
      <c r="AZ124" s="2052"/>
      <c r="BA124" s="2052"/>
      <c r="BB124" s="2052"/>
      <c r="BC124" s="2052"/>
      <c r="BD124" s="205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1"/>
      <c r="Y125" s="2052"/>
      <c r="Z125" s="2052"/>
      <c r="AA125" s="2052"/>
      <c r="AB125" s="2052"/>
      <c r="AC125" s="2052"/>
      <c r="AD125" s="2052"/>
      <c r="AE125" s="2052"/>
      <c r="AF125" s="2052"/>
      <c r="AG125" s="2052"/>
      <c r="AH125" s="2052"/>
      <c r="AI125" s="2052"/>
      <c r="AJ125" s="2052"/>
      <c r="AK125" s="2052"/>
      <c r="AL125" s="2052"/>
      <c r="AM125" s="2052"/>
      <c r="AN125" s="2052"/>
      <c r="AO125" s="2052"/>
      <c r="AP125" s="2052"/>
      <c r="AQ125" s="2052"/>
      <c r="AR125" s="2052"/>
      <c r="AS125" s="2052"/>
      <c r="AT125" s="2052"/>
      <c r="AU125" s="2052"/>
      <c r="AV125" s="2052"/>
      <c r="AW125" s="2052"/>
      <c r="AX125" s="2052"/>
      <c r="AY125" s="2052"/>
      <c r="AZ125" s="2052"/>
      <c r="BA125" s="2052"/>
      <c r="BB125" s="2052"/>
      <c r="BC125" s="2052"/>
      <c r="BD125" s="2053"/>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51"/>
      <c r="Y126" s="2052"/>
      <c r="Z126" s="2052"/>
      <c r="AA126" s="2052"/>
      <c r="AB126" s="2052"/>
      <c r="AC126" s="2052"/>
      <c r="AD126" s="2052"/>
      <c r="AE126" s="2052"/>
      <c r="AF126" s="2052"/>
      <c r="AG126" s="2052"/>
      <c r="AH126" s="2052"/>
      <c r="AI126" s="2052"/>
      <c r="AJ126" s="2052"/>
      <c r="AK126" s="2052"/>
      <c r="AL126" s="2052"/>
      <c r="AM126" s="2052"/>
      <c r="AN126" s="2052"/>
      <c r="AO126" s="2052"/>
      <c r="AP126" s="2052"/>
      <c r="AQ126" s="2052"/>
      <c r="AR126" s="2052"/>
      <c r="AS126" s="2052"/>
      <c r="AT126" s="2052"/>
      <c r="AU126" s="2052"/>
      <c r="AV126" s="2052"/>
      <c r="AW126" s="2052"/>
      <c r="AX126" s="2052"/>
      <c r="AY126" s="2052"/>
      <c r="AZ126" s="2052"/>
      <c r="BA126" s="2052"/>
      <c r="BB126" s="2052"/>
      <c r="BC126" s="2052"/>
      <c r="BD126" s="205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1"/>
      <c r="Y127" s="2052"/>
      <c r="Z127" s="2052"/>
      <c r="AA127" s="2052"/>
      <c r="AB127" s="2052"/>
      <c r="AC127" s="2052"/>
      <c r="AD127" s="2052"/>
      <c r="AE127" s="2052"/>
      <c r="AF127" s="2052"/>
      <c r="AG127" s="2052"/>
      <c r="AH127" s="2052"/>
      <c r="AI127" s="2052"/>
      <c r="AJ127" s="2052"/>
      <c r="AK127" s="2052"/>
      <c r="AL127" s="2052"/>
      <c r="AM127" s="2052"/>
      <c r="AN127" s="2052"/>
      <c r="AO127" s="2052"/>
      <c r="AP127" s="2052"/>
      <c r="AQ127" s="2052"/>
      <c r="AR127" s="2052"/>
      <c r="AS127" s="2052"/>
      <c r="AT127" s="2052"/>
      <c r="AU127" s="2052"/>
      <c r="AV127" s="2052"/>
      <c r="AW127" s="2052"/>
      <c r="AX127" s="2052"/>
      <c r="AY127" s="2052"/>
      <c r="AZ127" s="2052"/>
      <c r="BA127" s="2052"/>
      <c r="BB127" s="2052"/>
      <c r="BC127" s="2052"/>
      <c r="BD127" s="2053"/>
      <c r="BE127" s="1215"/>
    </row>
    <row r="128" spans="1:57" ht="15.75" customHeight="1">
      <c r="A128" s="1208"/>
      <c r="B128" s="2111" t="s">
        <v>2301</v>
      </c>
      <c r="C128" s="2112"/>
      <c r="D128" s="2112"/>
      <c r="E128" s="2112"/>
      <c r="F128" s="2112"/>
      <c r="G128" s="2112"/>
      <c r="H128" s="2112"/>
      <c r="I128" s="2112"/>
      <c r="J128" s="2112"/>
      <c r="K128" s="2112"/>
      <c r="L128" s="2112"/>
      <c r="M128" s="2112"/>
      <c r="N128" s="2112"/>
      <c r="O128" s="2112"/>
      <c r="P128" s="2112"/>
      <c r="Q128" s="2112"/>
      <c r="R128" s="2112"/>
      <c r="S128" s="2112"/>
      <c r="T128" s="2112"/>
      <c r="U128" s="2113"/>
      <c r="V128" s="1208"/>
      <c r="W128" s="1208"/>
      <c r="X128" s="2051"/>
      <c r="Y128" s="2052"/>
      <c r="Z128" s="2052"/>
      <c r="AA128" s="2052"/>
      <c r="AB128" s="2052"/>
      <c r="AC128" s="2052"/>
      <c r="AD128" s="2052"/>
      <c r="AE128" s="2052"/>
      <c r="AF128" s="2052"/>
      <c r="AG128" s="2052"/>
      <c r="AH128" s="2052"/>
      <c r="AI128" s="2052"/>
      <c r="AJ128" s="2052"/>
      <c r="AK128" s="2052"/>
      <c r="AL128" s="2052"/>
      <c r="AM128" s="2052"/>
      <c r="AN128" s="2052"/>
      <c r="AO128" s="2052"/>
      <c r="AP128" s="2052"/>
      <c r="AQ128" s="2052"/>
      <c r="AR128" s="2052"/>
      <c r="AS128" s="2052"/>
      <c r="AT128" s="2052"/>
      <c r="AU128" s="2052"/>
      <c r="AV128" s="2052"/>
      <c r="AW128" s="2052"/>
      <c r="AX128" s="2052"/>
      <c r="AY128" s="2052"/>
      <c r="AZ128" s="2052"/>
      <c r="BA128" s="2052"/>
      <c r="BB128" s="2052"/>
      <c r="BC128" s="2052"/>
      <c r="BD128" s="2053"/>
      <c r="BE128" s="1215"/>
    </row>
    <row r="129" spans="1:57" ht="15.75" customHeight="1">
      <c r="A129" s="1208"/>
      <c r="B129" s="2048"/>
      <c r="C129" s="2049"/>
      <c r="D129" s="2049"/>
      <c r="E129" s="2049"/>
      <c r="F129" s="2049"/>
      <c r="G129" s="2049"/>
      <c r="H129" s="2049"/>
      <c r="I129" s="2086" t="s">
        <v>2289</v>
      </c>
      <c r="J129" s="2086"/>
      <c r="K129" s="2086"/>
      <c r="L129" s="2086"/>
      <c r="M129" s="2086"/>
      <c r="N129" s="2086"/>
      <c r="O129" s="2086"/>
      <c r="P129" s="2086" t="s">
        <v>2288</v>
      </c>
      <c r="Q129" s="2086"/>
      <c r="R129" s="2086"/>
      <c r="S129" s="2086"/>
      <c r="T129" s="2086"/>
      <c r="U129" s="2087"/>
      <c r="V129" s="1208"/>
      <c r="W129" s="1208"/>
      <c r="X129" s="2051"/>
      <c r="Y129" s="2052"/>
      <c r="Z129" s="2052"/>
      <c r="AA129" s="2052"/>
      <c r="AB129" s="2052"/>
      <c r="AC129" s="2052"/>
      <c r="AD129" s="2052"/>
      <c r="AE129" s="2052"/>
      <c r="AF129" s="2052"/>
      <c r="AG129" s="2052"/>
      <c r="AH129" s="2052"/>
      <c r="AI129" s="2052"/>
      <c r="AJ129" s="2052"/>
      <c r="AK129" s="2052"/>
      <c r="AL129" s="2052"/>
      <c r="AM129" s="2052"/>
      <c r="AN129" s="2052"/>
      <c r="AO129" s="2052"/>
      <c r="AP129" s="2052"/>
      <c r="AQ129" s="2052"/>
      <c r="AR129" s="2052"/>
      <c r="AS129" s="2052"/>
      <c r="AT129" s="2052"/>
      <c r="AU129" s="2052"/>
      <c r="AV129" s="2052"/>
      <c r="AW129" s="2052"/>
      <c r="AX129" s="2052"/>
      <c r="AY129" s="2052"/>
      <c r="AZ129" s="2052"/>
      <c r="BA129" s="2052"/>
      <c r="BB129" s="2052"/>
      <c r="BC129" s="2052"/>
      <c r="BD129" s="2053"/>
      <c r="BE129" s="1215"/>
    </row>
    <row r="130" spans="1:57" ht="15.75" customHeight="1">
      <c r="A130" s="1208"/>
      <c r="B130" s="2048"/>
      <c r="C130" s="2049"/>
      <c r="D130" s="2049"/>
      <c r="E130" s="2049"/>
      <c r="F130" s="2049"/>
      <c r="G130" s="2049"/>
      <c r="H130" s="2049"/>
      <c r="I130" s="2086"/>
      <c r="J130" s="2086"/>
      <c r="K130" s="2086"/>
      <c r="L130" s="2086"/>
      <c r="M130" s="2086"/>
      <c r="N130" s="2086"/>
      <c r="O130" s="2086"/>
      <c r="P130" s="2086"/>
      <c r="Q130" s="2086"/>
      <c r="R130" s="2086"/>
      <c r="S130" s="2086"/>
      <c r="T130" s="2086"/>
      <c r="U130" s="2087"/>
      <c r="V130" s="1208"/>
      <c r="W130" s="1208"/>
      <c r="X130" s="2051"/>
      <c r="Y130" s="2052"/>
      <c r="Z130" s="2052"/>
      <c r="AA130" s="2052"/>
      <c r="AB130" s="2052"/>
      <c r="AC130" s="2052"/>
      <c r="AD130" s="2052"/>
      <c r="AE130" s="2052"/>
      <c r="AF130" s="2052"/>
      <c r="AG130" s="2052"/>
      <c r="AH130" s="2052"/>
      <c r="AI130" s="2052"/>
      <c r="AJ130" s="2052"/>
      <c r="AK130" s="2052"/>
      <c r="AL130" s="2052"/>
      <c r="AM130" s="2052"/>
      <c r="AN130" s="2052"/>
      <c r="AO130" s="2052"/>
      <c r="AP130" s="2052"/>
      <c r="AQ130" s="2052"/>
      <c r="AR130" s="2052"/>
      <c r="AS130" s="2052"/>
      <c r="AT130" s="2052"/>
      <c r="AU130" s="2052"/>
      <c r="AV130" s="2052"/>
      <c r="AW130" s="2052"/>
      <c r="AX130" s="2052"/>
      <c r="AY130" s="2052"/>
      <c r="AZ130" s="2052"/>
      <c r="BA130" s="2052"/>
      <c r="BB130" s="2052"/>
      <c r="BC130" s="2052"/>
      <c r="BD130" s="2053"/>
      <c r="BE130" s="1215"/>
    </row>
    <row r="131" spans="1:57" ht="15.75" customHeight="1">
      <c r="A131" s="1208"/>
      <c r="B131" s="2082" t="s">
        <v>2287</v>
      </c>
      <c r="C131" s="2083"/>
      <c r="D131" s="2083"/>
      <c r="E131" s="2083"/>
      <c r="F131" s="2083"/>
      <c r="G131" s="2083"/>
      <c r="H131" s="2083"/>
      <c r="I131" s="2084">
        <v>0</v>
      </c>
      <c r="J131" s="2084"/>
      <c r="K131" s="2084"/>
      <c r="L131" s="2084"/>
      <c r="M131" s="2084"/>
      <c r="N131" s="2084"/>
      <c r="O131" s="2084"/>
      <c r="P131" s="2084">
        <v>0</v>
      </c>
      <c r="Q131" s="2084"/>
      <c r="R131" s="2084"/>
      <c r="S131" s="2084"/>
      <c r="T131" s="2084"/>
      <c r="U131" s="2085"/>
      <c r="V131" s="1208"/>
      <c r="W131" s="1208"/>
      <c r="X131" s="2051"/>
      <c r="Y131" s="2052"/>
      <c r="Z131" s="2052"/>
      <c r="AA131" s="2052"/>
      <c r="AB131" s="2052"/>
      <c r="AC131" s="2052"/>
      <c r="AD131" s="2052"/>
      <c r="AE131" s="2052"/>
      <c r="AF131" s="2052"/>
      <c r="AG131" s="2052"/>
      <c r="AH131" s="2052"/>
      <c r="AI131" s="2052"/>
      <c r="AJ131" s="2052"/>
      <c r="AK131" s="2052"/>
      <c r="AL131" s="2052"/>
      <c r="AM131" s="2052"/>
      <c r="AN131" s="2052"/>
      <c r="AO131" s="2052"/>
      <c r="AP131" s="2052"/>
      <c r="AQ131" s="2052"/>
      <c r="AR131" s="2052"/>
      <c r="AS131" s="2052"/>
      <c r="AT131" s="2052"/>
      <c r="AU131" s="2052"/>
      <c r="AV131" s="2052"/>
      <c r="AW131" s="2052"/>
      <c r="AX131" s="2052"/>
      <c r="AY131" s="2052"/>
      <c r="AZ131" s="2052"/>
      <c r="BA131" s="2052"/>
      <c r="BB131" s="2052"/>
      <c r="BC131" s="2052"/>
      <c r="BD131" s="2053"/>
      <c r="BE131" s="1215"/>
    </row>
    <row r="132" spans="1:57" ht="15.75" customHeight="1" thickBot="1">
      <c r="A132" s="1208"/>
      <c r="B132" s="2076" t="s">
        <v>2286</v>
      </c>
      <c r="C132" s="2077"/>
      <c r="D132" s="2077"/>
      <c r="E132" s="2077"/>
      <c r="F132" s="2077"/>
      <c r="G132" s="2077"/>
      <c r="H132" s="2077"/>
      <c r="I132" s="2078">
        <v>0</v>
      </c>
      <c r="J132" s="2078"/>
      <c r="K132" s="2078"/>
      <c r="L132" s="2078"/>
      <c r="M132" s="2078"/>
      <c r="N132" s="2078"/>
      <c r="O132" s="2078"/>
      <c r="P132" s="2078">
        <v>0</v>
      </c>
      <c r="Q132" s="2078"/>
      <c r="R132" s="2078"/>
      <c r="S132" s="2078"/>
      <c r="T132" s="2078"/>
      <c r="U132" s="2079"/>
      <c r="V132" s="1208"/>
      <c r="W132" s="1208"/>
      <c r="X132" s="2054"/>
      <c r="Y132" s="2055"/>
      <c r="Z132" s="2055"/>
      <c r="AA132" s="2055"/>
      <c r="AB132" s="2055"/>
      <c r="AC132" s="2055"/>
      <c r="AD132" s="2055"/>
      <c r="AE132" s="2055"/>
      <c r="AF132" s="2055"/>
      <c r="AG132" s="2055"/>
      <c r="AH132" s="2055"/>
      <c r="AI132" s="2055"/>
      <c r="AJ132" s="2055"/>
      <c r="AK132" s="2055"/>
      <c r="AL132" s="2055"/>
      <c r="AM132" s="2055"/>
      <c r="AN132" s="2055"/>
      <c r="AO132" s="2055"/>
      <c r="AP132" s="2055"/>
      <c r="AQ132" s="2055"/>
      <c r="AR132" s="2055"/>
      <c r="AS132" s="2055"/>
      <c r="AT132" s="2055"/>
      <c r="AU132" s="2055"/>
      <c r="AV132" s="2055"/>
      <c r="AW132" s="2055"/>
      <c r="AX132" s="2055"/>
      <c r="AY132" s="2055"/>
      <c r="AZ132" s="2055"/>
      <c r="BA132" s="2055"/>
      <c r="BB132" s="2055"/>
      <c r="BC132" s="2055"/>
      <c r="BD132" s="205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3" t="s">
        <v>2300</v>
      </c>
      <c r="C134" s="2104"/>
      <c r="D134" s="2104"/>
      <c r="E134" s="2104"/>
      <c r="F134" s="2104"/>
      <c r="G134" s="2104"/>
      <c r="H134" s="2104"/>
      <c r="I134" s="2104"/>
      <c r="J134" s="2104"/>
      <c r="K134" s="2104"/>
      <c r="L134" s="2104"/>
      <c r="M134" s="2104"/>
      <c r="N134" s="2104"/>
      <c r="O134" s="2104"/>
      <c r="P134" s="2104"/>
      <c r="Q134" s="2104"/>
      <c r="R134" s="2104"/>
      <c r="S134" s="2104"/>
      <c r="T134" s="2104"/>
      <c r="U134" s="2104"/>
      <c r="V134" s="2104"/>
      <c r="W134" s="2104"/>
      <c r="X134" s="2104"/>
      <c r="Y134" s="2104"/>
      <c r="Z134" s="2104"/>
      <c r="AA134" s="2104"/>
      <c r="AB134" s="2104"/>
      <c r="AC134" s="2104"/>
      <c r="AD134" s="2104"/>
      <c r="AE134" s="2104"/>
      <c r="AF134" s="2104"/>
      <c r="AG134" s="2104"/>
      <c r="AH134" s="2091" t="s">
        <v>544</v>
      </c>
      <c r="AI134" s="2091"/>
      <c r="AJ134" s="2091"/>
      <c r="AK134" s="2091"/>
      <c r="AL134" s="2091"/>
      <c r="AM134" s="2091"/>
      <c r="AN134" s="2091"/>
      <c r="AO134" s="2091"/>
      <c r="AP134" s="2091"/>
      <c r="AQ134" s="2091"/>
      <c r="AR134" s="2091"/>
      <c r="AS134" s="2091"/>
      <c r="AT134" s="2091"/>
      <c r="AU134" s="2091"/>
      <c r="AV134" s="2091"/>
      <c r="AW134" s="2091"/>
      <c r="AX134" s="2092"/>
      <c r="AY134" s="1208"/>
      <c r="AZ134" s="1208"/>
      <c r="BA134" s="1208"/>
      <c r="BB134" s="1208"/>
      <c r="BC134" s="1208"/>
      <c r="BD134" s="1208"/>
      <c r="BE134" s="1215"/>
    </row>
    <row r="135" spans="1:57" ht="15.75" customHeight="1" thickBot="1">
      <c r="A135" s="1208"/>
      <c r="B135" s="2088" t="s">
        <v>2299</v>
      </c>
      <c r="C135" s="2089"/>
      <c r="D135" s="2089"/>
      <c r="E135" s="2089"/>
      <c r="F135" s="2089"/>
      <c r="G135" s="2089"/>
      <c r="H135" s="2089"/>
      <c r="I135" s="2089"/>
      <c r="J135" s="2089"/>
      <c r="K135" s="2089"/>
      <c r="L135" s="2089"/>
      <c r="M135" s="2089"/>
      <c r="N135" s="2089"/>
      <c r="O135" s="2089"/>
      <c r="P135" s="2089"/>
      <c r="Q135" s="2089"/>
      <c r="R135" s="2089"/>
      <c r="S135" s="2089"/>
      <c r="T135" s="2089"/>
      <c r="U135" s="2089"/>
      <c r="V135" s="2089"/>
      <c r="W135" s="2089"/>
      <c r="X135" s="2089"/>
      <c r="Y135" s="2089"/>
      <c r="Z135" s="2089"/>
      <c r="AA135" s="2089"/>
      <c r="AB135" s="2089"/>
      <c r="AC135" s="2089"/>
      <c r="AD135" s="2089"/>
      <c r="AE135" s="2089"/>
      <c r="AF135" s="2089"/>
      <c r="AG135" s="2090"/>
      <c r="AH135" s="2105"/>
      <c r="AI135" s="2106"/>
      <c r="AJ135" s="2106"/>
      <c r="AK135" s="2106"/>
      <c r="AL135" s="2106"/>
      <c r="AM135" s="2106"/>
      <c r="AN135" s="2106"/>
      <c r="AO135" s="2106"/>
      <c r="AP135" s="2106"/>
      <c r="AQ135" s="2106"/>
      <c r="AR135" s="2106"/>
      <c r="AS135" s="2106"/>
      <c r="AT135" s="2106"/>
      <c r="AU135" s="2106"/>
      <c r="AV135" s="2106"/>
      <c r="AW135" s="2106"/>
      <c r="AX135" s="2107"/>
      <c r="AY135" s="1208"/>
      <c r="AZ135" s="1208"/>
      <c r="BA135" s="1208"/>
      <c r="BB135" s="1208"/>
      <c r="BC135" s="1208"/>
      <c r="BD135" s="1208"/>
      <c r="BE135" s="1215"/>
    </row>
    <row r="136" spans="1:57" ht="15.75" customHeight="1">
      <c r="A136" s="1208"/>
      <c r="B136" s="2088" t="s">
        <v>2298</v>
      </c>
      <c r="C136" s="2089"/>
      <c r="D136" s="2089"/>
      <c r="E136" s="2089"/>
      <c r="F136" s="2089"/>
      <c r="G136" s="2089"/>
      <c r="H136" s="2089"/>
      <c r="I136" s="2089"/>
      <c r="J136" s="2089"/>
      <c r="K136" s="2089"/>
      <c r="L136" s="2089"/>
      <c r="M136" s="2089"/>
      <c r="N136" s="2089"/>
      <c r="O136" s="2089"/>
      <c r="P136" s="2089"/>
      <c r="Q136" s="2089"/>
      <c r="R136" s="2089"/>
      <c r="S136" s="2089"/>
      <c r="T136" s="2089"/>
      <c r="U136" s="2089"/>
      <c r="V136" s="2089"/>
      <c r="W136" s="2089"/>
      <c r="X136" s="2089"/>
      <c r="Y136" s="2089"/>
      <c r="Z136" s="2089"/>
      <c r="AA136" s="2089"/>
      <c r="AB136" s="2089"/>
      <c r="AC136" s="2089"/>
      <c r="AD136" s="2089"/>
      <c r="AE136" s="2089"/>
      <c r="AF136" s="2089"/>
      <c r="AG136" s="2090"/>
      <c r="AH136" s="2091" t="s">
        <v>544</v>
      </c>
      <c r="AI136" s="2091"/>
      <c r="AJ136" s="2091"/>
      <c r="AK136" s="2091"/>
      <c r="AL136" s="2091"/>
      <c r="AM136" s="2091"/>
      <c r="AN136" s="2091"/>
      <c r="AO136" s="2091"/>
      <c r="AP136" s="2091"/>
      <c r="AQ136" s="2091"/>
      <c r="AR136" s="2091"/>
      <c r="AS136" s="2091"/>
      <c r="AT136" s="2091"/>
      <c r="AU136" s="2091"/>
      <c r="AV136" s="2091"/>
      <c r="AW136" s="2091"/>
      <c r="AX136" s="2092"/>
      <c r="AY136" s="1208"/>
      <c r="AZ136" s="1208"/>
      <c r="BA136" s="1208"/>
      <c r="BB136" s="1208"/>
      <c r="BC136" s="1208"/>
      <c r="BD136" s="1208"/>
      <c r="BE136" s="1215"/>
    </row>
    <row r="137" spans="1:57" ht="15.75" customHeight="1">
      <c r="A137" s="1208"/>
      <c r="B137" s="2093" t="s">
        <v>2297</v>
      </c>
      <c r="C137" s="2094"/>
      <c r="D137" s="2094"/>
      <c r="E137" s="2094"/>
      <c r="F137" s="2094"/>
      <c r="G137" s="2094"/>
      <c r="H137" s="2094"/>
      <c r="I137" s="2094"/>
      <c r="J137" s="2094"/>
      <c r="K137" s="2094"/>
      <c r="L137" s="2094"/>
      <c r="M137" s="2094"/>
      <c r="N137" s="2094"/>
      <c r="O137" s="2094"/>
      <c r="P137" s="2094"/>
      <c r="Q137" s="2094"/>
      <c r="R137" s="2095" t="s">
        <v>2296</v>
      </c>
      <c r="S137" s="2095"/>
      <c r="T137" s="2095"/>
      <c r="U137" s="2095"/>
      <c r="V137" s="2095"/>
      <c r="W137" s="2095"/>
      <c r="X137" s="2095"/>
      <c r="Y137" s="2095"/>
      <c r="Z137" s="2095"/>
      <c r="AA137" s="2095"/>
      <c r="AB137" s="2095"/>
      <c r="AC137" s="2095"/>
      <c r="AD137" s="2095"/>
      <c r="AE137" s="2095"/>
      <c r="AF137" s="2095"/>
      <c r="AG137" s="2095"/>
      <c r="AH137" s="2095"/>
      <c r="AI137" s="2095"/>
      <c r="AJ137" s="2095"/>
      <c r="AK137" s="2095"/>
      <c r="AL137" s="2095"/>
      <c r="AM137" s="2095"/>
      <c r="AN137" s="2095"/>
      <c r="AO137" s="2095"/>
      <c r="AP137" s="2095"/>
      <c r="AQ137" s="2095"/>
      <c r="AR137" s="2095"/>
      <c r="AS137" s="2095"/>
      <c r="AT137" s="2095"/>
      <c r="AU137" s="2095"/>
      <c r="AV137" s="2095"/>
      <c r="AW137" s="2095"/>
      <c r="AX137" s="2096"/>
      <c r="AY137" s="1208"/>
      <c r="AZ137" s="1208"/>
      <c r="BA137" s="1208"/>
      <c r="BB137" s="1208"/>
      <c r="BC137" s="1208" t="s">
        <v>249</v>
      </c>
      <c r="BD137" s="1208"/>
      <c r="BE137" s="1215"/>
    </row>
    <row r="138" spans="1:57" ht="15.75" customHeight="1">
      <c r="A138" s="1208"/>
      <c r="B138" s="2097" t="s">
        <v>2295</v>
      </c>
      <c r="C138" s="2098"/>
      <c r="D138" s="2098"/>
      <c r="E138" s="2098"/>
      <c r="F138" s="2098"/>
      <c r="G138" s="2098"/>
      <c r="H138" s="2098"/>
      <c r="I138" s="2098"/>
      <c r="J138" s="2098"/>
      <c r="K138" s="2098"/>
      <c r="L138" s="2098"/>
      <c r="M138" s="2098"/>
      <c r="N138" s="2098"/>
      <c r="O138" s="2098"/>
      <c r="P138" s="2098"/>
      <c r="Q138" s="2098"/>
      <c r="R138" s="2098"/>
      <c r="S138" s="2098"/>
      <c r="T138" s="2098"/>
      <c r="U138" s="2098"/>
      <c r="V138" s="2098"/>
      <c r="W138" s="2098"/>
      <c r="X138" s="2098"/>
      <c r="Y138" s="2098"/>
      <c r="Z138" s="2098"/>
      <c r="AA138" s="2098"/>
      <c r="AB138" s="2098"/>
      <c r="AC138" s="2098"/>
      <c r="AD138" s="2098"/>
      <c r="AE138" s="2098"/>
      <c r="AF138" s="2098"/>
      <c r="AG138" s="2098"/>
      <c r="AH138" s="2098"/>
      <c r="AI138" s="2098"/>
      <c r="AJ138" s="2098"/>
      <c r="AK138" s="2098"/>
      <c r="AL138" s="2098"/>
      <c r="AM138" s="2098"/>
      <c r="AN138" s="2098"/>
      <c r="AO138" s="2098"/>
      <c r="AP138" s="2098"/>
      <c r="AQ138" s="2098"/>
      <c r="AR138" s="2098"/>
      <c r="AS138" s="2098"/>
      <c r="AT138" s="2098"/>
      <c r="AU138" s="2098"/>
      <c r="AV138" s="2098"/>
      <c r="AW138" s="2098"/>
      <c r="AX138" s="2099"/>
      <c r="AY138" s="1208"/>
      <c r="AZ138" s="1208"/>
      <c r="BA138" s="1208"/>
      <c r="BB138" s="1208"/>
      <c r="BC138" s="1208"/>
      <c r="BD138" s="1208"/>
      <c r="BE138" s="1215"/>
    </row>
    <row r="139" spans="1:57" ht="15.75" customHeight="1">
      <c r="A139" s="1208"/>
      <c r="B139" s="2097"/>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98"/>
      <c r="AI139" s="2098"/>
      <c r="AJ139" s="2098"/>
      <c r="AK139" s="2098"/>
      <c r="AL139" s="2098"/>
      <c r="AM139" s="2098"/>
      <c r="AN139" s="2098"/>
      <c r="AO139" s="2098"/>
      <c r="AP139" s="2098"/>
      <c r="AQ139" s="2098"/>
      <c r="AR139" s="2098"/>
      <c r="AS139" s="2098"/>
      <c r="AT139" s="2098"/>
      <c r="AU139" s="2098"/>
      <c r="AV139" s="2098"/>
      <c r="AW139" s="2098"/>
      <c r="AX139" s="2099"/>
      <c r="AY139" s="1208"/>
      <c r="AZ139" s="1208"/>
      <c r="BA139" s="1208"/>
      <c r="BB139" s="1208"/>
      <c r="BC139" s="1208"/>
      <c r="BD139" s="1208"/>
      <c r="BE139" s="1215"/>
    </row>
    <row r="140" spans="1:57" ht="15.75" customHeight="1">
      <c r="A140" s="1208"/>
      <c r="B140" s="2097"/>
      <c r="C140" s="2098"/>
      <c r="D140" s="2098"/>
      <c r="E140" s="2098"/>
      <c r="F140" s="2098"/>
      <c r="G140" s="2098"/>
      <c r="H140" s="2098"/>
      <c r="I140" s="2098"/>
      <c r="J140" s="2098"/>
      <c r="K140" s="2098"/>
      <c r="L140" s="2098"/>
      <c r="M140" s="2098"/>
      <c r="N140" s="2098"/>
      <c r="O140" s="2098"/>
      <c r="P140" s="2098"/>
      <c r="Q140" s="2098"/>
      <c r="R140" s="2098"/>
      <c r="S140" s="2098"/>
      <c r="T140" s="2098"/>
      <c r="U140" s="2098"/>
      <c r="V140" s="2098"/>
      <c r="W140" s="2098"/>
      <c r="X140" s="2098"/>
      <c r="Y140" s="2098"/>
      <c r="Z140" s="2098"/>
      <c r="AA140" s="2098"/>
      <c r="AB140" s="2098"/>
      <c r="AC140" s="2098"/>
      <c r="AD140" s="2098"/>
      <c r="AE140" s="2098"/>
      <c r="AF140" s="2098"/>
      <c r="AG140" s="2098"/>
      <c r="AH140" s="2098"/>
      <c r="AI140" s="2098"/>
      <c r="AJ140" s="2098"/>
      <c r="AK140" s="2098"/>
      <c r="AL140" s="2098"/>
      <c r="AM140" s="2098"/>
      <c r="AN140" s="2098"/>
      <c r="AO140" s="2098"/>
      <c r="AP140" s="2098"/>
      <c r="AQ140" s="2098"/>
      <c r="AR140" s="2098"/>
      <c r="AS140" s="2098"/>
      <c r="AT140" s="2098"/>
      <c r="AU140" s="2098"/>
      <c r="AV140" s="2098"/>
      <c r="AW140" s="2098"/>
      <c r="AX140" s="2099"/>
      <c r="AY140" s="1208"/>
      <c r="AZ140" s="1208"/>
      <c r="BA140" s="1208"/>
      <c r="BB140" s="1208"/>
      <c r="BC140" s="1208"/>
      <c r="BD140" s="1208"/>
      <c r="BE140" s="1215"/>
    </row>
    <row r="141" spans="1:57" ht="15.75" customHeight="1">
      <c r="A141" s="1208"/>
      <c r="B141" s="2097"/>
      <c r="C141" s="2098"/>
      <c r="D141" s="2098"/>
      <c r="E141" s="2098"/>
      <c r="F141" s="2098"/>
      <c r="G141" s="2098"/>
      <c r="H141" s="2098"/>
      <c r="I141" s="2098"/>
      <c r="J141" s="2098"/>
      <c r="K141" s="2098"/>
      <c r="L141" s="2098"/>
      <c r="M141" s="2098"/>
      <c r="N141" s="2098"/>
      <c r="O141" s="2098"/>
      <c r="P141" s="2098"/>
      <c r="Q141" s="2098"/>
      <c r="R141" s="2098"/>
      <c r="S141" s="2098"/>
      <c r="T141" s="2098"/>
      <c r="U141" s="2098"/>
      <c r="V141" s="2098"/>
      <c r="W141" s="2098"/>
      <c r="X141" s="2098"/>
      <c r="Y141" s="2098"/>
      <c r="Z141" s="2098"/>
      <c r="AA141" s="2098"/>
      <c r="AB141" s="2098"/>
      <c r="AC141" s="2098"/>
      <c r="AD141" s="2098"/>
      <c r="AE141" s="2098"/>
      <c r="AF141" s="2098"/>
      <c r="AG141" s="2098"/>
      <c r="AH141" s="2098"/>
      <c r="AI141" s="2098"/>
      <c r="AJ141" s="2098"/>
      <c r="AK141" s="2098"/>
      <c r="AL141" s="2098"/>
      <c r="AM141" s="2098"/>
      <c r="AN141" s="2098"/>
      <c r="AO141" s="2098"/>
      <c r="AP141" s="2098"/>
      <c r="AQ141" s="2098"/>
      <c r="AR141" s="2098"/>
      <c r="AS141" s="2098"/>
      <c r="AT141" s="2098"/>
      <c r="AU141" s="2098"/>
      <c r="AV141" s="2098"/>
      <c r="AW141" s="2098"/>
      <c r="AX141" s="2099"/>
      <c r="AY141" s="1208"/>
      <c r="AZ141" s="1208"/>
      <c r="BA141" s="1208"/>
      <c r="BB141" s="1208"/>
      <c r="BC141" s="1208"/>
      <c r="BD141" s="1208"/>
      <c r="BE141" s="1215"/>
    </row>
    <row r="142" spans="1:57" ht="15.75" customHeight="1">
      <c r="A142" s="1208"/>
      <c r="B142" s="2097"/>
      <c r="C142" s="2098"/>
      <c r="D142" s="2098"/>
      <c r="E142" s="2098"/>
      <c r="F142" s="2098"/>
      <c r="G142" s="2098"/>
      <c r="H142" s="2098"/>
      <c r="I142" s="2098"/>
      <c r="J142" s="2098"/>
      <c r="K142" s="2098"/>
      <c r="L142" s="2098"/>
      <c r="M142" s="2098"/>
      <c r="N142" s="2098"/>
      <c r="O142" s="2098"/>
      <c r="P142" s="2098"/>
      <c r="Q142" s="2098"/>
      <c r="R142" s="2098"/>
      <c r="S142" s="2098"/>
      <c r="T142" s="2098"/>
      <c r="U142" s="2098"/>
      <c r="V142" s="2098"/>
      <c r="W142" s="2098"/>
      <c r="X142" s="2098"/>
      <c r="Y142" s="2098"/>
      <c r="Z142" s="2098"/>
      <c r="AA142" s="2098"/>
      <c r="AB142" s="2098"/>
      <c r="AC142" s="2098"/>
      <c r="AD142" s="2098"/>
      <c r="AE142" s="2098"/>
      <c r="AF142" s="2098"/>
      <c r="AG142" s="2098"/>
      <c r="AH142" s="2098"/>
      <c r="AI142" s="2098"/>
      <c r="AJ142" s="2098"/>
      <c r="AK142" s="2098"/>
      <c r="AL142" s="2098"/>
      <c r="AM142" s="2098"/>
      <c r="AN142" s="2098"/>
      <c r="AO142" s="2098"/>
      <c r="AP142" s="2098"/>
      <c r="AQ142" s="2098"/>
      <c r="AR142" s="2098"/>
      <c r="AS142" s="2098"/>
      <c r="AT142" s="2098"/>
      <c r="AU142" s="2098"/>
      <c r="AV142" s="2098"/>
      <c r="AW142" s="2098"/>
      <c r="AX142" s="2099"/>
      <c r="AY142" s="1208"/>
      <c r="AZ142" s="1208"/>
      <c r="BA142" s="1208"/>
      <c r="BB142" s="1208"/>
      <c r="BC142" s="1208"/>
      <c r="BD142" s="1208"/>
      <c r="BE142" s="1215"/>
    </row>
    <row r="143" spans="1:57" ht="15.75" customHeight="1">
      <c r="A143" s="1208"/>
      <c r="B143" s="2097"/>
      <c r="C143" s="2098"/>
      <c r="D143" s="2098"/>
      <c r="E143" s="2098"/>
      <c r="F143" s="2098"/>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c r="AJ143" s="2098"/>
      <c r="AK143" s="2098"/>
      <c r="AL143" s="2098"/>
      <c r="AM143" s="2098"/>
      <c r="AN143" s="2098"/>
      <c r="AO143" s="2098"/>
      <c r="AP143" s="2098"/>
      <c r="AQ143" s="2098"/>
      <c r="AR143" s="2098"/>
      <c r="AS143" s="2098"/>
      <c r="AT143" s="2098"/>
      <c r="AU143" s="2098"/>
      <c r="AV143" s="2098"/>
      <c r="AW143" s="2098"/>
      <c r="AX143" s="2099"/>
      <c r="AY143" s="1208"/>
      <c r="AZ143" s="1208"/>
      <c r="BA143" s="1208"/>
      <c r="BB143" s="1208"/>
      <c r="BC143" s="1208"/>
      <c r="BD143" s="1208"/>
      <c r="BE143" s="1215"/>
    </row>
    <row r="144" spans="1:57" ht="15.75" customHeight="1">
      <c r="A144" s="1208"/>
      <c r="B144" s="2097"/>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c r="AJ144" s="2098"/>
      <c r="AK144" s="2098"/>
      <c r="AL144" s="2098"/>
      <c r="AM144" s="2098"/>
      <c r="AN144" s="2098"/>
      <c r="AO144" s="2098"/>
      <c r="AP144" s="2098"/>
      <c r="AQ144" s="2098"/>
      <c r="AR144" s="2098"/>
      <c r="AS144" s="2098"/>
      <c r="AT144" s="2098"/>
      <c r="AU144" s="2098"/>
      <c r="AV144" s="2098"/>
      <c r="AW144" s="2098"/>
      <c r="AX144" s="2099"/>
      <c r="AY144" s="1208"/>
      <c r="AZ144" s="1208"/>
      <c r="BA144" s="1208"/>
      <c r="BB144" s="1208"/>
      <c r="BC144" s="1208"/>
      <c r="BD144" s="1208"/>
      <c r="BE144" s="1215"/>
    </row>
    <row r="145" spans="1:57" ht="15.75" customHeight="1">
      <c r="A145" s="1208"/>
      <c r="B145" s="2097"/>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c r="AJ145" s="2098"/>
      <c r="AK145" s="2098"/>
      <c r="AL145" s="2098"/>
      <c r="AM145" s="2098"/>
      <c r="AN145" s="2098"/>
      <c r="AO145" s="2098"/>
      <c r="AP145" s="2098"/>
      <c r="AQ145" s="2098"/>
      <c r="AR145" s="2098"/>
      <c r="AS145" s="2098"/>
      <c r="AT145" s="2098"/>
      <c r="AU145" s="2098"/>
      <c r="AV145" s="2098"/>
      <c r="AW145" s="2098"/>
      <c r="AX145" s="2099"/>
      <c r="AY145" s="1208"/>
      <c r="AZ145" s="1208"/>
      <c r="BA145" s="1208"/>
      <c r="BB145" s="1208"/>
      <c r="BC145" s="1208"/>
      <c r="BD145" s="1208"/>
      <c r="BE145" s="1215"/>
    </row>
    <row r="146" spans="1:57" ht="15.75" customHeight="1">
      <c r="A146" s="1208"/>
      <c r="B146" s="2097"/>
      <c r="C146" s="2098"/>
      <c r="D146" s="2098"/>
      <c r="E146" s="2098"/>
      <c r="F146" s="2098"/>
      <c r="G146" s="2098"/>
      <c r="H146" s="2098"/>
      <c r="I146" s="2098"/>
      <c r="J146" s="2098"/>
      <c r="K146" s="2098"/>
      <c r="L146" s="2098"/>
      <c r="M146" s="2098"/>
      <c r="N146" s="2098"/>
      <c r="O146" s="2098"/>
      <c r="P146" s="2098"/>
      <c r="Q146" s="2098"/>
      <c r="R146" s="2098"/>
      <c r="S146" s="2098"/>
      <c r="T146" s="2098"/>
      <c r="U146" s="2098"/>
      <c r="V146" s="2098"/>
      <c r="W146" s="2098"/>
      <c r="X146" s="2098"/>
      <c r="Y146" s="2098"/>
      <c r="Z146" s="2098"/>
      <c r="AA146" s="2098"/>
      <c r="AB146" s="2098"/>
      <c r="AC146" s="2098"/>
      <c r="AD146" s="2098"/>
      <c r="AE146" s="2098"/>
      <c r="AF146" s="2098"/>
      <c r="AG146" s="2098"/>
      <c r="AH146" s="2098"/>
      <c r="AI146" s="2098"/>
      <c r="AJ146" s="2098"/>
      <c r="AK146" s="2098"/>
      <c r="AL146" s="2098"/>
      <c r="AM146" s="2098"/>
      <c r="AN146" s="2098"/>
      <c r="AO146" s="2098"/>
      <c r="AP146" s="2098"/>
      <c r="AQ146" s="2098"/>
      <c r="AR146" s="2098"/>
      <c r="AS146" s="2098"/>
      <c r="AT146" s="2098"/>
      <c r="AU146" s="2098"/>
      <c r="AV146" s="2098"/>
      <c r="AW146" s="2098"/>
      <c r="AX146" s="2099"/>
      <c r="AY146" s="1208"/>
      <c r="AZ146" s="1208"/>
      <c r="BA146" s="1208"/>
      <c r="BB146" s="1208"/>
      <c r="BC146" s="1208"/>
      <c r="BD146" s="1208"/>
      <c r="BE146" s="1215"/>
    </row>
    <row r="147" spans="1:57" ht="15.75" customHeight="1" thickBot="1">
      <c r="A147" s="1208"/>
      <c r="B147" s="2100"/>
      <c r="C147" s="2101"/>
      <c r="D147" s="2101"/>
      <c r="E147" s="2101"/>
      <c r="F147" s="2101"/>
      <c r="G147" s="2101"/>
      <c r="H147" s="2101"/>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101"/>
      <c r="AD147" s="2101"/>
      <c r="AE147" s="2101"/>
      <c r="AF147" s="2101"/>
      <c r="AG147" s="2101"/>
      <c r="AH147" s="2101"/>
      <c r="AI147" s="2101"/>
      <c r="AJ147" s="2101"/>
      <c r="AK147" s="2101"/>
      <c r="AL147" s="2101"/>
      <c r="AM147" s="2101"/>
      <c r="AN147" s="2101"/>
      <c r="AO147" s="2101"/>
      <c r="AP147" s="2101"/>
      <c r="AQ147" s="2101"/>
      <c r="AR147" s="2101"/>
      <c r="AS147" s="2101"/>
      <c r="AT147" s="2101"/>
      <c r="AU147" s="2101"/>
      <c r="AV147" s="2101"/>
      <c r="AW147" s="2101"/>
      <c r="AX147" s="210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0" t="s">
        <v>2292</v>
      </c>
      <c r="C151" s="2036"/>
      <c r="D151" s="2036"/>
      <c r="E151" s="2036"/>
      <c r="F151" s="2036"/>
      <c r="G151" s="2036"/>
      <c r="H151" s="2036"/>
      <c r="I151" s="2036"/>
      <c r="J151" s="2036"/>
      <c r="K151" s="2036"/>
      <c r="L151" s="2036"/>
      <c r="M151" s="2036"/>
      <c r="N151" s="2036"/>
      <c r="O151" s="2036"/>
      <c r="P151" s="2036"/>
      <c r="Q151" s="2036"/>
      <c r="R151" s="2036"/>
      <c r="S151" s="2036"/>
      <c r="T151" s="2036"/>
      <c r="U151" s="2037"/>
      <c r="V151" s="1208"/>
      <c r="W151" s="1209"/>
      <c r="X151" s="2080" t="s">
        <v>2291</v>
      </c>
      <c r="Y151" s="2036"/>
      <c r="Z151" s="2036"/>
      <c r="AA151" s="2036"/>
      <c r="AB151" s="2036"/>
      <c r="AC151" s="2036"/>
      <c r="AD151" s="2036"/>
      <c r="AE151" s="2036"/>
      <c r="AF151" s="2036"/>
      <c r="AG151" s="2036"/>
      <c r="AH151" s="2036"/>
      <c r="AI151" s="2036"/>
      <c r="AJ151" s="2036"/>
      <c r="AK151" s="2036"/>
      <c r="AL151" s="2036"/>
      <c r="AM151" s="2036"/>
      <c r="AN151" s="2036"/>
      <c r="AO151" s="2036"/>
      <c r="AP151" s="2036"/>
      <c r="AQ151" s="2037"/>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8"/>
      <c r="C152" s="2049"/>
      <c r="D152" s="2049"/>
      <c r="E152" s="2049"/>
      <c r="F152" s="2049"/>
      <c r="G152" s="2049"/>
      <c r="H152" s="2049"/>
      <c r="I152" s="2086" t="s">
        <v>2289</v>
      </c>
      <c r="J152" s="2086"/>
      <c r="K152" s="2086"/>
      <c r="L152" s="2086"/>
      <c r="M152" s="2086"/>
      <c r="N152" s="2086"/>
      <c r="O152" s="2086"/>
      <c r="P152" s="2086" t="s">
        <v>2290</v>
      </c>
      <c r="Q152" s="2086"/>
      <c r="R152" s="2086"/>
      <c r="S152" s="2086"/>
      <c r="T152" s="2086"/>
      <c r="U152" s="2087"/>
      <c r="V152" s="1208"/>
      <c r="W152" s="1208"/>
      <c r="X152" s="2048"/>
      <c r="Y152" s="2049"/>
      <c r="Z152" s="2049"/>
      <c r="AA152" s="2049"/>
      <c r="AB152" s="2049"/>
      <c r="AC152" s="2049"/>
      <c r="AD152" s="2049"/>
      <c r="AE152" s="2086" t="s">
        <v>2289</v>
      </c>
      <c r="AF152" s="2086"/>
      <c r="AG152" s="2086"/>
      <c r="AH152" s="2086"/>
      <c r="AI152" s="2086"/>
      <c r="AJ152" s="2086"/>
      <c r="AK152" s="2086"/>
      <c r="AL152" s="2086" t="s">
        <v>2288</v>
      </c>
      <c r="AM152" s="2086"/>
      <c r="AN152" s="2086"/>
      <c r="AO152" s="2086"/>
      <c r="AP152" s="2086"/>
      <c r="AQ152" s="2087"/>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8"/>
      <c r="C153" s="2049"/>
      <c r="D153" s="2049"/>
      <c r="E153" s="2049"/>
      <c r="F153" s="2049"/>
      <c r="G153" s="2049"/>
      <c r="H153" s="2049"/>
      <c r="I153" s="2086"/>
      <c r="J153" s="2086"/>
      <c r="K153" s="2086"/>
      <c r="L153" s="2086"/>
      <c r="M153" s="2086"/>
      <c r="N153" s="2086"/>
      <c r="O153" s="2086"/>
      <c r="P153" s="2086"/>
      <c r="Q153" s="2086"/>
      <c r="R153" s="2086"/>
      <c r="S153" s="2086"/>
      <c r="T153" s="2086"/>
      <c r="U153" s="2087"/>
      <c r="V153" s="1208"/>
      <c r="W153" s="1208"/>
      <c r="X153" s="2048"/>
      <c r="Y153" s="2049"/>
      <c r="Z153" s="2049"/>
      <c r="AA153" s="2049"/>
      <c r="AB153" s="2049"/>
      <c r="AC153" s="2049"/>
      <c r="AD153" s="2049"/>
      <c r="AE153" s="2086"/>
      <c r="AF153" s="2086"/>
      <c r="AG153" s="2086"/>
      <c r="AH153" s="2086"/>
      <c r="AI153" s="2086"/>
      <c r="AJ153" s="2086"/>
      <c r="AK153" s="2086"/>
      <c r="AL153" s="2086"/>
      <c r="AM153" s="2086"/>
      <c r="AN153" s="2086"/>
      <c r="AO153" s="2086"/>
      <c r="AP153" s="2086"/>
      <c r="AQ153" s="2087"/>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2" t="s">
        <v>2287</v>
      </c>
      <c r="C154" s="2083"/>
      <c r="D154" s="2083"/>
      <c r="E154" s="2083"/>
      <c r="F154" s="2083"/>
      <c r="G154" s="2083"/>
      <c r="H154" s="2083"/>
      <c r="I154" s="2084">
        <v>0</v>
      </c>
      <c r="J154" s="2084"/>
      <c r="K154" s="2084"/>
      <c r="L154" s="2084"/>
      <c r="M154" s="2084"/>
      <c r="N154" s="2084"/>
      <c r="O154" s="2084"/>
      <c r="P154" s="2084">
        <v>0</v>
      </c>
      <c r="Q154" s="2084"/>
      <c r="R154" s="2084"/>
      <c r="S154" s="2084"/>
      <c r="T154" s="2084"/>
      <c r="U154" s="2085"/>
      <c r="V154" s="1208"/>
      <c r="W154" s="1208"/>
      <c r="X154" s="2076" t="s">
        <v>2287</v>
      </c>
      <c r="Y154" s="2077"/>
      <c r="Z154" s="2077"/>
      <c r="AA154" s="2077"/>
      <c r="AB154" s="2077"/>
      <c r="AC154" s="2077"/>
      <c r="AD154" s="2077"/>
      <c r="AE154" s="2078">
        <v>0</v>
      </c>
      <c r="AF154" s="2078"/>
      <c r="AG154" s="2078"/>
      <c r="AH154" s="2078"/>
      <c r="AI154" s="2078"/>
      <c r="AJ154" s="2078"/>
      <c r="AK154" s="2078"/>
      <c r="AL154" s="2078">
        <v>0</v>
      </c>
      <c r="AM154" s="2078"/>
      <c r="AN154" s="2078"/>
      <c r="AO154" s="2078"/>
      <c r="AP154" s="2078"/>
      <c r="AQ154" s="207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6" t="s">
        <v>2286</v>
      </c>
      <c r="C155" s="2077"/>
      <c r="D155" s="2077"/>
      <c r="E155" s="2077"/>
      <c r="F155" s="2077"/>
      <c r="G155" s="2077"/>
      <c r="H155" s="2077"/>
      <c r="I155" s="2078">
        <v>0</v>
      </c>
      <c r="J155" s="2078"/>
      <c r="K155" s="2078"/>
      <c r="L155" s="2078"/>
      <c r="M155" s="2078"/>
      <c r="N155" s="2078"/>
      <c r="O155" s="2078"/>
      <c r="P155" s="2078">
        <v>0</v>
      </c>
      <c r="Q155" s="2078"/>
      <c r="R155" s="2078"/>
      <c r="S155" s="2078"/>
      <c r="T155" s="2078"/>
      <c r="U155" s="207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0" t="s">
        <v>2285</v>
      </c>
      <c r="D157" s="2036"/>
      <c r="E157" s="2036"/>
      <c r="F157" s="2036"/>
      <c r="G157" s="2036"/>
      <c r="H157" s="2036"/>
      <c r="I157" s="2036"/>
      <c r="J157" s="2036"/>
      <c r="K157" s="2036"/>
      <c r="L157" s="2036"/>
      <c r="M157" s="2036"/>
      <c r="N157" s="2036"/>
      <c r="O157" s="2036"/>
      <c r="P157" s="2036"/>
      <c r="Q157" s="2036"/>
      <c r="R157" s="2036"/>
      <c r="S157" s="2036"/>
      <c r="T157" s="2036"/>
      <c r="U157" s="2036"/>
      <c r="V157" s="2036"/>
      <c r="W157" s="2036"/>
      <c r="X157" s="2036"/>
      <c r="Y157" s="2036"/>
      <c r="Z157" s="2036"/>
      <c r="AA157" s="2036"/>
      <c r="AB157" s="2036"/>
      <c r="AC157" s="2036"/>
      <c r="AD157" s="2036"/>
      <c r="AE157" s="2036"/>
      <c r="AF157" s="2036"/>
      <c r="AG157" s="203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8" t="s">
        <v>2270</v>
      </c>
      <c r="D158" s="2049"/>
      <c r="E158" s="2049"/>
      <c r="F158" s="2049"/>
      <c r="G158" s="2049"/>
      <c r="H158" s="2049"/>
      <c r="I158" s="2049"/>
      <c r="J158" s="2049"/>
      <c r="K158" s="2049"/>
      <c r="L158" s="2049"/>
      <c r="M158" s="2049"/>
      <c r="N158" s="2049"/>
      <c r="O158" s="2049"/>
      <c r="P158" s="2049"/>
      <c r="Q158" s="2049" t="s">
        <v>2284</v>
      </c>
      <c r="R158" s="2049"/>
      <c r="S158" s="2049"/>
      <c r="T158" s="2081" t="s">
        <v>2283</v>
      </c>
      <c r="U158" s="2081"/>
      <c r="V158" s="2081"/>
      <c r="W158" s="2081"/>
      <c r="X158" s="2081"/>
      <c r="Y158" s="2081"/>
      <c r="Z158" s="2081"/>
      <c r="AA158" s="2081"/>
      <c r="AB158" s="2049" t="s">
        <v>2282</v>
      </c>
      <c r="AC158" s="2049"/>
      <c r="AD158" s="2049"/>
      <c r="AE158" s="2049"/>
      <c r="AF158" s="2049"/>
      <c r="AG158" s="205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3" t="s">
        <v>2281</v>
      </c>
      <c r="D159" s="2064"/>
      <c r="E159" s="2064"/>
      <c r="F159" s="2064"/>
      <c r="G159" s="2064"/>
      <c r="H159" s="2064"/>
      <c r="I159" s="2064"/>
      <c r="J159" s="2064"/>
      <c r="K159" s="2064"/>
      <c r="L159" s="2064"/>
      <c r="M159" s="2064"/>
      <c r="N159" s="2064"/>
      <c r="O159" s="2064"/>
      <c r="P159" s="2064"/>
      <c r="Q159" s="2006">
        <v>55</v>
      </c>
      <c r="R159" s="2006"/>
      <c r="S159" s="2006"/>
      <c r="T159" s="2057"/>
      <c r="U159" s="2057"/>
      <c r="V159" s="2057"/>
      <c r="W159" s="2057"/>
      <c r="X159" s="2057"/>
      <c r="Y159" s="2057"/>
      <c r="Z159" s="2057"/>
      <c r="AA159" s="2057"/>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3" t="s">
        <v>2280</v>
      </c>
      <c r="D160" s="2064"/>
      <c r="E160" s="2064"/>
      <c r="F160" s="2064"/>
      <c r="G160" s="2064"/>
      <c r="H160" s="2064"/>
      <c r="I160" s="2064"/>
      <c r="J160" s="2064"/>
      <c r="K160" s="2064"/>
      <c r="L160" s="2064"/>
      <c r="M160" s="2064"/>
      <c r="N160" s="2064"/>
      <c r="O160" s="2064"/>
      <c r="P160" s="2064"/>
      <c r="Q160" s="2006">
        <v>55</v>
      </c>
      <c r="R160" s="2006"/>
      <c r="S160" s="2006"/>
      <c r="T160" s="2066"/>
      <c r="U160" s="2066"/>
      <c r="V160" s="2066"/>
      <c r="W160" s="2066"/>
      <c r="X160" s="2066"/>
      <c r="Y160" s="2066"/>
      <c r="Z160" s="2066"/>
      <c r="AA160" s="2066"/>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3" t="s">
        <v>2279</v>
      </c>
      <c r="D161" s="2064"/>
      <c r="E161" s="2064"/>
      <c r="F161" s="2064"/>
      <c r="G161" s="2064"/>
      <c r="H161" s="2064"/>
      <c r="I161" s="2064"/>
      <c r="J161" s="2064"/>
      <c r="K161" s="2064"/>
      <c r="L161" s="2064"/>
      <c r="M161" s="2064"/>
      <c r="N161" s="2064"/>
      <c r="O161" s="2064"/>
      <c r="P161" s="2064"/>
      <c r="Q161" s="2006">
        <v>55</v>
      </c>
      <c r="R161" s="2006"/>
      <c r="S161" s="2006"/>
      <c r="T161" s="2057"/>
      <c r="U161" s="2057"/>
      <c r="V161" s="2057"/>
      <c r="W161" s="2057"/>
      <c r="X161" s="2057"/>
      <c r="Y161" s="2057"/>
      <c r="Z161" s="2057"/>
      <c r="AA161" s="205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3" t="s">
        <v>2278</v>
      </c>
      <c r="D162" s="2064"/>
      <c r="E162" s="2064"/>
      <c r="F162" s="2064"/>
      <c r="G162" s="2064"/>
      <c r="H162" s="2064"/>
      <c r="I162" s="2064"/>
      <c r="J162" s="2064"/>
      <c r="K162" s="2064"/>
      <c r="L162" s="2064"/>
      <c r="M162" s="2064"/>
      <c r="N162" s="2064"/>
      <c r="O162" s="2064"/>
      <c r="P162" s="2064"/>
      <c r="Q162" s="2006">
        <v>55</v>
      </c>
      <c r="R162" s="2006"/>
      <c r="S162" s="2006"/>
      <c r="T162" s="2057"/>
      <c r="U162" s="2057"/>
      <c r="V162" s="2057"/>
      <c r="W162" s="2057"/>
      <c r="X162" s="2057"/>
      <c r="Y162" s="2057"/>
      <c r="Z162" s="2057"/>
      <c r="AA162" s="2057"/>
      <c r="AB162" s="2067">
        <v>0</v>
      </c>
      <c r="AC162" s="2067"/>
      <c r="AD162" s="2067"/>
      <c r="AE162" s="2067"/>
      <c r="AF162" s="2067"/>
      <c r="AG162" s="206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3" t="s">
        <v>169</v>
      </c>
      <c r="D163" s="2064"/>
      <c r="E163" s="2064"/>
      <c r="F163" s="2065" t="s">
        <v>2259</v>
      </c>
      <c r="G163" s="2065"/>
      <c r="H163" s="2065"/>
      <c r="I163" s="2065"/>
      <c r="J163" s="2065"/>
      <c r="K163" s="2065"/>
      <c r="L163" s="2065"/>
      <c r="M163" s="2065"/>
      <c r="N163" s="2065"/>
      <c r="O163" s="2065"/>
      <c r="P163" s="2065"/>
      <c r="Q163" s="2006">
        <v>55</v>
      </c>
      <c r="R163" s="2006"/>
      <c r="S163" s="2006"/>
      <c r="T163" s="2066"/>
      <c r="U163" s="2066"/>
      <c r="V163" s="2066"/>
      <c r="W163" s="2066"/>
      <c r="X163" s="2066"/>
      <c r="Y163" s="2066"/>
      <c r="Z163" s="2066"/>
      <c r="AA163" s="2066"/>
      <c r="AB163" s="2067">
        <v>0</v>
      </c>
      <c r="AC163" s="2067"/>
      <c r="AD163" s="2067"/>
      <c r="AE163" s="2067"/>
      <c r="AF163" s="2067"/>
      <c r="AG163" s="206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3" t="s">
        <v>169</v>
      </c>
      <c r="D164" s="2064"/>
      <c r="E164" s="2064"/>
      <c r="F164" s="2065" t="s">
        <v>2259</v>
      </c>
      <c r="G164" s="2065"/>
      <c r="H164" s="2065"/>
      <c r="I164" s="2065"/>
      <c r="J164" s="2065"/>
      <c r="K164" s="2065"/>
      <c r="L164" s="2065"/>
      <c r="M164" s="2065"/>
      <c r="N164" s="2065"/>
      <c r="O164" s="2065"/>
      <c r="P164" s="2065"/>
      <c r="Q164" s="2006">
        <v>55</v>
      </c>
      <c r="R164" s="2006"/>
      <c r="S164" s="2006"/>
      <c r="T164" s="2066"/>
      <c r="U164" s="2066"/>
      <c r="V164" s="2066"/>
      <c r="W164" s="2066"/>
      <c r="X164" s="2066"/>
      <c r="Y164" s="2066"/>
      <c r="Z164" s="2066"/>
      <c r="AA164" s="2066"/>
      <c r="AB164" s="2067">
        <v>0</v>
      </c>
      <c r="AC164" s="2067"/>
      <c r="AD164" s="2067"/>
      <c r="AE164" s="2067"/>
      <c r="AF164" s="2067"/>
      <c r="AG164" s="2068"/>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9" t="s">
        <v>169</v>
      </c>
      <c r="D165" s="2070"/>
      <c r="E165" s="2070"/>
      <c r="F165" s="2071" t="s">
        <v>2259</v>
      </c>
      <c r="G165" s="2071"/>
      <c r="H165" s="2071"/>
      <c r="I165" s="2071"/>
      <c r="J165" s="2071"/>
      <c r="K165" s="2071"/>
      <c r="L165" s="2071"/>
      <c r="M165" s="2071"/>
      <c r="N165" s="2071"/>
      <c r="O165" s="2071"/>
      <c r="P165" s="2071"/>
      <c r="Q165" s="2072">
        <v>55</v>
      </c>
      <c r="R165" s="2072"/>
      <c r="S165" s="2072"/>
      <c r="T165" s="2073"/>
      <c r="U165" s="2073"/>
      <c r="V165" s="2073"/>
      <c r="W165" s="2073"/>
      <c r="X165" s="2073"/>
      <c r="Y165" s="2073"/>
      <c r="Z165" s="2073"/>
      <c r="AA165" s="2073"/>
      <c r="AB165" s="2074">
        <v>0</v>
      </c>
      <c r="AC165" s="2074"/>
      <c r="AD165" s="2074"/>
      <c r="AE165" s="2074"/>
      <c r="AF165" s="2074"/>
      <c r="AG165" s="2075"/>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4" t="s">
        <v>2277</v>
      </c>
      <c r="D167" s="2035"/>
      <c r="E167" s="2035"/>
      <c r="F167" s="2035"/>
      <c r="G167" s="2035"/>
      <c r="H167" s="2035"/>
      <c r="I167" s="2035"/>
      <c r="J167" s="2035"/>
      <c r="K167" s="2035"/>
      <c r="L167" s="2035"/>
      <c r="M167" s="2035"/>
      <c r="N167" s="2044"/>
      <c r="O167" s="1208"/>
      <c r="P167" s="2045" t="s">
        <v>2276</v>
      </c>
      <c r="Q167" s="2046"/>
      <c r="R167" s="2046"/>
      <c r="S167" s="2046"/>
      <c r="T167" s="2046"/>
      <c r="U167" s="2046"/>
      <c r="V167" s="2046"/>
      <c r="W167" s="2046"/>
      <c r="X167" s="2046"/>
      <c r="Y167" s="2046"/>
      <c r="Z167" s="2046"/>
      <c r="AA167" s="2046"/>
      <c r="AB167" s="2046"/>
      <c r="AC167" s="2046"/>
      <c r="AD167" s="2046"/>
      <c r="AE167" s="2046"/>
      <c r="AF167" s="2046"/>
      <c r="AG167" s="2046"/>
      <c r="AH167" s="2046"/>
      <c r="AI167" s="2046"/>
      <c r="AJ167" s="2046"/>
      <c r="AK167" s="2046"/>
      <c r="AL167" s="2046"/>
      <c r="AM167" s="2046"/>
      <c r="AN167" s="2046"/>
      <c r="AO167" s="204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8" t="s">
        <v>2275</v>
      </c>
      <c r="D168" s="2049"/>
      <c r="E168" s="2049"/>
      <c r="F168" s="2049"/>
      <c r="G168" s="2049"/>
      <c r="H168" s="2049"/>
      <c r="I168" s="2049" t="s">
        <v>2274</v>
      </c>
      <c r="J168" s="2049"/>
      <c r="K168" s="2049"/>
      <c r="L168" s="2049"/>
      <c r="M168" s="2049"/>
      <c r="N168" s="2050"/>
      <c r="O168" s="1208"/>
      <c r="P168" s="2051" t="s">
        <v>2273</v>
      </c>
      <c r="Q168" s="2052"/>
      <c r="R168" s="2052"/>
      <c r="S168" s="2052"/>
      <c r="T168" s="2052"/>
      <c r="U168" s="2052"/>
      <c r="V168" s="2052"/>
      <c r="W168" s="2052"/>
      <c r="X168" s="2052"/>
      <c r="Y168" s="2052"/>
      <c r="Z168" s="2052"/>
      <c r="AA168" s="2052"/>
      <c r="AB168" s="2052"/>
      <c r="AC168" s="2052"/>
      <c r="AD168" s="2052"/>
      <c r="AE168" s="2052"/>
      <c r="AF168" s="2052"/>
      <c r="AG168" s="2052"/>
      <c r="AH168" s="2052"/>
      <c r="AI168" s="2052"/>
      <c r="AJ168" s="2052"/>
      <c r="AK168" s="2052"/>
      <c r="AL168" s="2052"/>
      <c r="AM168" s="2052"/>
      <c r="AN168" s="2052"/>
      <c r="AO168" s="205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6"/>
      <c r="D169" s="1997"/>
      <c r="E169" s="1997"/>
      <c r="F169" s="1997"/>
      <c r="G169" s="1997"/>
      <c r="H169" s="1997"/>
      <c r="I169" s="2057"/>
      <c r="J169" s="2057"/>
      <c r="K169" s="2057"/>
      <c r="L169" s="2057"/>
      <c r="M169" s="2057"/>
      <c r="N169" s="2058"/>
      <c r="O169" s="1208"/>
      <c r="P169" s="2051"/>
      <c r="Q169" s="2052"/>
      <c r="R169" s="2052"/>
      <c r="S169" s="2052"/>
      <c r="T169" s="2052"/>
      <c r="U169" s="2052"/>
      <c r="V169" s="2052"/>
      <c r="W169" s="2052"/>
      <c r="X169" s="2052"/>
      <c r="Y169" s="2052"/>
      <c r="Z169" s="2052"/>
      <c r="AA169" s="2052"/>
      <c r="AB169" s="2052"/>
      <c r="AC169" s="2052"/>
      <c r="AD169" s="2052"/>
      <c r="AE169" s="2052"/>
      <c r="AF169" s="2052"/>
      <c r="AG169" s="2052"/>
      <c r="AH169" s="2052"/>
      <c r="AI169" s="2052"/>
      <c r="AJ169" s="2052"/>
      <c r="AK169" s="2052"/>
      <c r="AL169" s="2052"/>
      <c r="AM169" s="2052"/>
      <c r="AN169" s="2052"/>
      <c r="AO169" s="205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6"/>
      <c r="D170" s="1997"/>
      <c r="E170" s="1997"/>
      <c r="F170" s="1997"/>
      <c r="G170" s="1997"/>
      <c r="H170" s="1997"/>
      <c r="I170" s="2057"/>
      <c r="J170" s="2057"/>
      <c r="K170" s="2057"/>
      <c r="L170" s="2057"/>
      <c r="M170" s="2057"/>
      <c r="N170" s="2058"/>
      <c r="O170" s="1208"/>
      <c r="P170" s="2051"/>
      <c r="Q170" s="2052"/>
      <c r="R170" s="2052"/>
      <c r="S170" s="2052"/>
      <c r="T170" s="2052"/>
      <c r="U170" s="2052"/>
      <c r="V170" s="2052"/>
      <c r="W170" s="2052"/>
      <c r="X170" s="2052"/>
      <c r="Y170" s="2052"/>
      <c r="Z170" s="2052"/>
      <c r="AA170" s="2052"/>
      <c r="AB170" s="2052"/>
      <c r="AC170" s="2052"/>
      <c r="AD170" s="2052"/>
      <c r="AE170" s="2052"/>
      <c r="AF170" s="2052"/>
      <c r="AG170" s="2052"/>
      <c r="AH170" s="2052"/>
      <c r="AI170" s="2052"/>
      <c r="AJ170" s="2052"/>
      <c r="AK170" s="2052"/>
      <c r="AL170" s="2052"/>
      <c r="AM170" s="2052"/>
      <c r="AN170" s="2052"/>
      <c r="AO170" s="205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6"/>
      <c r="D171" s="1997"/>
      <c r="E171" s="1997"/>
      <c r="F171" s="1997"/>
      <c r="G171" s="1997"/>
      <c r="H171" s="1997"/>
      <c r="I171" s="2057"/>
      <c r="J171" s="2057"/>
      <c r="K171" s="2057"/>
      <c r="L171" s="2057"/>
      <c r="M171" s="2057"/>
      <c r="N171" s="2058"/>
      <c r="O171" s="1208"/>
      <c r="P171" s="2051"/>
      <c r="Q171" s="2052"/>
      <c r="R171" s="2052"/>
      <c r="S171" s="2052"/>
      <c r="T171" s="2052"/>
      <c r="U171" s="2052"/>
      <c r="V171" s="2052"/>
      <c r="W171" s="2052"/>
      <c r="X171" s="2052"/>
      <c r="Y171" s="2052"/>
      <c r="Z171" s="2052"/>
      <c r="AA171" s="2052"/>
      <c r="AB171" s="2052"/>
      <c r="AC171" s="2052"/>
      <c r="AD171" s="2052"/>
      <c r="AE171" s="2052"/>
      <c r="AF171" s="2052"/>
      <c r="AG171" s="2052"/>
      <c r="AH171" s="2052"/>
      <c r="AI171" s="2052"/>
      <c r="AJ171" s="2052"/>
      <c r="AK171" s="2052"/>
      <c r="AL171" s="2052"/>
      <c r="AM171" s="2052"/>
      <c r="AN171" s="2052"/>
      <c r="AO171" s="205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6"/>
      <c r="D172" s="1997"/>
      <c r="E172" s="1997"/>
      <c r="F172" s="1997"/>
      <c r="G172" s="1997"/>
      <c r="H172" s="1997"/>
      <c r="I172" s="2057"/>
      <c r="J172" s="2057"/>
      <c r="K172" s="2057"/>
      <c r="L172" s="2057"/>
      <c r="M172" s="2057"/>
      <c r="N172" s="2058"/>
      <c r="O172" s="1208"/>
      <c r="P172" s="2051"/>
      <c r="Q172" s="2052"/>
      <c r="R172" s="2052"/>
      <c r="S172" s="2052"/>
      <c r="T172" s="2052"/>
      <c r="U172" s="2052"/>
      <c r="V172" s="2052"/>
      <c r="W172" s="2052"/>
      <c r="X172" s="2052"/>
      <c r="Y172" s="2052"/>
      <c r="Z172" s="2052"/>
      <c r="AA172" s="2052"/>
      <c r="AB172" s="2052"/>
      <c r="AC172" s="2052"/>
      <c r="AD172" s="2052"/>
      <c r="AE172" s="2052"/>
      <c r="AF172" s="2052"/>
      <c r="AG172" s="2052"/>
      <c r="AH172" s="2052"/>
      <c r="AI172" s="2052"/>
      <c r="AJ172" s="2052"/>
      <c r="AK172" s="2052"/>
      <c r="AL172" s="2052"/>
      <c r="AM172" s="2052"/>
      <c r="AN172" s="2052"/>
      <c r="AO172" s="205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6"/>
      <c r="D173" s="1997"/>
      <c r="E173" s="1997"/>
      <c r="F173" s="1997"/>
      <c r="G173" s="1997"/>
      <c r="H173" s="1997"/>
      <c r="I173" s="2057"/>
      <c r="J173" s="2057"/>
      <c r="K173" s="2057"/>
      <c r="L173" s="2057"/>
      <c r="M173" s="2057"/>
      <c r="N173" s="2058"/>
      <c r="O173" s="1208"/>
      <c r="P173" s="2051"/>
      <c r="Q173" s="2052"/>
      <c r="R173" s="2052"/>
      <c r="S173" s="2052"/>
      <c r="T173" s="2052"/>
      <c r="U173" s="2052"/>
      <c r="V173" s="2052"/>
      <c r="W173" s="2052"/>
      <c r="X173" s="2052"/>
      <c r="Y173" s="2052"/>
      <c r="Z173" s="2052"/>
      <c r="AA173" s="2052"/>
      <c r="AB173" s="2052"/>
      <c r="AC173" s="2052"/>
      <c r="AD173" s="2052"/>
      <c r="AE173" s="2052"/>
      <c r="AF173" s="2052"/>
      <c r="AG173" s="2052"/>
      <c r="AH173" s="2052"/>
      <c r="AI173" s="2052"/>
      <c r="AJ173" s="2052"/>
      <c r="AK173" s="2052"/>
      <c r="AL173" s="2052"/>
      <c r="AM173" s="2052"/>
      <c r="AN173" s="2052"/>
      <c r="AO173" s="205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6"/>
      <c r="D174" s="1997"/>
      <c r="E174" s="1997"/>
      <c r="F174" s="1997"/>
      <c r="G174" s="1997"/>
      <c r="H174" s="1997"/>
      <c r="I174" s="2057"/>
      <c r="J174" s="2057"/>
      <c r="K174" s="2057"/>
      <c r="L174" s="2057"/>
      <c r="M174" s="2057"/>
      <c r="N174" s="2058"/>
      <c r="O174" s="1208"/>
      <c r="P174" s="2051"/>
      <c r="Q174" s="2052"/>
      <c r="R174" s="2052"/>
      <c r="S174" s="2052"/>
      <c r="T174" s="2052"/>
      <c r="U174" s="2052"/>
      <c r="V174" s="2052"/>
      <c r="W174" s="2052"/>
      <c r="X174" s="2052"/>
      <c r="Y174" s="2052"/>
      <c r="Z174" s="2052"/>
      <c r="AA174" s="2052"/>
      <c r="AB174" s="2052"/>
      <c r="AC174" s="2052"/>
      <c r="AD174" s="2052"/>
      <c r="AE174" s="2052"/>
      <c r="AF174" s="2052"/>
      <c r="AG174" s="2052"/>
      <c r="AH174" s="2052"/>
      <c r="AI174" s="2052"/>
      <c r="AJ174" s="2052"/>
      <c r="AK174" s="2052"/>
      <c r="AL174" s="2052"/>
      <c r="AM174" s="2052"/>
      <c r="AN174" s="2052"/>
      <c r="AO174" s="205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9"/>
      <c r="D175" s="2060"/>
      <c r="E175" s="2060"/>
      <c r="F175" s="2060"/>
      <c r="G175" s="2060"/>
      <c r="H175" s="2060"/>
      <c r="I175" s="2061"/>
      <c r="J175" s="2061"/>
      <c r="K175" s="2061"/>
      <c r="L175" s="2061"/>
      <c r="M175" s="2061"/>
      <c r="N175" s="2062"/>
      <c r="O175" s="1208"/>
      <c r="P175" s="2054"/>
      <c r="Q175" s="2055"/>
      <c r="R175" s="2055"/>
      <c r="S175" s="2055"/>
      <c r="T175" s="2055"/>
      <c r="U175" s="2055"/>
      <c r="V175" s="2055"/>
      <c r="W175" s="2055"/>
      <c r="X175" s="2055"/>
      <c r="Y175" s="2055"/>
      <c r="Z175" s="2055"/>
      <c r="AA175" s="2055"/>
      <c r="AB175" s="2055"/>
      <c r="AC175" s="2055"/>
      <c r="AD175" s="2055"/>
      <c r="AE175" s="2055"/>
      <c r="AF175" s="2055"/>
      <c r="AG175" s="2055"/>
      <c r="AH175" s="2055"/>
      <c r="AI175" s="2055"/>
      <c r="AJ175" s="2055"/>
      <c r="AK175" s="2055"/>
      <c r="AL175" s="2055"/>
      <c r="AM175" s="2055"/>
      <c r="AN175" s="2055"/>
      <c r="AO175" s="205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5" t="s">
        <v>2272</v>
      </c>
      <c r="D177" s="2026"/>
      <c r="E177" s="2026"/>
      <c r="F177" s="2026"/>
      <c r="G177" s="2026"/>
      <c r="H177" s="2026"/>
      <c r="I177" s="2026"/>
      <c r="J177" s="2026"/>
      <c r="K177" s="2026"/>
      <c r="L177" s="2026"/>
      <c r="M177" s="2026"/>
      <c r="N177" s="2026"/>
      <c r="O177" s="2026"/>
      <c r="P177" s="2026"/>
      <c r="Q177" s="2026"/>
      <c r="R177" s="2026"/>
      <c r="S177" s="2026"/>
      <c r="T177" s="2026"/>
      <c r="U177" s="2026"/>
      <c r="V177" s="2026"/>
      <c r="W177" s="2026"/>
      <c r="X177" s="2026"/>
      <c r="Y177" s="2026"/>
      <c r="Z177" s="2026"/>
      <c r="AA177" s="2026"/>
      <c r="AB177" s="2026"/>
      <c r="AC177" s="2026"/>
      <c r="AD177" s="2026"/>
      <c r="AE177" s="2027"/>
      <c r="AF177" s="1208"/>
      <c r="AG177" s="1208"/>
      <c r="AH177" s="1910"/>
      <c r="AI177" s="1910"/>
      <c r="AJ177" s="1910"/>
      <c r="AK177" s="1910"/>
      <c r="AL177" s="1910"/>
      <c r="AM177" s="1910"/>
      <c r="AN177" s="1910"/>
      <c r="AO177" s="1910"/>
      <c r="AP177" s="1910"/>
      <c r="AQ177" s="1910"/>
      <c r="AR177" s="1910"/>
      <c r="AS177" s="1910"/>
      <c r="AT177" s="1910"/>
      <c r="AU177" s="1910"/>
      <c r="AV177" s="1910"/>
      <c r="AW177" s="1910"/>
      <c r="AX177" s="1910"/>
      <c r="AY177" s="1910"/>
      <c r="AZ177" s="1910"/>
      <c r="BA177" s="1910"/>
      <c r="BB177" s="1910"/>
      <c r="BC177" s="1910"/>
      <c r="BD177" s="1910"/>
      <c r="BE177" s="1910"/>
    </row>
    <row r="178" spans="1:57" ht="15.75" customHeight="1" thickBot="1">
      <c r="A178" s="1208"/>
      <c r="B178" s="1208"/>
      <c r="C178" s="2028"/>
      <c r="D178" s="2029"/>
      <c r="E178" s="2029"/>
      <c r="F178" s="2029"/>
      <c r="G178" s="2029"/>
      <c r="H178" s="2029"/>
      <c r="I178" s="2029"/>
      <c r="J178" s="2029"/>
      <c r="K178" s="2029"/>
      <c r="L178" s="2029"/>
      <c r="M178" s="2029"/>
      <c r="N178" s="2029"/>
      <c r="O178" s="2029"/>
      <c r="P178" s="2029"/>
      <c r="Q178" s="2029"/>
      <c r="R178" s="2029"/>
      <c r="S178" s="2029"/>
      <c r="T178" s="2029"/>
      <c r="U178" s="2029"/>
      <c r="V178" s="2029"/>
      <c r="W178" s="2029"/>
      <c r="X178" s="2029"/>
      <c r="Y178" s="2029"/>
      <c r="Z178" s="2029"/>
      <c r="AA178" s="2029"/>
      <c r="AB178" s="2029"/>
      <c r="AC178" s="2029"/>
      <c r="AD178" s="2029"/>
      <c r="AE178" s="2030"/>
      <c r="AF178" s="1208"/>
      <c r="AG178" s="1208"/>
      <c r="AH178" s="1910"/>
      <c r="AI178" s="1910"/>
      <c r="AJ178" s="1910"/>
      <c r="AK178" s="1910"/>
      <c r="AL178" s="1910"/>
      <c r="AM178" s="1910"/>
      <c r="AN178" s="1910"/>
      <c r="AO178" s="1910"/>
      <c r="AP178" s="1910"/>
      <c r="AQ178" s="1910"/>
      <c r="AR178" s="1910"/>
      <c r="AS178" s="1910"/>
      <c r="AT178" s="1910"/>
      <c r="AU178" s="1910"/>
      <c r="AV178" s="1910"/>
      <c r="AW178" s="1910"/>
      <c r="AX178" s="1910"/>
      <c r="AY178" s="1910"/>
      <c r="AZ178" s="1910"/>
      <c r="BA178" s="1910"/>
      <c r="BB178" s="1910"/>
      <c r="BC178" s="1910"/>
      <c r="BD178" s="1910"/>
      <c r="BE178" s="1910"/>
    </row>
    <row r="179" spans="1:57" ht="15.75" customHeight="1">
      <c r="A179" s="1208"/>
      <c r="B179" s="1208"/>
      <c r="C179" s="2034" t="s">
        <v>2270</v>
      </c>
      <c r="D179" s="2035"/>
      <c r="E179" s="2035"/>
      <c r="F179" s="2035"/>
      <c r="G179" s="2035"/>
      <c r="H179" s="2035"/>
      <c r="I179" s="2035"/>
      <c r="J179" s="2035"/>
      <c r="K179" s="2035"/>
      <c r="L179" s="2035"/>
      <c r="M179" s="2035"/>
      <c r="N179" s="2035" t="s">
        <v>2271</v>
      </c>
      <c r="O179" s="2035"/>
      <c r="P179" s="2035"/>
      <c r="Q179" s="2035"/>
      <c r="R179" s="2035"/>
      <c r="S179" s="2035"/>
      <c r="T179" s="2035"/>
      <c r="U179" s="2036" t="s">
        <v>2270</v>
      </c>
      <c r="V179" s="2036"/>
      <c r="W179" s="2036"/>
      <c r="X179" s="2036"/>
      <c r="Y179" s="2036"/>
      <c r="Z179" s="2036"/>
      <c r="AA179" s="2036"/>
      <c r="AB179" s="2036"/>
      <c r="AC179" s="2036"/>
      <c r="AD179" s="2036"/>
      <c r="AE179" s="2037"/>
      <c r="AF179" s="1208"/>
      <c r="AG179" s="1208"/>
      <c r="AH179" s="1910"/>
      <c r="AI179" s="1910"/>
      <c r="AJ179" s="1910"/>
      <c r="AK179" s="1910"/>
      <c r="AL179" s="1910"/>
      <c r="AM179" s="1910"/>
      <c r="AN179" s="1910"/>
      <c r="AO179" s="1910"/>
      <c r="AP179" s="1910"/>
      <c r="AQ179" s="1910"/>
      <c r="AR179" s="1910"/>
      <c r="AS179" s="1910"/>
      <c r="AT179" s="1910"/>
      <c r="AU179" s="1910"/>
      <c r="AV179" s="1910"/>
      <c r="AW179" s="1910"/>
      <c r="AX179" s="1910"/>
      <c r="AY179" s="1910"/>
      <c r="AZ179" s="1910"/>
      <c r="BA179" s="1910"/>
      <c r="BB179" s="1910"/>
      <c r="BC179" s="1910"/>
      <c r="BD179" s="1910"/>
      <c r="BE179" s="1910"/>
    </row>
    <row r="180" spans="1:57" ht="15.75" customHeight="1">
      <c r="A180" s="1208"/>
      <c r="B180" s="1208"/>
      <c r="C180" s="2013" t="s">
        <v>2269</v>
      </c>
      <c r="D180" s="2014"/>
      <c r="E180" s="2014"/>
      <c r="F180" s="2014"/>
      <c r="G180" s="2014"/>
      <c r="H180" s="2014"/>
      <c r="I180" s="2014"/>
      <c r="J180" s="2014"/>
      <c r="K180" s="2014"/>
      <c r="L180" s="2014"/>
      <c r="M180" s="2014"/>
      <c r="N180" s="2024">
        <f>'Sources and Uses Budget'!B105</f>
        <v>200035551</v>
      </c>
      <c r="O180" s="2024"/>
      <c r="P180" s="2024"/>
      <c r="Q180" s="2024"/>
      <c r="R180" s="2024"/>
      <c r="S180" s="2024"/>
      <c r="T180" s="2024"/>
      <c r="U180" s="2038"/>
      <c r="V180" s="2038"/>
      <c r="W180" s="2038"/>
      <c r="X180" s="2038"/>
      <c r="Y180" s="2038"/>
      <c r="Z180" s="2038"/>
      <c r="AA180" s="2038"/>
      <c r="AB180" s="2038"/>
      <c r="AC180" s="2038"/>
      <c r="AD180" s="2038"/>
      <c r="AE180" s="2039"/>
      <c r="AF180" s="1208"/>
      <c r="AG180" s="1208"/>
      <c r="AH180" s="1910"/>
      <c r="AI180" s="1910"/>
      <c r="AJ180" s="1910"/>
      <c r="AK180" s="1910"/>
      <c r="AL180" s="1910"/>
      <c r="AM180" s="1910"/>
      <c r="AN180" s="1910"/>
      <c r="AO180" s="1910"/>
      <c r="AP180" s="1910"/>
      <c r="AQ180" s="1910"/>
      <c r="AR180" s="1910"/>
      <c r="AS180" s="1910"/>
      <c r="AT180" s="1910"/>
      <c r="AU180" s="1910"/>
      <c r="AV180" s="1910"/>
      <c r="AW180" s="1910"/>
      <c r="AX180" s="1910"/>
      <c r="AY180" s="1910"/>
      <c r="AZ180" s="1910"/>
      <c r="BA180" s="1910"/>
      <c r="BB180" s="1910"/>
      <c r="BC180" s="1910"/>
      <c r="BD180" s="1910"/>
      <c r="BE180" s="1910"/>
    </row>
    <row r="181" spans="1:57" ht="15.75" customHeight="1">
      <c r="A181" s="1208"/>
      <c r="B181" s="1208"/>
      <c r="C181" s="2013" t="s">
        <v>2268</v>
      </c>
      <c r="D181" s="2014"/>
      <c r="E181" s="2014"/>
      <c r="F181" s="2014"/>
      <c r="G181" s="2014"/>
      <c r="H181" s="2014"/>
      <c r="I181" s="2014"/>
      <c r="J181" s="2014"/>
      <c r="K181" s="2014"/>
      <c r="L181" s="2014"/>
      <c r="M181" s="2014"/>
      <c r="N181" s="2024">
        <f>N180/J29</f>
        <v>854852.782051282</v>
      </c>
      <c r="O181" s="2024"/>
      <c r="P181" s="2024"/>
      <c r="Q181" s="2024"/>
      <c r="R181" s="2024"/>
      <c r="S181" s="2024"/>
      <c r="T181" s="2024"/>
      <c r="U181" s="1248"/>
      <c r="V181" s="1248"/>
      <c r="W181" s="1248"/>
      <c r="X181" s="1248"/>
      <c r="Y181" s="1248"/>
      <c r="Z181" s="1248"/>
      <c r="AA181" s="1248"/>
      <c r="AB181" s="1248"/>
      <c r="AC181" s="1248"/>
      <c r="AD181" s="1248"/>
      <c r="AE181" s="1249"/>
      <c r="AF181" s="1208"/>
      <c r="AG181" s="1208"/>
      <c r="AH181" s="1910"/>
      <c r="AI181" s="1910"/>
      <c r="AJ181" s="1910"/>
      <c r="AK181" s="1910"/>
      <c r="AL181" s="1910"/>
      <c r="AM181" s="1910"/>
      <c r="AN181" s="1910"/>
      <c r="AO181" s="1910"/>
      <c r="AP181" s="1910"/>
      <c r="AQ181" s="1910"/>
      <c r="AR181" s="1910"/>
      <c r="AS181" s="1910"/>
      <c r="AT181" s="1910"/>
      <c r="AU181" s="1910"/>
      <c r="AV181" s="1910"/>
      <c r="AW181" s="1910"/>
      <c r="AX181" s="1910"/>
      <c r="AY181" s="1910"/>
      <c r="AZ181" s="1910"/>
      <c r="BA181" s="1910"/>
      <c r="BB181" s="1910"/>
      <c r="BC181" s="1910"/>
      <c r="BD181" s="1910"/>
      <c r="BE181" s="1910"/>
    </row>
    <row r="182" spans="1:57" ht="15.75" customHeight="1">
      <c r="A182" s="1208"/>
      <c r="B182" s="1208"/>
      <c r="C182" s="2040" t="s">
        <v>2267</v>
      </c>
      <c r="D182" s="2041"/>
      <c r="E182" s="2041"/>
      <c r="F182" s="2041"/>
      <c r="G182" s="2041"/>
      <c r="H182" s="2041"/>
      <c r="I182" s="2041"/>
      <c r="J182" s="2041"/>
      <c r="K182" s="2041"/>
      <c r="L182" s="2041"/>
      <c r="M182" s="2041"/>
      <c r="N182" s="2042">
        <v>0</v>
      </c>
      <c r="O182" s="2042"/>
      <c r="P182" s="2042"/>
      <c r="Q182" s="2042"/>
      <c r="R182" s="2042"/>
      <c r="S182" s="2042"/>
      <c r="T182" s="2042"/>
      <c r="U182" s="2000"/>
      <c r="V182" s="2000"/>
      <c r="W182" s="2000"/>
      <c r="X182" s="2000"/>
      <c r="Y182" s="2000"/>
      <c r="Z182" s="2000"/>
      <c r="AA182" s="2000"/>
      <c r="AB182" s="2000"/>
      <c r="AC182" s="2000"/>
      <c r="AD182" s="2000"/>
      <c r="AE182" s="2001"/>
      <c r="AF182" s="1208"/>
      <c r="AG182" s="1208"/>
      <c r="AH182" s="1910"/>
      <c r="AI182" s="1910"/>
      <c r="AJ182" s="1910"/>
      <c r="AK182" s="1910"/>
      <c r="AL182" s="1910"/>
      <c r="AM182" s="1910"/>
      <c r="AN182" s="1910"/>
      <c r="AO182" s="1910"/>
      <c r="AP182" s="1910"/>
      <c r="AQ182" s="1910"/>
      <c r="AR182" s="1910"/>
      <c r="AS182" s="1910"/>
      <c r="AT182" s="1910"/>
      <c r="AU182" s="1910"/>
      <c r="AV182" s="1910"/>
      <c r="AW182" s="1910"/>
      <c r="AX182" s="1910"/>
      <c r="AY182" s="1910"/>
      <c r="AZ182" s="1910"/>
      <c r="BA182" s="1910"/>
      <c r="BB182" s="1910"/>
      <c r="BC182" s="1910"/>
      <c r="BD182" s="1910"/>
      <c r="BE182" s="1910"/>
    </row>
    <row r="183" spans="1:57" ht="15.75" customHeight="1" thickBot="1">
      <c r="A183" s="1208"/>
      <c r="B183" s="1208"/>
      <c r="C183" s="2013" t="s">
        <v>2266</v>
      </c>
      <c r="D183" s="2014"/>
      <c r="E183" s="2014"/>
      <c r="F183" s="2014"/>
      <c r="G183" s="2014"/>
      <c r="H183" s="2014"/>
      <c r="I183" s="2014"/>
      <c r="J183" s="2014"/>
      <c r="K183" s="2014"/>
      <c r="L183" s="2014"/>
      <c r="M183" s="2014"/>
      <c r="N183" s="2043">
        <f>SUM('Sources and Uses Budget'!B85:B86)</f>
        <v>5751418</v>
      </c>
      <c r="O183" s="2043"/>
      <c r="P183" s="2043"/>
      <c r="Q183" s="2043"/>
      <c r="R183" s="2043"/>
      <c r="S183" s="2043"/>
      <c r="T183" s="2043"/>
      <c r="U183" s="2000"/>
      <c r="V183" s="2000"/>
      <c r="W183" s="2000"/>
      <c r="X183" s="2000"/>
      <c r="Y183" s="2000"/>
      <c r="Z183" s="2000"/>
      <c r="AA183" s="2000"/>
      <c r="AB183" s="2000"/>
      <c r="AC183" s="2000"/>
      <c r="AD183" s="2000"/>
      <c r="AE183" s="2001"/>
      <c r="AF183" s="1208"/>
      <c r="AG183" s="1208"/>
      <c r="AH183" s="1910"/>
      <c r="AI183" s="1910"/>
      <c r="AJ183" s="1910"/>
      <c r="AK183" s="1910"/>
      <c r="AL183" s="1910"/>
      <c r="AM183" s="1910"/>
      <c r="AN183" s="1910"/>
      <c r="AO183" s="1910"/>
      <c r="AP183" s="1910"/>
      <c r="AQ183" s="1910"/>
      <c r="AR183" s="1910"/>
      <c r="AS183" s="1910"/>
      <c r="AT183" s="1910"/>
      <c r="AU183" s="1910"/>
      <c r="AV183" s="1910"/>
      <c r="AW183" s="1910"/>
      <c r="AX183" s="1910"/>
      <c r="AY183" s="1910"/>
      <c r="AZ183" s="1910"/>
      <c r="BA183" s="1910"/>
      <c r="BB183" s="1910"/>
      <c r="BC183" s="1910"/>
      <c r="BD183" s="1910"/>
      <c r="BE183" s="1910"/>
    </row>
    <row r="184" spans="1:57" ht="15.75" customHeight="1" thickBot="1">
      <c r="A184" s="1208"/>
      <c r="B184" s="1208"/>
      <c r="C184" s="2013" t="s">
        <v>2265</v>
      </c>
      <c r="D184" s="2014"/>
      <c r="E184" s="2014"/>
      <c r="F184" s="2014"/>
      <c r="G184" s="2014"/>
      <c r="H184" s="2014"/>
      <c r="I184" s="2014"/>
      <c r="J184" s="2014"/>
      <c r="K184" s="2014"/>
      <c r="L184" s="2014"/>
      <c r="M184" s="2014"/>
      <c r="N184" s="2043">
        <f>'Sources and Uses Budget'!B8</f>
        <v>50002</v>
      </c>
      <c r="O184" s="2043"/>
      <c r="P184" s="2043"/>
      <c r="Q184" s="2043"/>
      <c r="R184" s="2043"/>
      <c r="S184" s="2043"/>
      <c r="T184" s="2043"/>
      <c r="U184" s="2000"/>
      <c r="V184" s="2000"/>
      <c r="W184" s="2000"/>
      <c r="X184" s="2000"/>
      <c r="Y184" s="2000"/>
      <c r="Z184" s="2000"/>
      <c r="AA184" s="2000"/>
      <c r="AB184" s="2000"/>
      <c r="AC184" s="2000"/>
      <c r="AD184" s="2000"/>
      <c r="AE184" s="2001"/>
      <c r="AF184" s="1208"/>
      <c r="AG184" s="1208"/>
      <c r="AH184" s="2010" t="s">
        <v>2263</v>
      </c>
      <c r="AI184" s="2011"/>
      <c r="AJ184" s="2011"/>
      <c r="AK184" s="2011"/>
      <c r="AL184" s="2011"/>
      <c r="AM184" s="2011"/>
      <c r="AN184" s="2011"/>
      <c r="AO184" s="2011"/>
      <c r="AP184" s="2011"/>
      <c r="AQ184" s="2011"/>
      <c r="AR184" s="2011"/>
      <c r="AS184" s="2011"/>
      <c r="AT184" s="2011"/>
      <c r="AU184" s="2011"/>
      <c r="AV184" s="2011"/>
      <c r="AW184" s="2011"/>
      <c r="AX184" s="2011"/>
      <c r="AY184" s="2011"/>
      <c r="AZ184" s="2011"/>
      <c r="BA184" s="2011"/>
      <c r="BB184" s="2011"/>
      <c r="BC184" s="2011"/>
      <c r="BD184" s="2011"/>
      <c r="BE184" s="2012"/>
    </row>
    <row r="185" spans="1:57" ht="15.75" customHeight="1">
      <c r="A185" s="1208"/>
      <c r="B185" s="1208"/>
      <c r="C185" s="2013" t="s">
        <v>2264</v>
      </c>
      <c r="D185" s="2014"/>
      <c r="E185" s="2014"/>
      <c r="F185" s="2014"/>
      <c r="G185" s="2014"/>
      <c r="H185" s="2014"/>
      <c r="I185" s="2014"/>
      <c r="J185" s="2014"/>
      <c r="K185" s="2014"/>
      <c r="L185" s="2014"/>
      <c r="M185" s="2014"/>
      <c r="N185" s="1999">
        <v>0</v>
      </c>
      <c r="O185" s="1999"/>
      <c r="P185" s="1999"/>
      <c r="Q185" s="1999"/>
      <c r="R185" s="1999"/>
      <c r="S185" s="1999"/>
      <c r="T185" s="1999"/>
      <c r="U185" s="2000"/>
      <c r="V185" s="2000"/>
      <c r="W185" s="2000"/>
      <c r="X185" s="2000"/>
      <c r="Y185" s="2000"/>
      <c r="Z185" s="2000"/>
      <c r="AA185" s="2000"/>
      <c r="AB185" s="2000"/>
      <c r="AC185" s="2000"/>
      <c r="AD185" s="2000"/>
      <c r="AE185" s="2001"/>
      <c r="AF185" s="1208"/>
      <c r="AG185" s="1208"/>
      <c r="AH185" s="2015" t="s">
        <v>2263</v>
      </c>
      <c r="AI185" s="2016"/>
      <c r="AJ185" s="2016"/>
      <c r="AK185" s="2016"/>
      <c r="AL185" s="2016"/>
      <c r="AM185" s="2016"/>
      <c r="AN185" s="2016"/>
      <c r="AO185" s="2016"/>
      <c r="AP185" s="2016"/>
      <c r="AQ185" s="2016"/>
      <c r="AR185" s="2016"/>
      <c r="AS185" s="2016"/>
      <c r="AT185" s="2016"/>
      <c r="AU185" s="2017">
        <v>0</v>
      </c>
      <c r="AV185" s="2017"/>
      <c r="AW185" s="2017"/>
      <c r="AX185" s="2017"/>
      <c r="AY185" s="2017"/>
      <c r="AZ185" s="2017"/>
      <c r="BA185" s="2017"/>
      <c r="BB185" s="2017"/>
      <c r="BC185" s="2018"/>
      <c r="BD185" s="2019"/>
      <c r="BE185" s="2020"/>
    </row>
    <row r="186" spans="1:57" ht="15.75" customHeight="1">
      <c r="A186" s="1208"/>
      <c r="B186" s="1208"/>
      <c r="C186" s="2013" t="s">
        <v>2262</v>
      </c>
      <c r="D186" s="2014"/>
      <c r="E186" s="2014"/>
      <c r="F186" s="2014"/>
      <c r="G186" s="2014"/>
      <c r="H186" s="2014"/>
      <c r="I186" s="2014"/>
      <c r="J186" s="2014"/>
      <c r="K186" s="2014"/>
      <c r="L186" s="2014"/>
      <c r="M186" s="2014"/>
      <c r="N186" s="1999">
        <v>0</v>
      </c>
      <c r="O186" s="1999"/>
      <c r="P186" s="1999"/>
      <c r="Q186" s="1999"/>
      <c r="R186" s="1999"/>
      <c r="S186" s="1999"/>
      <c r="T186" s="1999"/>
      <c r="U186" s="2000"/>
      <c r="V186" s="2000"/>
      <c r="W186" s="2000"/>
      <c r="X186" s="2000"/>
      <c r="Y186" s="2000"/>
      <c r="Z186" s="2000"/>
      <c r="AA186" s="2000"/>
      <c r="AB186" s="2000"/>
      <c r="AC186" s="2000"/>
      <c r="AD186" s="2000"/>
      <c r="AE186" s="2001"/>
      <c r="AF186" s="1208"/>
      <c r="AG186" s="1208"/>
      <c r="AH186" s="2031" t="s">
        <v>2261</v>
      </c>
      <c r="AI186" s="2032"/>
      <c r="AJ186" s="2032"/>
      <c r="AK186" s="2032"/>
      <c r="AL186" s="2032"/>
      <c r="AM186" s="2032"/>
      <c r="AN186" s="2032"/>
      <c r="AO186" s="2032"/>
      <c r="AP186" s="2032"/>
      <c r="AQ186" s="2032"/>
      <c r="AR186" s="2032"/>
      <c r="AS186" s="2032"/>
      <c r="AT186" s="2032"/>
      <c r="AU186" s="2033"/>
      <c r="AV186" s="2033"/>
      <c r="AW186" s="2033"/>
      <c r="AX186" s="2033"/>
      <c r="AY186" s="2033"/>
      <c r="AZ186" s="2033"/>
      <c r="BA186" s="2033"/>
      <c r="BB186" s="2033"/>
      <c r="BC186" s="2021"/>
      <c r="BD186" s="2022"/>
      <c r="BE186" s="2023"/>
    </row>
    <row r="187" spans="1:57" ht="15.75" customHeight="1">
      <c r="A187" s="1208"/>
      <c r="B187" s="1208"/>
      <c r="C187" s="2005" t="s">
        <v>299</v>
      </c>
      <c r="D187" s="2006"/>
      <c r="E187" s="1998" t="s">
        <v>2259</v>
      </c>
      <c r="F187" s="1998"/>
      <c r="G187" s="1998"/>
      <c r="H187" s="1998"/>
      <c r="I187" s="1998"/>
      <c r="J187" s="1998"/>
      <c r="K187" s="1998"/>
      <c r="L187" s="1998"/>
      <c r="M187" s="1998"/>
      <c r="N187" s="1999">
        <v>0</v>
      </c>
      <c r="O187" s="1999"/>
      <c r="P187" s="1999"/>
      <c r="Q187" s="1999"/>
      <c r="R187" s="1999"/>
      <c r="S187" s="1999"/>
      <c r="T187" s="1999"/>
      <c r="U187" s="2000"/>
      <c r="V187" s="2000"/>
      <c r="W187" s="2000"/>
      <c r="X187" s="2000"/>
      <c r="Y187" s="2000"/>
      <c r="Z187" s="2000"/>
      <c r="AA187" s="2000"/>
      <c r="AB187" s="2000"/>
      <c r="AC187" s="2000"/>
      <c r="AD187" s="2000"/>
      <c r="AE187" s="2001"/>
      <c r="AF187" s="1208"/>
      <c r="AG187" s="1208"/>
      <c r="AH187" s="2007" t="s">
        <v>2260</v>
      </c>
      <c r="AI187" s="2008"/>
      <c r="AJ187" s="2008"/>
      <c r="AK187" s="2008"/>
      <c r="AL187" s="2008"/>
      <c r="AM187" s="2008"/>
      <c r="AN187" s="2008"/>
      <c r="AO187" s="2008"/>
      <c r="AP187" s="2008"/>
      <c r="AQ187" s="2008"/>
      <c r="AR187" s="2008"/>
      <c r="AS187" s="2008"/>
      <c r="AT187" s="2008"/>
      <c r="AU187" s="2009">
        <f>SUM(AU185:BB186)</f>
        <v>0</v>
      </c>
      <c r="AV187" s="2009"/>
      <c r="AW187" s="2009"/>
      <c r="AX187" s="2009"/>
      <c r="AY187" s="2009"/>
      <c r="AZ187" s="2009"/>
      <c r="BA187" s="2009"/>
      <c r="BB187" s="2009"/>
      <c r="BC187" s="2021"/>
      <c r="BD187" s="2022"/>
      <c r="BE187" s="2023"/>
    </row>
    <row r="188" spans="1:57" ht="15.75" customHeight="1" thickBot="1">
      <c r="A188" s="1208"/>
      <c r="B188" s="1208"/>
      <c r="C188" s="1996" t="s">
        <v>299</v>
      </c>
      <c r="D188" s="1997"/>
      <c r="E188" s="1998" t="s">
        <v>2259</v>
      </c>
      <c r="F188" s="1998"/>
      <c r="G188" s="1998"/>
      <c r="H188" s="1998"/>
      <c r="I188" s="1998"/>
      <c r="J188" s="1998"/>
      <c r="K188" s="1998"/>
      <c r="L188" s="1998"/>
      <c r="M188" s="1998"/>
      <c r="N188" s="1999">
        <v>0</v>
      </c>
      <c r="O188" s="1999"/>
      <c r="P188" s="1999"/>
      <c r="Q188" s="1999"/>
      <c r="R188" s="1999"/>
      <c r="S188" s="1999"/>
      <c r="T188" s="1999"/>
      <c r="U188" s="2000"/>
      <c r="V188" s="2000"/>
      <c r="W188" s="2000"/>
      <c r="X188" s="2000"/>
      <c r="Y188" s="2000"/>
      <c r="Z188" s="2000"/>
      <c r="AA188" s="2000"/>
      <c r="AB188" s="2000"/>
      <c r="AC188" s="2000"/>
      <c r="AD188" s="2000"/>
      <c r="AE188" s="200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2"/>
      <c r="BD188" s="2003"/>
      <c r="BE188" s="2004"/>
    </row>
    <row r="189" spans="1:57" ht="15.75" customHeight="1" thickBot="1">
      <c r="A189" s="1208"/>
      <c r="B189" s="1208"/>
      <c r="C189" s="1984" t="s">
        <v>299</v>
      </c>
      <c r="D189" s="1985"/>
      <c r="E189" s="1986" t="s">
        <v>2259</v>
      </c>
      <c r="F189" s="1986"/>
      <c r="G189" s="1986"/>
      <c r="H189" s="1986"/>
      <c r="I189" s="1986"/>
      <c r="J189" s="1986"/>
      <c r="K189" s="1986"/>
      <c r="L189" s="1986"/>
      <c r="M189" s="1987"/>
      <c r="N189" s="1988">
        <v>0</v>
      </c>
      <c r="O189" s="1988"/>
      <c r="P189" s="1988"/>
      <c r="Q189" s="1988"/>
      <c r="R189" s="1988"/>
      <c r="S189" s="1988"/>
      <c r="T189" s="1989"/>
      <c r="U189" s="1990"/>
      <c r="V189" s="1991"/>
      <c r="W189" s="1991"/>
      <c r="X189" s="1991"/>
      <c r="Y189" s="1991"/>
      <c r="Z189" s="1991"/>
      <c r="AA189" s="1991"/>
      <c r="AB189" s="1991"/>
      <c r="AC189" s="1991"/>
      <c r="AD189" s="1991"/>
      <c r="AE189" s="1992"/>
      <c r="AF189" s="1208"/>
      <c r="AG189" s="1208"/>
      <c r="AH189" s="1993" t="s">
        <v>2258</v>
      </c>
      <c r="AI189" s="1994"/>
      <c r="AJ189" s="1994"/>
      <c r="AK189" s="1994"/>
      <c r="AL189" s="1994"/>
      <c r="AM189" s="1994"/>
      <c r="AN189" s="1994"/>
      <c r="AO189" s="1994"/>
      <c r="AP189" s="1994"/>
      <c r="AQ189" s="1994"/>
      <c r="AR189" s="1994"/>
      <c r="AS189" s="1994"/>
      <c r="AT189" s="1994"/>
      <c r="AU189" s="1995"/>
      <c r="AV189" s="1995"/>
      <c r="AW189" s="1995"/>
      <c r="AX189" s="1995"/>
      <c r="AY189" s="1995"/>
      <c r="AZ189" s="1995"/>
      <c r="BA189" s="1995"/>
      <c r="BB189" s="1995"/>
      <c r="BC189" s="1164"/>
      <c r="BD189" s="1164"/>
      <c r="BE189" s="1252"/>
    </row>
    <row r="190" spans="1:57" ht="15.75" customHeight="1">
      <c r="A190" s="1208"/>
      <c r="B190" s="1208"/>
      <c r="C190" s="1967" t="s">
        <v>2257</v>
      </c>
      <c r="D190" s="1968"/>
      <c r="E190" s="1968"/>
      <c r="F190" s="1968"/>
      <c r="G190" s="1968"/>
      <c r="H190" s="1968"/>
      <c r="I190" s="1968"/>
      <c r="J190" s="1968"/>
      <c r="K190" s="1968"/>
      <c r="L190" s="1968"/>
      <c r="M190" s="1968"/>
      <c r="N190" s="1969">
        <f>SUM(N182:T189)</f>
        <v>5801420</v>
      </c>
      <c r="O190" s="1969"/>
      <c r="P190" s="1969"/>
      <c r="Q190" s="1969"/>
      <c r="R190" s="1969"/>
      <c r="S190" s="1969"/>
      <c r="T190" s="1970"/>
      <c r="U190" s="1208"/>
      <c r="V190" s="1208"/>
      <c r="W190" s="1208"/>
      <c r="X190" s="1208"/>
      <c r="Y190" s="1208"/>
      <c r="Z190" s="1208"/>
      <c r="AA190" s="1208"/>
      <c r="AB190" s="1208"/>
      <c r="AC190" s="1208"/>
      <c r="AD190" s="1208"/>
      <c r="AE190" s="1208"/>
      <c r="AF190" s="1208"/>
      <c r="AG190" s="1208"/>
      <c r="AH190" s="1971" t="s">
        <v>2256</v>
      </c>
      <c r="AI190" s="1972"/>
      <c r="AJ190" s="1972"/>
      <c r="AK190" s="1972"/>
      <c r="AL190" s="1972"/>
      <c r="AM190" s="1972"/>
      <c r="AN190" s="1972"/>
      <c r="AO190" s="1972"/>
      <c r="AP190" s="1972"/>
      <c r="AQ190" s="1972"/>
      <c r="AR190" s="1972"/>
      <c r="AS190" s="1972"/>
      <c r="AT190" s="1972"/>
      <c r="AU190" s="1972"/>
      <c r="AV190" s="1972"/>
      <c r="AW190" s="1972"/>
      <c r="AX190" s="1972"/>
      <c r="AY190" s="1972"/>
      <c r="AZ190" s="1972"/>
      <c r="BA190" s="1972"/>
      <c r="BB190" s="1972"/>
      <c r="BC190" s="1972"/>
      <c r="BD190" s="1972"/>
      <c r="BE190" s="1973"/>
    </row>
    <row r="191" spans="1:57" ht="15.75" customHeight="1" thickBot="1">
      <c r="A191" s="1208"/>
      <c r="B191" s="1208"/>
      <c r="C191" s="1977" t="s">
        <v>2255</v>
      </c>
      <c r="D191" s="1978"/>
      <c r="E191" s="1978"/>
      <c r="F191" s="1978"/>
      <c r="G191" s="1978"/>
      <c r="H191" s="1978"/>
      <c r="I191" s="1978"/>
      <c r="J191" s="1978"/>
      <c r="K191" s="1978"/>
      <c r="L191" s="1978"/>
      <c r="M191" s="1978"/>
      <c r="N191" s="1979">
        <f>(N180-N190)/J29</f>
        <v>830060.38888888888</v>
      </c>
      <c r="O191" s="1980"/>
      <c r="P191" s="1980"/>
      <c r="Q191" s="1980"/>
      <c r="R191" s="1980"/>
      <c r="S191" s="1980"/>
      <c r="T191" s="1981"/>
      <c r="U191" s="1216"/>
      <c r="V191" s="1208"/>
      <c r="W191" s="1208"/>
      <c r="X191" s="1208"/>
      <c r="Y191" s="1208"/>
      <c r="Z191" s="1208"/>
      <c r="AA191" s="1208"/>
      <c r="AB191" s="1208"/>
      <c r="AC191" s="1208"/>
      <c r="AD191" s="1208"/>
      <c r="AE191" s="1208"/>
      <c r="AF191" s="1208"/>
      <c r="AG191" s="1208"/>
      <c r="AH191" s="1974"/>
      <c r="AI191" s="1975"/>
      <c r="AJ191" s="1975"/>
      <c r="AK191" s="1975"/>
      <c r="AL191" s="1975"/>
      <c r="AM191" s="1975"/>
      <c r="AN191" s="1975"/>
      <c r="AO191" s="1975"/>
      <c r="AP191" s="1975"/>
      <c r="AQ191" s="1975"/>
      <c r="AR191" s="1975"/>
      <c r="AS191" s="1975"/>
      <c r="AT191" s="1975"/>
      <c r="AU191" s="1975"/>
      <c r="AV191" s="1975"/>
      <c r="AW191" s="1975"/>
      <c r="AX191" s="1975"/>
      <c r="AY191" s="1975"/>
      <c r="AZ191" s="1975"/>
      <c r="BA191" s="1975"/>
      <c r="BB191" s="1975"/>
      <c r="BC191" s="1975"/>
      <c r="BD191" s="1975"/>
      <c r="BE191" s="197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2"/>
      <c r="AI192" s="1982"/>
      <c r="AJ192" s="1982"/>
      <c r="AK192" s="1982"/>
      <c r="AL192" s="1982"/>
      <c r="AM192" s="1982"/>
      <c r="AN192" s="1982"/>
      <c r="AO192" s="1982"/>
      <c r="AP192" s="1982"/>
      <c r="AQ192" s="1982"/>
      <c r="AR192" s="1982"/>
      <c r="AS192" s="1983"/>
      <c r="AT192" s="1983"/>
      <c r="AU192" s="1983"/>
      <c r="AV192" s="1983"/>
      <c r="AW192" s="1983"/>
      <c r="AX192" s="1983"/>
      <c r="AY192" s="1983"/>
      <c r="AZ192" s="1983"/>
      <c r="BA192" s="1983"/>
      <c r="BB192" s="1983"/>
      <c r="BC192" s="1983"/>
      <c r="BD192" s="198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2" t="s">
        <v>2254</v>
      </c>
      <c r="D194" s="1963"/>
      <c r="E194" s="1963"/>
      <c r="F194" s="1963"/>
      <c r="G194" s="1963"/>
      <c r="H194" s="1963"/>
      <c r="I194" s="1963"/>
      <c r="J194" s="1963"/>
      <c r="K194" s="1963"/>
      <c r="L194" s="1963"/>
      <c r="M194" s="1963"/>
      <c r="N194" s="1963"/>
      <c r="O194" s="1963"/>
      <c r="P194" s="1963"/>
      <c r="Q194" s="1963"/>
      <c r="R194" s="1963"/>
      <c r="S194" s="1963"/>
      <c r="T194" s="1963"/>
      <c r="U194" s="1963"/>
      <c r="V194" s="1963"/>
      <c r="W194" s="1963"/>
      <c r="X194" s="1963"/>
      <c r="Y194" s="1963"/>
      <c r="Z194" s="1963"/>
      <c r="AA194" s="1963"/>
      <c r="AB194" s="1963"/>
      <c r="AC194" s="1963"/>
      <c r="AD194" s="1963"/>
      <c r="AE194" s="196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5" t="s">
        <v>2253</v>
      </c>
      <c r="D195" s="1965"/>
      <c r="E195" s="1965"/>
      <c r="F195" s="1965"/>
      <c r="G195" s="1965"/>
      <c r="H195" s="1965"/>
      <c r="I195" s="1965"/>
      <c r="J195" s="1965"/>
      <c r="K195" s="1965"/>
      <c r="L195" s="1965"/>
      <c r="M195" s="1965"/>
      <c r="N195" s="1965"/>
      <c r="O195" s="1966" t="s">
        <v>2252</v>
      </c>
      <c r="P195" s="1966"/>
      <c r="Q195" s="1966"/>
      <c r="R195" s="1966"/>
      <c r="S195" s="1966"/>
      <c r="T195" s="1966"/>
      <c r="U195" s="1966"/>
      <c r="V195" s="1966"/>
      <c r="W195" s="1966"/>
      <c r="X195" s="1966" t="s">
        <v>2251</v>
      </c>
      <c r="Y195" s="1966"/>
      <c r="Z195" s="1966"/>
      <c r="AA195" s="1966"/>
      <c r="AB195" s="1966"/>
      <c r="AC195" s="1966"/>
      <c r="AD195" s="1966"/>
      <c r="AE195" s="196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7" t="s">
        <v>2250</v>
      </c>
      <c r="D196" s="1957"/>
      <c r="E196" s="1957"/>
      <c r="F196" s="1957"/>
      <c r="G196" s="1957"/>
      <c r="H196" s="1957"/>
      <c r="I196" s="1957"/>
      <c r="J196" s="1957"/>
      <c r="K196" s="1957"/>
      <c r="L196" s="1957"/>
      <c r="M196" s="1957"/>
      <c r="N196" s="1957"/>
      <c r="O196" s="1958" t="s">
        <v>2249</v>
      </c>
      <c r="P196" s="1958"/>
      <c r="Q196" s="1958"/>
      <c r="R196" s="1958"/>
      <c r="S196" s="1958"/>
      <c r="T196" s="1958"/>
      <c r="U196" s="1958"/>
      <c r="V196" s="1958"/>
      <c r="W196" s="1958"/>
      <c r="X196" s="1959">
        <v>0.03</v>
      </c>
      <c r="Y196" s="1959"/>
      <c r="Z196" s="1959"/>
      <c r="AA196" s="1959"/>
      <c r="AB196" s="1959"/>
      <c r="AC196" s="1959"/>
      <c r="AD196" s="1959"/>
      <c r="AE196" s="195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7" t="s">
        <v>853</v>
      </c>
      <c r="D197" s="1957"/>
      <c r="E197" s="1957"/>
      <c r="F197" s="1957"/>
      <c r="G197" s="1957"/>
      <c r="H197" s="1957"/>
      <c r="I197" s="1957"/>
      <c r="J197" s="1957"/>
      <c r="K197" s="1957"/>
      <c r="L197" s="1957"/>
      <c r="M197" s="1957"/>
      <c r="N197" s="1957"/>
      <c r="O197" s="1958" t="s">
        <v>2249</v>
      </c>
      <c r="P197" s="1958"/>
      <c r="Q197" s="1958"/>
      <c r="R197" s="1958"/>
      <c r="S197" s="1958"/>
      <c r="T197" s="1958"/>
      <c r="U197" s="1958"/>
      <c r="V197" s="1958"/>
      <c r="W197" s="1958"/>
      <c r="X197" s="1959">
        <v>0.03</v>
      </c>
      <c r="Y197" s="1959"/>
      <c r="Z197" s="1959"/>
      <c r="AA197" s="1959"/>
      <c r="AB197" s="1959"/>
      <c r="AC197" s="1959"/>
      <c r="AD197" s="1959"/>
      <c r="AE197" s="195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7" t="s">
        <v>2248</v>
      </c>
      <c r="D198" s="1957"/>
      <c r="E198" s="1957"/>
      <c r="F198" s="1957"/>
      <c r="G198" s="1957"/>
      <c r="H198" s="1957"/>
      <c r="I198" s="1957"/>
      <c r="J198" s="1957"/>
      <c r="K198" s="1957"/>
      <c r="L198" s="1957"/>
      <c r="M198" s="1957"/>
      <c r="N198" s="1957"/>
      <c r="O198" s="1960">
        <f>SUM(O196:W197)</f>
        <v>0</v>
      </c>
      <c r="P198" s="1961"/>
      <c r="Q198" s="1961"/>
      <c r="R198" s="1961"/>
      <c r="S198" s="1961"/>
      <c r="T198" s="1961"/>
      <c r="U198" s="1961"/>
      <c r="V198" s="1961"/>
      <c r="W198" s="1961"/>
      <c r="X198" s="1961" t="s">
        <v>2247</v>
      </c>
      <c r="Y198" s="1961"/>
      <c r="Z198" s="1961"/>
      <c r="AA198" s="1961"/>
      <c r="AB198" s="1961"/>
      <c r="AC198" s="1961"/>
      <c r="AD198" s="1961"/>
      <c r="AE198" s="196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1" t="s">
        <v>2246</v>
      </c>
      <c r="D199" s="1931"/>
      <c r="E199" s="1931"/>
      <c r="F199" s="1931"/>
      <c r="G199" s="1931"/>
      <c r="H199" s="1931"/>
      <c r="I199" s="1931"/>
      <c r="J199" s="1931"/>
      <c r="K199" s="1931"/>
      <c r="L199" s="1931"/>
      <c r="M199" s="1931"/>
      <c r="N199" s="1931"/>
      <c r="O199" s="1931"/>
      <c r="P199" s="1931"/>
      <c r="Q199" s="1931"/>
      <c r="R199" s="1931"/>
      <c r="S199" s="1931"/>
      <c r="T199" s="1931"/>
      <c r="U199" s="1931"/>
      <c r="V199" s="1931"/>
      <c r="W199" s="1931"/>
      <c r="X199" s="1931"/>
      <c r="Y199" s="1931"/>
      <c r="Z199" s="1931"/>
      <c r="AA199" s="1931"/>
      <c r="AB199" s="1931"/>
      <c r="AC199" s="1931"/>
      <c r="AD199" s="1931"/>
      <c r="AE199" s="193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2" t="s">
        <v>2245</v>
      </c>
      <c r="D201" s="1933"/>
      <c r="E201" s="1933"/>
      <c r="F201" s="1933"/>
      <c r="G201" s="1933"/>
      <c r="H201" s="1933"/>
      <c r="I201" s="1933"/>
      <c r="J201" s="1933"/>
      <c r="K201" s="1933"/>
      <c r="L201" s="1933"/>
      <c r="M201" s="1933"/>
      <c r="N201" s="1933"/>
      <c r="O201" s="1933"/>
      <c r="P201" s="1933"/>
      <c r="Q201" s="1933"/>
      <c r="R201" s="1933"/>
      <c r="S201" s="1933"/>
      <c r="T201" s="1933"/>
      <c r="U201" s="1933"/>
      <c r="V201" s="1933"/>
      <c r="W201" s="1933"/>
      <c r="X201" s="1933"/>
      <c r="Y201" s="1933"/>
      <c r="Z201" s="1933"/>
      <c r="AA201" s="1933"/>
      <c r="AB201" s="1933"/>
      <c r="AC201" s="1933"/>
      <c r="AD201" s="1933"/>
      <c r="AE201" s="1933"/>
      <c r="AF201" s="1933"/>
      <c r="AG201" s="1933"/>
      <c r="AH201" s="1933"/>
      <c r="AI201" s="1933"/>
      <c r="AJ201" s="1933"/>
      <c r="AK201" s="193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5" t="s">
        <v>2244</v>
      </c>
      <c r="D202" s="1936"/>
      <c r="E202" s="1936"/>
      <c r="F202" s="1937"/>
      <c r="G202" s="1941" t="s">
        <v>2243</v>
      </c>
      <c r="H202" s="1936"/>
      <c r="I202" s="1936"/>
      <c r="J202" s="1936"/>
      <c r="K202" s="1936"/>
      <c r="L202" s="1936"/>
      <c r="M202" s="1936"/>
      <c r="N202" s="1936"/>
      <c r="O202" s="1937"/>
      <c r="P202" s="1943" t="s">
        <v>2242</v>
      </c>
      <c r="Q202" s="1944"/>
      <c r="R202" s="1944"/>
      <c r="S202" s="1944"/>
      <c r="T202" s="1945"/>
      <c r="U202" s="1949" t="s">
        <v>2241</v>
      </c>
      <c r="V202" s="1950"/>
      <c r="W202" s="1950"/>
      <c r="X202" s="1951"/>
      <c r="Y202" s="1949" t="s">
        <v>2240</v>
      </c>
      <c r="Z202" s="1950"/>
      <c r="AA202" s="1950"/>
      <c r="AB202" s="1951"/>
      <c r="AC202" s="1949" t="s">
        <v>2239</v>
      </c>
      <c r="AD202" s="1950"/>
      <c r="AE202" s="1950"/>
      <c r="AF202" s="1951"/>
      <c r="AG202" s="1941" t="s">
        <v>2238</v>
      </c>
      <c r="AH202" s="1936"/>
      <c r="AI202" s="1936"/>
      <c r="AJ202" s="1936"/>
      <c r="AK202" s="195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8"/>
      <c r="D203" s="1939"/>
      <c r="E203" s="1939"/>
      <c r="F203" s="1940"/>
      <c r="G203" s="1942"/>
      <c r="H203" s="1939"/>
      <c r="I203" s="1939"/>
      <c r="J203" s="1939"/>
      <c r="K203" s="1939"/>
      <c r="L203" s="1939"/>
      <c r="M203" s="1939"/>
      <c r="N203" s="1939"/>
      <c r="O203" s="1940"/>
      <c r="P203" s="1946"/>
      <c r="Q203" s="1947"/>
      <c r="R203" s="1947"/>
      <c r="S203" s="1947"/>
      <c r="T203" s="1948"/>
      <c r="U203" s="1952"/>
      <c r="V203" s="1953"/>
      <c r="W203" s="1953"/>
      <c r="X203" s="1954"/>
      <c r="Y203" s="1952"/>
      <c r="Z203" s="1953"/>
      <c r="AA203" s="1953"/>
      <c r="AB203" s="1954"/>
      <c r="AC203" s="1952"/>
      <c r="AD203" s="1953"/>
      <c r="AE203" s="1953"/>
      <c r="AF203" s="1954"/>
      <c r="AG203" s="1942"/>
      <c r="AH203" s="1939"/>
      <c r="AI203" s="1939"/>
      <c r="AJ203" s="1939"/>
      <c r="AK203" s="195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4">
        <v>1</v>
      </c>
      <c r="D204" s="1925"/>
      <c r="E204" s="1925"/>
      <c r="F204" s="1925"/>
      <c r="G204" s="1926" t="s">
        <v>1858</v>
      </c>
      <c r="H204" s="1926"/>
      <c r="I204" s="1926"/>
      <c r="J204" s="1926"/>
      <c r="K204" s="1926"/>
      <c r="L204" s="1926"/>
      <c r="M204" s="1926"/>
      <c r="N204" s="1926"/>
      <c r="O204" s="1926"/>
      <c r="P204" s="1927"/>
      <c r="Q204" s="1930"/>
      <c r="R204" s="1930"/>
      <c r="S204" s="1930"/>
      <c r="T204" s="1930"/>
      <c r="U204" s="1928" t="s">
        <v>1858</v>
      </c>
      <c r="V204" s="1928"/>
      <c r="W204" s="1928"/>
      <c r="X204" s="1928"/>
      <c r="Y204" s="1928" t="s">
        <v>1858</v>
      </c>
      <c r="Z204" s="1928"/>
      <c r="AA204" s="1928"/>
      <c r="AB204" s="1928"/>
      <c r="AC204" s="1929" t="s">
        <v>1858</v>
      </c>
      <c r="AD204" s="1929"/>
      <c r="AE204" s="1929"/>
      <c r="AF204" s="1929"/>
      <c r="AG204" s="1913"/>
      <c r="AH204" s="1914"/>
      <c r="AI204" s="1914"/>
      <c r="AJ204" s="1914"/>
      <c r="AK204" s="191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4">
        <v>2</v>
      </c>
      <c r="D205" s="1925"/>
      <c r="E205" s="1925"/>
      <c r="F205" s="1925"/>
      <c r="G205" s="1926" t="s">
        <v>1858</v>
      </c>
      <c r="H205" s="1926"/>
      <c r="I205" s="1926"/>
      <c r="J205" s="1926"/>
      <c r="K205" s="1926"/>
      <c r="L205" s="1926"/>
      <c r="M205" s="1926"/>
      <c r="N205" s="1926"/>
      <c r="O205" s="1926"/>
      <c r="P205" s="1927"/>
      <c r="Q205" s="1927"/>
      <c r="R205" s="1927"/>
      <c r="S205" s="1927"/>
      <c r="T205" s="1927"/>
      <c r="U205" s="1928" t="s">
        <v>1858</v>
      </c>
      <c r="V205" s="1928"/>
      <c r="W205" s="1928"/>
      <c r="X205" s="1928"/>
      <c r="Y205" s="1928" t="s">
        <v>1858</v>
      </c>
      <c r="Z205" s="1928"/>
      <c r="AA205" s="1928"/>
      <c r="AB205" s="1928"/>
      <c r="AC205" s="1929" t="s">
        <v>1858</v>
      </c>
      <c r="AD205" s="1929"/>
      <c r="AE205" s="1929"/>
      <c r="AF205" s="1929"/>
      <c r="AG205" s="1913"/>
      <c r="AH205" s="1914"/>
      <c r="AI205" s="1914"/>
      <c r="AJ205" s="1914"/>
      <c r="AK205" s="191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4">
        <v>3</v>
      </c>
      <c r="D206" s="1925"/>
      <c r="E206" s="1925"/>
      <c r="F206" s="1925"/>
      <c r="G206" s="1926" t="s">
        <v>1858</v>
      </c>
      <c r="H206" s="1926"/>
      <c r="I206" s="1926"/>
      <c r="J206" s="1926"/>
      <c r="K206" s="1926"/>
      <c r="L206" s="1926"/>
      <c r="M206" s="1926"/>
      <c r="N206" s="1926"/>
      <c r="O206" s="1926"/>
      <c r="P206" s="1927"/>
      <c r="Q206" s="1927"/>
      <c r="R206" s="1927"/>
      <c r="S206" s="1927"/>
      <c r="T206" s="1927"/>
      <c r="U206" s="1928" t="s">
        <v>1858</v>
      </c>
      <c r="V206" s="1928"/>
      <c r="W206" s="1928"/>
      <c r="X206" s="1928"/>
      <c r="Y206" s="1928" t="s">
        <v>1858</v>
      </c>
      <c r="Z206" s="1928"/>
      <c r="AA206" s="1928"/>
      <c r="AB206" s="1928"/>
      <c r="AC206" s="1929" t="s">
        <v>1858</v>
      </c>
      <c r="AD206" s="1929"/>
      <c r="AE206" s="1929"/>
      <c r="AF206" s="1929"/>
      <c r="AG206" s="1913"/>
      <c r="AH206" s="1914"/>
      <c r="AI206" s="1914"/>
      <c r="AJ206" s="1914"/>
      <c r="AK206" s="191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4">
        <v>4</v>
      </c>
      <c r="D207" s="1925"/>
      <c r="E207" s="1925"/>
      <c r="F207" s="1925"/>
      <c r="G207" s="1926" t="s">
        <v>1858</v>
      </c>
      <c r="H207" s="1926"/>
      <c r="I207" s="1926"/>
      <c r="J207" s="1926"/>
      <c r="K207" s="1926"/>
      <c r="L207" s="1926"/>
      <c r="M207" s="1926"/>
      <c r="N207" s="1926"/>
      <c r="O207" s="1926"/>
      <c r="P207" s="1927"/>
      <c r="Q207" s="1927"/>
      <c r="R207" s="1927"/>
      <c r="S207" s="1927"/>
      <c r="T207" s="1927"/>
      <c r="U207" s="1928" t="s">
        <v>1858</v>
      </c>
      <c r="V207" s="1928"/>
      <c r="W207" s="1928"/>
      <c r="X207" s="1928"/>
      <c r="Y207" s="1928" t="s">
        <v>1858</v>
      </c>
      <c r="Z207" s="1928"/>
      <c r="AA207" s="1928"/>
      <c r="AB207" s="1928"/>
      <c r="AC207" s="1929" t="s">
        <v>1858</v>
      </c>
      <c r="AD207" s="1929"/>
      <c r="AE207" s="1929"/>
      <c r="AF207" s="1929"/>
      <c r="AG207" s="1913"/>
      <c r="AH207" s="1914"/>
      <c r="AI207" s="1914"/>
      <c r="AJ207" s="1914"/>
      <c r="AK207" s="191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4">
        <v>5</v>
      </c>
      <c r="D208" s="1925"/>
      <c r="E208" s="1925"/>
      <c r="F208" s="1925"/>
      <c r="G208" s="1926" t="s">
        <v>1858</v>
      </c>
      <c r="H208" s="1926"/>
      <c r="I208" s="1926"/>
      <c r="J208" s="1926"/>
      <c r="K208" s="1926"/>
      <c r="L208" s="1926"/>
      <c r="M208" s="1926"/>
      <c r="N208" s="1926"/>
      <c r="O208" s="1926"/>
      <c r="P208" s="1927"/>
      <c r="Q208" s="1927"/>
      <c r="R208" s="1927"/>
      <c r="S208" s="1927"/>
      <c r="T208" s="1927"/>
      <c r="U208" s="1928" t="s">
        <v>1858</v>
      </c>
      <c r="V208" s="1928"/>
      <c r="W208" s="1928"/>
      <c r="X208" s="1928"/>
      <c r="Y208" s="1928" t="s">
        <v>1858</v>
      </c>
      <c r="Z208" s="1928"/>
      <c r="AA208" s="1928"/>
      <c r="AB208" s="1928"/>
      <c r="AC208" s="1929" t="s">
        <v>1858</v>
      </c>
      <c r="AD208" s="1929"/>
      <c r="AE208" s="1929"/>
      <c r="AF208" s="1929"/>
      <c r="AG208" s="1913"/>
      <c r="AH208" s="1914"/>
      <c r="AI208" s="1914"/>
      <c r="AJ208" s="1914"/>
      <c r="AK208" s="191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4">
        <v>6</v>
      </c>
      <c r="D209" s="1925"/>
      <c r="E209" s="1925"/>
      <c r="F209" s="1925"/>
      <c r="G209" s="1926" t="s">
        <v>1858</v>
      </c>
      <c r="H209" s="1926"/>
      <c r="I209" s="1926"/>
      <c r="J209" s="1926"/>
      <c r="K209" s="1926"/>
      <c r="L209" s="1926"/>
      <c r="M209" s="1926"/>
      <c r="N209" s="1926"/>
      <c r="O209" s="1926"/>
      <c r="P209" s="1927"/>
      <c r="Q209" s="1927"/>
      <c r="R209" s="1927"/>
      <c r="S209" s="1927"/>
      <c r="T209" s="1927"/>
      <c r="U209" s="1928"/>
      <c r="V209" s="1928"/>
      <c r="W209" s="1928"/>
      <c r="X209" s="1928"/>
      <c r="Y209" s="1928"/>
      <c r="Z209" s="1928"/>
      <c r="AA209" s="1928"/>
      <c r="AB209" s="1928"/>
      <c r="AC209" s="1929" t="s">
        <v>1858</v>
      </c>
      <c r="AD209" s="1929"/>
      <c r="AE209" s="1929"/>
      <c r="AF209" s="1929"/>
      <c r="AG209" s="1913"/>
      <c r="AH209" s="1914"/>
      <c r="AI209" s="1914"/>
      <c r="AJ209" s="1914"/>
      <c r="AK209" s="191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4">
        <v>7</v>
      </c>
      <c r="D210" s="1925"/>
      <c r="E210" s="1925"/>
      <c r="F210" s="1925"/>
      <c r="G210" s="1926"/>
      <c r="H210" s="1926"/>
      <c r="I210" s="1926"/>
      <c r="J210" s="1926"/>
      <c r="K210" s="1926"/>
      <c r="L210" s="1926"/>
      <c r="M210" s="1926"/>
      <c r="N210" s="1926"/>
      <c r="O210" s="1926"/>
      <c r="P210" s="1927"/>
      <c r="Q210" s="1927"/>
      <c r="R210" s="1927"/>
      <c r="S210" s="1927"/>
      <c r="T210" s="1927"/>
      <c r="U210" s="1928"/>
      <c r="V210" s="1928"/>
      <c r="W210" s="1928"/>
      <c r="X210" s="1928"/>
      <c r="Y210" s="1928"/>
      <c r="Z210" s="1928"/>
      <c r="AA210" s="1928"/>
      <c r="AB210" s="1928"/>
      <c r="AC210" s="1929" t="s">
        <v>1858</v>
      </c>
      <c r="AD210" s="1929"/>
      <c r="AE210" s="1929"/>
      <c r="AF210" s="1929"/>
      <c r="AG210" s="1913"/>
      <c r="AH210" s="1914"/>
      <c r="AI210" s="1914"/>
      <c r="AJ210" s="1914"/>
      <c r="AK210" s="191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6" t="s">
        <v>2237</v>
      </c>
      <c r="D211" s="1917"/>
      <c r="E211" s="1917"/>
      <c r="F211" s="1917"/>
      <c r="G211" s="1917"/>
      <c r="H211" s="1917"/>
      <c r="I211" s="1917"/>
      <c r="J211" s="1917"/>
      <c r="K211" s="1917"/>
      <c r="L211" s="1917"/>
      <c r="M211" s="1917"/>
      <c r="N211" s="1917"/>
      <c r="O211" s="1917"/>
      <c r="P211" s="1918"/>
      <c r="Q211" s="1918"/>
      <c r="R211" s="1918"/>
      <c r="S211" s="1918"/>
      <c r="T211" s="1918"/>
      <c r="U211" s="1919">
        <f>-SUM(U204:U210)</f>
        <v>0</v>
      </c>
      <c r="V211" s="1919"/>
      <c r="W211" s="1919"/>
      <c r="X211" s="1919"/>
      <c r="Y211" s="1919">
        <f>-SUM(Y204:Y210)</f>
        <v>0</v>
      </c>
      <c r="Z211" s="1919"/>
      <c r="AA211" s="1919"/>
      <c r="AB211" s="1919"/>
      <c r="AC211" s="1920">
        <f>-SUM(AC204:AC210)</f>
        <v>0</v>
      </c>
      <c r="AD211" s="1920"/>
      <c r="AE211" s="1920"/>
      <c r="AF211" s="1920"/>
      <c r="AG211" s="1921"/>
      <c r="AH211" s="1922"/>
      <c r="AI211" s="1922"/>
      <c r="AJ211" s="1922"/>
      <c r="AK211" s="1923"/>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0" t="s">
        <v>2235</v>
      </c>
      <c r="C216" s="1901"/>
      <c r="D216" s="1901"/>
      <c r="E216" s="1901"/>
      <c r="F216" s="1901"/>
      <c r="G216" s="1901"/>
      <c r="H216" s="1901"/>
      <c r="I216" s="1901"/>
      <c r="J216" s="1901"/>
      <c r="K216" s="1901"/>
      <c r="L216" s="1901"/>
      <c r="M216" s="1901"/>
      <c r="N216" s="1901"/>
      <c r="O216" s="1901"/>
      <c r="P216" s="1901"/>
      <c r="Q216" s="1901"/>
      <c r="R216" s="1901"/>
      <c r="S216" s="1901"/>
      <c r="T216" s="1901"/>
      <c r="U216" s="1901"/>
      <c r="V216" s="1901"/>
      <c r="W216" s="1901"/>
      <c r="X216" s="1901"/>
      <c r="Y216" s="1901"/>
      <c r="Z216" s="1901"/>
      <c r="AA216" s="1901"/>
      <c r="AB216" s="1901"/>
      <c r="AC216" s="1901"/>
      <c r="AD216" s="1901"/>
      <c r="AE216" s="1901"/>
      <c r="AF216" s="1901"/>
      <c r="AG216" s="1901"/>
      <c r="AH216" s="1901"/>
      <c r="AI216" s="1901"/>
      <c r="AJ216" s="1901"/>
      <c r="AK216" s="1901"/>
      <c r="AL216" s="1901"/>
      <c r="AM216" s="1901"/>
      <c r="AN216" s="1901"/>
      <c r="AO216" s="1901"/>
      <c r="AP216" s="1901"/>
      <c r="AQ216" s="1901"/>
      <c r="AR216" s="1901"/>
      <c r="AS216" s="1901"/>
      <c r="AT216" s="1901"/>
      <c r="AU216" s="1901"/>
      <c r="AV216" s="1901"/>
      <c r="AW216" s="1901"/>
      <c r="AX216" s="1901"/>
      <c r="AY216" s="1901"/>
      <c r="AZ216" s="1901"/>
      <c r="BA216" s="1901"/>
      <c r="BB216" s="1901"/>
      <c r="BC216" s="1901"/>
      <c r="BD216" s="1902"/>
      <c r="BE216" s="1215"/>
    </row>
    <row r="217" spans="1:57" ht="15.75" customHeight="1">
      <c r="A217" s="1208"/>
      <c r="B217" s="1903"/>
      <c r="C217" s="1904"/>
      <c r="D217" s="1904"/>
      <c r="E217" s="1904"/>
      <c r="F217" s="1904"/>
      <c r="G217" s="1904"/>
      <c r="H217" s="1904"/>
      <c r="I217" s="1904"/>
      <c r="J217" s="1904"/>
      <c r="K217" s="1904"/>
      <c r="L217" s="1904"/>
      <c r="M217" s="1904"/>
      <c r="N217" s="1904"/>
      <c r="O217" s="1904"/>
      <c r="P217" s="1904"/>
      <c r="Q217" s="1904"/>
      <c r="R217" s="1904"/>
      <c r="S217" s="1904"/>
      <c r="T217" s="1904"/>
      <c r="U217" s="1904"/>
      <c r="V217" s="1904"/>
      <c r="W217" s="1904"/>
      <c r="X217" s="1904"/>
      <c r="Y217" s="1904"/>
      <c r="Z217" s="1904"/>
      <c r="AA217" s="1904"/>
      <c r="AB217" s="1904"/>
      <c r="AC217" s="1904"/>
      <c r="AD217" s="1904"/>
      <c r="AE217" s="1904"/>
      <c r="AF217" s="1904"/>
      <c r="AG217" s="1904"/>
      <c r="AH217" s="1904"/>
      <c r="AI217" s="1904"/>
      <c r="AJ217" s="1904"/>
      <c r="AK217" s="1904"/>
      <c r="AL217" s="1904"/>
      <c r="AM217" s="1904"/>
      <c r="AN217" s="1904"/>
      <c r="AO217" s="1904"/>
      <c r="AP217" s="1904"/>
      <c r="AQ217" s="1904"/>
      <c r="AR217" s="1904"/>
      <c r="AS217" s="1904"/>
      <c r="AT217" s="1904"/>
      <c r="AU217" s="1904"/>
      <c r="AV217" s="1904"/>
      <c r="AW217" s="1904"/>
      <c r="AX217" s="1904"/>
      <c r="AY217" s="1904"/>
      <c r="AZ217" s="1904"/>
      <c r="BA217" s="1904"/>
      <c r="BB217" s="1904"/>
      <c r="BC217" s="1904"/>
      <c r="BD217" s="1905"/>
      <c r="BE217" s="1215"/>
    </row>
    <row r="218" spans="1:57" ht="15.75" customHeight="1">
      <c r="A218" s="1208"/>
      <c r="B218" s="1906" t="s">
        <v>2234</v>
      </c>
      <c r="C218" s="1907"/>
      <c r="D218" s="1907"/>
      <c r="E218" s="1907"/>
      <c r="F218" s="1907"/>
      <c r="G218" s="1907"/>
      <c r="H218" s="1907"/>
      <c r="I218" s="1907"/>
      <c r="J218" s="1907"/>
      <c r="K218" s="1907"/>
      <c r="L218" s="1907"/>
      <c r="M218" s="1907"/>
      <c r="N218" s="1907"/>
      <c r="O218" s="1907"/>
      <c r="P218" s="1907"/>
      <c r="Q218" s="1907"/>
      <c r="R218" s="1907"/>
      <c r="S218" s="1907"/>
      <c r="T218" s="1907"/>
      <c r="U218" s="1907"/>
      <c r="V218" s="1907"/>
      <c r="W218" s="1907"/>
      <c r="X218" s="1907"/>
      <c r="Y218" s="1907"/>
      <c r="Z218" s="1907"/>
      <c r="AA218" s="1907"/>
      <c r="AB218" s="1907"/>
      <c r="AC218" s="1907"/>
      <c r="AD218" s="1907"/>
      <c r="AE218" s="1907"/>
      <c r="AF218" s="1907"/>
      <c r="AG218" s="1907"/>
      <c r="AH218" s="1907"/>
      <c r="AI218" s="1907"/>
      <c r="AJ218" s="1907"/>
      <c r="AK218" s="1907"/>
      <c r="AL218" s="1907"/>
      <c r="AM218" s="1907"/>
      <c r="AN218" s="1907"/>
      <c r="AO218" s="1907"/>
      <c r="AP218" s="1907"/>
      <c r="AQ218" s="1907"/>
      <c r="AR218" s="1907"/>
      <c r="AS218" s="1907"/>
      <c r="AT218" s="1907"/>
      <c r="AU218" s="1907"/>
      <c r="AV218" s="1907"/>
      <c r="AW218" s="1907"/>
      <c r="AX218" s="1907"/>
      <c r="AY218" s="1907"/>
      <c r="AZ218" s="1907"/>
      <c r="BA218" s="1907"/>
      <c r="BB218" s="1907"/>
      <c r="BC218" s="1907"/>
      <c r="BD218" s="1908"/>
      <c r="BE218" s="1215"/>
    </row>
    <row r="219" spans="1:57" ht="15.75" customHeight="1">
      <c r="A219" s="1208"/>
      <c r="B219" s="1906" t="s">
        <v>2233</v>
      </c>
      <c r="C219" s="1907"/>
      <c r="D219" s="1907"/>
      <c r="E219" s="1907"/>
      <c r="F219" s="1907"/>
      <c r="G219" s="1907"/>
      <c r="H219" s="1907"/>
      <c r="I219" s="1907"/>
      <c r="J219" s="1907"/>
      <c r="K219" s="1907"/>
      <c r="L219" s="1907"/>
      <c r="M219" s="1907"/>
      <c r="N219" s="1907"/>
      <c r="O219" s="1907"/>
      <c r="P219" s="1907"/>
      <c r="Q219" s="1907"/>
      <c r="R219" s="1907"/>
      <c r="S219" s="1907"/>
      <c r="T219" s="1907"/>
      <c r="U219" s="1907"/>
      <c r="V219" s="1907"/>
      <c r="W219" s="1907"/>
      <c r="X219" s="1907"/>
      <c r="Y219" s="1907"/>
      <c r="Z219" s="1907"/>
      <c r="AA219" s="1907"/>
      <c r="AB219" s="1907"/>
      <c r="AC219" s="1907"/>
      <c r="AD219" s="1907"/>
      <c r="AE219" s="1907"/>
      <c r="AF219" s="1907"/>
      <c r="AG219" s="1907"/>
      <c r="AH219" s="1907"/>
      <c r="AI219" s="1907"/>
      <c r="AJ219" s="1907"/>
      <c r="AK219" s="1907"/>
      <c r="AL219" s="1907"/>
      <c r="AM219" s="1907"/>
      <c r="AN219" s="1907"/>
      <c r="AO219" s="1907"/>
      <c r="AP219" s="1907"/>
      <c r="AQ219" s="1907"/>
      <c r="AR219" s="1907"/>
      <c r="AS219" s="1907"/>
      <c r="AT219" s="1907"/>
      <c r="AU219" s="1907"/>
      <c r="AV219" s="1907"/>
      <c r="AW219" s="1907"/>
      <c r="AX219" s="1907"/>
      <c r="AY219" s="1907"/>
      <c r="AZ219" s="1907"/>
      <c r="BA219" s="1907"/>
      <c r="BB219" s="1907"/>
      <c r="BC219" s="1907"/>
      <c r="BD219" s="1908"/>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9" t="s">
        <v>2232</v>
      </c>
      <c r="C221" s="1910"/>
      <c r="D221" s="1910"/>
      <c r="E221" s="1910"/>
      <c r="F221" s="1910"/>
      <c r="G221" s="1910"/>
      <c r="H221" s="1910"/>
      <c r="I221" s="1910"/>
      <c r="J221" s="1910"/>
      <c r="K221" s="1910"/>
      <c r="L221" s="1910"/>
      <c r="M221" s="1910"/>
      <c r="N221" s="1910"/>
      <c r="O221" s="1910"/>
      <c r="P221" s="1910"/>
      <c r="Q221" s="1910"/>
      <c r="R221" s="1910"/>
      <c r="S221" s="1910"/>
      <c r="T221" s="1910"/>
      <c r="U221" s="1910"/>
      <c r="V221" s="1910"/>
      <c r="W221" s="1910"/>
      <c r="X221" s="1910"/>
      <c r="Y221" s="1910"/>
      <c r="Z221" s="1910"/>
      <c r="AA221" s="1910"/>
      <c r="AB221" s="1910"/>
      <c r="AC221" s="1910"/>
      <c r="AD221" s="1910"/>
      <c r="AE221" s="1910"/>
      <c r="AF221" s="1910"/>
      <c r="AG221" s="1910"/>
      <c r="AH221" s="1910"/>
      <c r="AI221" s="1910"/>
      <c r="AJ221" s="1910"/>
      <c r="AK221" s="1910"/>
      <c r="AL221" s="1910"/>
      <c r="AM221" s="1910"/>
      <c r="AN221" s="1910"/>
      <c r="AO221" s="1910"/>
      <c r="AP221" s="1910"/>
      <c r="AQ221" s="1910"/>
      <c r="AR221" s="1910"/>
      <c r="AS221" s="1910"/>
      <c r="AT221" s="1910"/>
      <c r="AU221" s="1910"/>
      <c r="AV221" s="1910"/>
      <c r="AW221" s="1910"/>
      <c r="AX221" s="1910"/>
      <c r="AY221" s="1910"/>
      <c r="AZ221" s="1910"/>
      <c r="BA221" s="1910"/>
      <c r="BB221" s="1910"/>
      <c r="BC221" s="1910"/>
      <c r="BD221" s="191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2" t="s">
        <v>2230</v>
      </c>
      <c r="I225" s="1912"/>
      <c r="J225" s="1912"/>
      <c r="K225" s="1912"/>
      <c r="L225" s="1912"/>
      <c r="M225" s="1912"/>
      <c r="N225" s="1912"/>
      <c r="O225" s="1912"/>
      <c r="P225" s="1912"/>
      <c r="Q225" s="1912"/>
      <c r="R225" s="1912"/>
      <c r="S225" s="1912"/>
      <c r="T225" s="1912"/>
      <c r="U225" s="1912"/>
      <c r="V225" s="1912"/>
      <c r="W225" s="1912"/>
      <c r="X225" s="1912"/>
      <c r="Y225" s="1912"/>
      <c r="Z225" s="1912"/>
      <c r="AA225" s="1912"/>
      <c r="AB225" s="1912"/>
      <c r="AC225" s="1912"/>
      <c r="AD225" s="1912"/>
      <c r="AE225" s="1912"/>
      <c r="AF225" s="1912"/>
      <c r="AG225" s="1912"/>
      <c r="AH225" s="1912"/>
      <c r="AI225" s="1912"/>
      <c r="AJ225" s="1912"/>
      <c r="AK225" s="1912"/>
      <c r="AL225" s="1912"/>
      <c r="AM225" s="1912"/>
      <c r="AN225" s="1912"/>
      <c r="AO225" s="1912"/>
      <c r="AP225" s="1912"/>
      <c r="AQ225" s="1912"/>
      <c r="AR225" s="1912"/>
      <c r="AS225" s="1912"/>
      <c r="AT225" s="1912"/>
      <c r="AU225" s="1912"/>
      <c r="AV225" s="1912"/>
      <c r="AW225" s="1912"/>
      <c r="AX225" s="1912"/>
      <c r="AY225" s="191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5" t="s">
        <v>2229</v>
      </c>
      <c r="I227" s="1895"/>
      <c r="J227" s="1895"/>
      <c r="K227" s="1895"/>
      <c r="L227" s="1895"/>
      <c r="M227" s="1895"/>
      <c r="N227" s="1895"/>
      <c r="O227" s="1895"/>
      <c r="P227" s="1895"/>
      <c r="Q227" s="1895"/>
      <c r="R227" s="1895"/>
      <c r="S227" s="1895"/>
      <c r="T227" s="1895"/>
      <c r="U227" s="1895"/>
      <c r="V227" s="1895"/>
      <c r="W227" s="1895"/>
      <c r="X227" s="1895"/>
      <c r="Y227" s="1895"/>
      <c r="Z227" s="1895"/>
      <c r="AA227" s="1895"/>
      <c r="AB227" s="1895"/>
      <c r="AC227" s="1895"/>
      <c r="AD227" s="1895"/>
      <c r="AE227" s="1895"/>
      <c r="AF227" s="1895"/>
      <c r="AG227" s="1895"/>
      <c r="AH227" s="1895"/>
      <c r="AI227" s="1895"/>
      <c r="AJ227" s="1895"/>
      <c r="AK227" s="1895"/>
      <c r="AL227" s="1895"/>
      <c r="AM227" s="1895"/>
      <c r="AN227" s="1895"/>
      <c r="AO227" s="1895"/>
      <c r="AP227" s="1895"/>
      <c r="AQ227" s="1895"/>
      <c r="AR227" s="1895"/>
      <c r="AS227" s="1895"/>
      <c r="AT227" s="1895"/>
      <c r="AU227" s="1895"/>
      <c r="AV227" s="1895"/>
      <c r="AW227" s="1895"/>
      <c r="AX227" s="1895"/>
      <c r="AY227" s="1895"/>
      <c r="AZ227" s="1895"/>
      <c r="BA227" s="1208"/>
      <c r="BB227" s="1208"/>
      <c r="BC227" s="1208"/>
      <c r="BD227" s="1215"/>
      <c r="BE227" s="1215"/>
    </row>
    <row r="228" spans="1:57" ht="15.75" customHeight="1">
      <c r="A228" s="1208"/>
      <c r="B228" s="1207"/>
      <c r="C228" s="1208"/>
      <c r="D228" s="1208"/>
      <c r="E228" s="1208"/>
      <c r="F228" s="1208"/>
      <c r="G228" s="1208"/>
      <c r="H228" s="1895"/>
      <c r="I228" s="1895"/>
      <c r="J228" s="1895"/>
      <c r="K228" s="1895"/>
      <c r="L228" s="1895"/>
      <c r="M228" s="1895"/>
      <c r="N228" s="1895"/>
      <c r="O228" s="1895"/>
      <c r="P228" s="1895"/>
      <c r="Q228" s="1895"/>
      <c r="R228" s="1895"/>
      <c r="S228" s="1895"/>
      <c r="T228" s="1895"/>
      <c r="U228" s="1895"/>
      <c r="V228" s="1895"/>
      <c r="W228" s="1895"/>
      <c r="X228" s="1895"/>
      <c r="Y228" s="1895"/>
      <c r="Z228" s="1895"/>
      <c r="AA228" s="1895"/>
      <c r="AB228" s="1895"/>
      <c r="AC228" s="1895"/>
      <c r="AD228" s="1895"/>
      <c r="AE228" s="1895"/>
      <c r="AF228" s="1895"/>
      <c r="AG228" s="1895"/>
      <c r="AH228" s="1895"/>
      <c r="AI228" s="1895"/>
      <c r="AJ228" s="1895"/>
      <c r="AK228" s="1895"/>
      <c r="AL228" s="1895"/>
      <c r="AM228" s="1895"/>
      <c r="AN228" s="1895"/>
      <c r="AO228" s="1895"/>
      <c r="AP228" s="1895"/>
      <c r="AQ228" s="1895"/>
      <c r="AR228" s="1895"/>
      <c r="AS228" s="1895"/>
      <c r="AT228" s="1895"/>
      <c r="AU228" s="1895"/>
      <c r="AV228" s="1895"/>
      <c r="AW228" s="1895"/>
      <c r="AX228" s="1895"/>
      <c r="AY228" s="1895"/>
      <c r="AZ228" s="1895"/>
      <c r="BA228" s="1208"/>
      <c r="BB228" s="1208"/>
      <c r="BC228" s="1208"/>
      <c r="BD228" s="1215"/>
      <c r="BE228" s="1215"/>
    </row>
    <row r="229" spans="1:57" ht="15.75" customHeight="1">
      <c r="A229" s="1208"/>
      <c r="B229" s="1207"/>
      <c r="C229" s="1208"/>
      <c r="D229" s="1208"/>
      <c r="E229" s="1208"/>
      <c r="F229" s="1208"/>
      <c r="G229" s="1208"/>
      <c r="H229" s="1895"/>
      <c r="I229" s="1895"/>
      <c r="J229" s="1895"/>
      <c r="K229" s="1895"/>
      <c r="L229" s="1895"/>
      <c r="M229" s="1895"/>
      <c r="N229" s="1895"/>
      <c r="O229" s="1895"/>
      <c r="P229" s="1895"/>
      <c r="Q229" s="1895"/>
      <c r="R229" s="1895"/>
      <c r="S229" s="1895"/>
      <c r="T229" s="1895"/>
      <c r="U229" s="1895"/>
      <c r="V229" s="1895"/>
      <c r="W229" s="1895"/>
      <c r="X229" s="1895"/>
      <c r="Y229" s="1895"/>
      <c r="Z229" s="1895"/>
      <c r="AA229" s="1895"/>
      <c r="AB229" s="1895"/>
      <c r="AC229" s="1895"/>
      <c r="AD229" s="1895"/>
      <c r="AE229" s="1895"/>
      <c r="AF229" s="1895"/>
      <c r="AG229" s="1895"/>
      <c r="AH229" s="1895"/>
      <c r="AI229" s="1895"/>
      <c r="AJ229" s="1895"/>
      <c r="AK229" s="1895"/>
      <c r="AL229" s="1895"/>
      <c r="AM229" s="1895"/>
      <c r="AN229" s="1895"/>
      <c r="AO229" s="1895"/>
      <c r="AP229" s="1895"/>
      <c r="AQ229" s="1895"/>
      <c r="AR229" s="1895"/>
      <c r="AS229" s="1895"/>
      <c r="AT229" s="1895"/>
      <c r="AU229" s="1895"/>
      <c r="AV229" s="1895"/>
      <c r="AW229" s="1895"/>
      <c r="AX229" s="1895"/>
      <c r="AY229" s="1895"/>
      <c r="AZ229" s="1895"/>
      <c r="BA229" s="1208"/>
      <c r="BB229" s="1208"/>
      <c r="BC229" s="1208"/>
      <c r="BD229" s="1215"/>
      <c r="BE229" s="1215"/>
    </row>
    <row r="230" spans="1:57" ht="15.75" customHeight="1">
      <c r="A230" s="1208"/>
      <c r="B230" s="1207"/>
      <c r="C230" s="1208"/>
      <c r="D230" s="1208"/>
      <c r="E230" s="1208"/>
      <c r="F230" s="1208"/>
      <c r="G230" s="1208"/>
      <c r="H230" s="1895"/>
      <c r="I230" s="1895"/>
      <c r="J230" s="1895"/>
      <c r="K230" s="1895"/>
      <c r="L230" s="1895"/>
      <c r="M230" s="1895"/>
      <c r="N230" s="1895"/>
      <c r="O230" s="1895"/>
      <c r="P230" s="1895"/>
      <c r="Q230" s="1895"/>
      <c r="R230" s="1895"/>
      <c r="S230" s="1895"/>
      <c r="T230" s="1895"/>
      <c r="U230" s="1895"/>
      <c r="V230" s="1895"/>
      <c r="W230" s="1895"/>
      <c r="X230" s="1895"/>
      <c r="Y230" s="1895"/>
      <c r="Z230" s="1895"/>
      <c r="AA230" s="1895"/>
      <c r="AB230" s="1895"/>
      <c r="AC230" s="1895"/>
      <c r="AD230" s="1895"/>
      <c r="AE230" s="1895"/>
      <c r="AF230" s="1895"/>
      <c r="AG230" s="1895"/>
      <c r="AH230" s="1895"/>
      <c r="AI230" s="1895"/>
      <c r="AJ230" s="1895"/>
      <c r="AK230" s="1895"/>
      <c r="AL230" s="1895"/>
      <c r="AM230" s="1895"/>
      <c r="AN230" s="1895"/>
      <c r="AO230" s="1895"/>
      <c r="AP230" s="1895"/>
      <c r="AQ230" s="1895"/>
      <c r="AR230" s="1895"/>
      <c r="AS230" s="1895"/>
      <c r="AT230" s="1895"/>
      <c r="AU230" s="1895"/>
      <c r="AV230" s="1895"/>
      <c r="AW230" s="1895"/>
      <c r="AX230" s="1895"/>
      <c r="AY230" s="1895"/>
      <c r="AZ230" s="189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6" t="s">
        <v>2228</v>
      </c>
      <c r="I232" s="1896"/>
      <c r="J232" s="1896"/>
      <c r="K232" s="1896"/>
      <c r="L232" s="1896"/>
      <c r="M232" s="1896"/>
      <c r="N232" s="1896"/>
      <c r="O232" s="1896"/>
      <c r="P232" s="1896"/>
      <c r="Q232" s="1896"/>
      <c r="R232" s="1896"/>
      <c r="S232" s="1896"/>
      <c r="T232" s="1896"/>
      <c r="U232" s="1896"/>
      <c r="V232" s="1896"/>
      <c r="W232" s="1896"/>
      <c r="X232" s="1896"/>
      <c r="Y232" s="1896"/>
      <c r="Z232" s="1896"/>
      <c r="AA232" s="1896"/>
      <c r="AB232" s="1896"/>
      <c r="AC232" s="1896"/>
      <c r="AD232" s="1896"/>
      <c r="AE232" s="1896"/>
      <c r="AF232" s="1896"/>
      <c r="AG232" s="1896"/>
      <c r="AH232" s="1896"/>
      <c r="AI232" s="1896"/>
      <c r="AJ232" s="1896"/>
      <c r="AK232" s="1896"/>
      <c r="AL232" s="1896"/>
      <c r="AM232" s="1896"/>
      <c r="AN232" s="1896"/>
      <c r="AO232" s="1896"/>
      <c r="AP232" s="1896"/>
      <c r="AQ232" s="1896"/>
      <c r="AR232" s="1896"/>
      <c r="AS232" s="1896"/>
      <c r="AT232" s="1896"/>
      <c r="AU232" s="1896"/>
      <c r="AV232" s="189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6" t="s">
        <v>2227</v>
      </c>
      <c r="I234" s="1886"/>
      <c r="J234" s="1886"/>
      <c r="K234" s="1886"/>
      <c r="L234" s="1259"/>
      <c r="M234" s="1259"/>
      <c r="N234" s="1259"/>
      <c r="O234" s="1259"/>
      <c r="P234" s="1259"/>
      <c r="Q234" s="1259"/>
      <c r="R234" s="1259"/>
      <c r="S234" s="1897"/>
      <c r="T234" s="1898"/>
      <c r="U234" s="1898"/>
      <c r="V234" s="1898"/>
      <c r="W234" s="1898"/>
      <c r="X234" s="1898"/>
      <c r="Y234" s="1898"/>
      <c r="Z234" s="1898"/>
      <c r="AA234" s="1898"/>
      <c r="AB234" s="1898"/>
      <c r="AC234" s="1898"/>
      <c r="AD234" s="1898"/>
      <c r="AE234" s="1898"/>
      <c r="AF234" s="1898"/>
      <c r="AG234" s="1898"/>
      <c r="AH234" s="1898"/>
      <c r="AI234" s="1898"/>
      <c r="AJ234" s="189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6" t="s">
        <v>2226</v>
      </c>
      <c r="I236" s="1886"/>
      <c r="J236" s="1886"/>
      <c r="K236" s="1261"/>
      <c r="L236" s="1259"/>
      <c r="M236" s="1259"/>
      <c r="N236" s="1259"/>
      <c r="O236" s="1259"/>
      <c r="P236" s="1259"/>
      <c r="Q236" s="1259"/>
      <c r="R236" s="1259"/>
      <c r="S236" s="1887"/>
      <c r="T236" s="1888"/>
      <c r="U236" s="1888"/>
      <c r="V236" s="1888"/>
      <c r="W236" s="1888"/>
      <c r="X236" s="1888"/>
      <c r="Y236" s="1888"/>
      <c r="Z236" s="1888"/>
      <c r="AA236" s="1888"/>
      <c r="AB236" s="1888"/>
      <c r="AC236" s="1888"/>
      <c r="AD236" s="1888"/>
      <c r="AE236" s="1888"/>
      <c r="AF236" s="1888"/>
      <c r="AG236" s="1888"/>
      <c r="AH236" s="1888"/>
      <c r="AI236" s="1888"/>
      <c r="AJ236" s="188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6" t="s">
        <v>440</v>
      </c>
      <c r="I238" s="1886"/>
      <c r="J238" s="1261"/>
      <c r="K238" s="1261"/>
      <c r="L238" s="1259"/>
      <c r="M238" s="1259"/>
      <c r="N238" s="1259"/>
      <c r="O238" s="1259"/>
      <c r="P238" s="1259"/>
      <c r="Q238" s="1259"/>
      <c r="R238" s="1259"/>
      <c r="S238" s="1887"/>
      <c r="T238" s="1888"/>
      <c r="U238" s="1888"/>
      <c r="V238" s="1888"/>
      <c r="W238" s="1888"/>
      <c r="X238" s="1888"/>
      <c r="Y238" s="1888"/>
      <c r="Z238" s="1888"/>
      <c r="AA238" s="1888"/>
      <c r="AB238" s="1888"/>
      <c r="AC238" s="1888"/>
      <c r="AD238" s="1888"/>
      <c r="AE238" s="1888"/>
      <c r="AF238" s="1888"/>
      <c r="AG238" s="1888"/>
      <c r="AH238" s="1888"/>
      <c r="AI238" s="1888"/>
      <c r="AJ238" s="188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0" t="s">
        <v>2225</v>
      </c>
      <c r="I240" s="1890"/>
      <c r="J240" s="1890"/>
      <c r="K240" s="1890"/>
      <c r="L240" s="1890"/>
      <c r="M240" s="1890"/>
      <c r="N240" s="1890"/>
      <c r="O240" s="1890"/>
      <c r="P240" s="1259"/>
      <c r="Q240" s="1259"/>
      <c r="R240" s="1259"/>
      <c r="S240" s="1887"/>
      <c r="T240" s="1888"/>
      <c r="U240" s="1888"/>
      <c r="V240" s="1888"/>
      <c r="W240" s="1888"/>
      <c r="X240" s="1888"/>
      <c r="Y240" s="1888"/>
      <c r="Z240" s="1888"/>
      <c r="AA240" s="1888"/>
      <c r="AB240" s="1888"/>
      <c r="AC240" s="1888"/>
      <c r="AD240" s="1888"/>
      <c r="AE240" s="1888"/>
      <c r="AF240" s="1888"/>
      <c r="AG240" s="1888"/>
      <c r="AH240" s="1888"/>
      <c r="AI240" s="1888"/>
      <c r="AJ240" s="188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1" t="s">
        <v>2224</v>
      </c>
      <c r="I242" s="1891"/>
      <c r="J242" s="1259"/>
      <c r="K242" s="1259"/>
      <c r="L242" s="1259"/>
      <c r="M242" s="1259"/>
      <c r="N242" s="1259"/>
      <c r="O242" s="1259"/>
      <c r="P242" s="1259"/>
      <c r="Q242" s="1259"/>
      <c r="R242" s="1259"/>
      <c r="S242" s="1892"/>
      <c r="T242" s="1893"/>
      <c r="U242" s="1893"/>
      <c r="V242" s="1893"/>
      <c r="W242" s="1893"/>
      <c r="X242" s="1893"/>
      <c r="Y242" s="1893"/>
      <c r="Z242" s="1893"/>
      <c r="AA242" s="1893"/>
      <c r="AB242" s="1893"/>
      <c r="AC242" s="1893"/>
      <c r="AD242" s="1893"/>
      <c r="AE242" s="1893"/>
      <c r="AF242" s="1893"/>
      <c r="AG242" s="1893"/>
      <c r="AH242" s="1893"/>
      <c r="AI242" s="1893"/>
      <c r="AJ242" s="189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60" t="s">
        <v>1279</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2.9"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362" t="str">
        <f xml:space="preserve"> IF(T25=100%,'Sources and Basis Breakdown'!G2,'Sources and Basis Breakdown'!F2)</f>
        <v>30% PVC for New Const/
Rehabilitation
DDA/QCT
Building(s)</v>
      </c>
      <c r="U7" s="2362"/>
      <c r="V7" s="2362"/>
      <c r="W7" s="2362"/>
      <c r="X7" s="2362"/>
      <c r="Y7" s="2362" t="str">
        <f>IF(T25=100%,"",'Sources and Basis Breakdown'!G2)</f>
        <v>30% PVC for New Const/
Rehabilitation
NON-DDA/
NON-QCT Building(s)</v>
      </c>
      <c r="Z7" s="2362"/>
      <c r="AA7" s="2362"/>
      <c r="AB7" s="2362"/>
      <c r="AC7" s="2362"/>
      <c r="AD7" s="2362" t="str">
        <f xml:space="preserve"> IF(T25=100%, 'Sources and Basis Breakdown'!J2,'Sources and Basis Breakdown'!I2)</f>
        <v>30% PVC for Acquisition
DDA/QCT Building(s)</v>
      </c>
      <c r="AE7" s="2362"/>
      <c r="AF7" s="2362"/>
      <c r="AG7" s="2362"/>
      <c r="AH7" s="2362"/>
      <c r="AI7" s="2362" t="str">
        <f>IF(T25=100%,"",'Sources and Basis Breakdown'!J2)</f>
        <v>30% PVC for Acquisition
NON-DDA/
NON-QCT Building(s)</v>
      </c>
      <c r="AJ7" s="2362"/>
      <c r="AK7" s="2362"/>
      <c r="AL7" s="2362"/>
      <c r="AM7" s="2362"/>
    </row>
    <row r="8" spans="1:40" ht="12.9" customHeight="1">
      <c r="B8" s="407"/>
      <c r="T8" s="2362"/>
      <c r="U8" s="2362"/>
      <c r="V8" s="2362"/>
      <c r="W8" s="2362"/>
      <c r="X8" s="2362"/>
      <c r="Y8" s="2362"/>
      <c r="Z8" s="2362"/>
      <c r="AA8" s="2362"/>
      <c r="AB8" s="2362"/>
      <c r="AC8" s="2362"/>
      <c r="AD8" s="2362"/>
      <c r="AE8" s="2362"/>
      <c r="AF8" s="2362"/>
      <c r="AG8" s="2362"/>
      <c r="AH8" s="2362"/>
      <c r="AI8" s="2362"/>
      <c r="AJ8" s="2362"/>
      <c r="AK8" s="2362"/>
      <c r="AL8" s="2362"/>
      <c r="AM8" s="2362"/>
    </row>
    <row r="9" spans="1:40" ht="12.9" customHeight="1">
      <c r="B9" s="407"/>
      <c r="T9" s="2362"/>
      <c r="U9" s="2362"/>
      <c r="V9" s="2362"/>
      <c r="W9" s="2362"/>
      <c r="X9" s="2362"/>
      <c r="Y9" s="2362"/>
      <c r="Z9" s="2362"/>
      <c r="AA9" s="2362"/>
      <c r="AB9" s="2362"/>
      <c r="AC9" s="2362"/>
      <c r="AD9" s="2362"/>
      <c r="AE9" s="2362"/>
      <c r="AF9" s="2362"/>
      <c r="AG9" s="2362"/>
      <c r="AH9" s="2362"/>
      <c r="AI9" s="2362"/>
      <c r="AJ9" s="2362"/>
      <c r="AK9" s="2362"/>
      <c r="AL9" s="2362"/>
      <c r="AM9" s="2362"/>
    </row>
    <row r="10" spans="1:40" ht="12.9" customHeight="1">
      <c r="B10" s="408"/>
      <c r="C10" s="409"/>
      <c r="D10" s="409"/>
      <c r="E10" s="409"/>
      <c r="F10" s="409"/>
      <c r="G10" s="409"/>
      <c r="H10" s="409"/>
      <c r="I10" s="409"/>
      <c r="J10" s="409"/>
      <c r="K10" s="409"/>
      <c r="L10" s="409"/>
      <c r="M10" s="409"/>
      <c r="N10" s="409"/>
      <c r="O10" s="409"/>
      <c r="P10" s="409"/>
      <c r="Q10" s="409"/>
      <c r="R10" s="409"/>
      <c r="S10" s="409"/>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2.9" customHeight="1">
      <c r="B11" s="2341" t="s">
        <v>374</v>
      </c>
      <c r="C11" s="2342"/>
      <c r="D11" s="2342"/>
      <c r="E11" s="2342"/>
      <c r="F11" s="2342"/>
      <c r="G11" s="2342"/>
      <c r="H11" s="2342"/>
      <c r="I11" s="2342"/>
      <c r="J11" s="2342"/>
      <c r="K11" s="2342"/>
      <c r="L11" s="2342"/>
      <c r="M11" s="2342"/>
      <c r="N11" s="2342"/>
      <c r="O11" s="2342"/>
      <c r="P11" s="2342"/>
      <c r="Q11" s="2342"/>
      <c r="R11" s="2342"/>
      <c r="S11" s="2343"/>
      <c r="T11" s="2363">
        <f>IF('Sources and Basis Breakdown'!F107=0,'Sources and Basis Breakdown'!E107,'Sources and Basis Breakdown'!F107)</f>
        <v>178608949</v>
      </c>
      <c r="U11" s="2364"/>
      <c r="V11" s="2364"/>
      <c r="W11" s="2364"/>
      <c r="X11" s="2364"/>
      <c r="Y11" s="2363">
        <f>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0</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2.9" customHeight="1">
      <c r="B12" s="2356" t="s">
        <v>496</v>
      </c>
      <c r="C12" s="1293"/>
      <c r="D12" s="1293"/>
      <c r="E12" s="1293"/>
      <c r="F12" s="1293"/>
      <c r="G12" s="1293"/>
      <c r="H12" s="1293"/>
      <c r="I12" s="1293"/>
      <c r="J12" s="1293"/>
      <c r="K12" s="1293"/>
      <c r="L12" s="1293"/>
      <c r="M12" s="1293"/>
      <c r="N12" s="1293"/>
      <c r="O12" s="1293"/>
      <c r="P12" s="1293"/>
      <c r="Q12" s="1293"/>
      <c r="R12" s="1293"/>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2.9" customHeight="1">
      <c r="B13" s="435"/>
      <c r="C13" s="2358" t="s">
        <v>497</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2.9" customHeight="1">
      <c r="B14" s="435"/>
      <c r="C14" s="2358" t="s">
        <v>498</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2.9" customHeight="1">
      <c r="B15" s="435"/>
      <c r="C15" s="2358" t="s">
        <v>499</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2.9" customHeight="1">
      <c r="B16" s="435"/>
      <c r="C16" s="2358" t="s">
        <v>804</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2.9" customHeight="1">
      <c r="B17" s="435"/>
      <c r="C17" s="2358" t="s">
        <v>500</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2.9" customHeight="1">
      <c r="A18"/>
      <c r="B18" s="1144"/>
      <c r="C18" s="1822" t="s">
        <v>959</v>
      </c>
      <c r="D18" s="1822"/>
      <c r="E18" s="1822"/>
      <c r="F18" s="1822"/>
      <c r="G18" s="1822"/>
      <c r="H18" s="1822"/>
      <c r="I18" s="1822"/>
      <c r="J18" s="1822"/>
      <c r="K18" s="1822"/>
      <c r="L18" s="1822"/>
      <c r="M18" s="1822"/>
      <c r="N18" s="1822"/>
      <c r="O18" s="1822"/>
      <c r="P18" s="1822"/>
      <c r="Q18" s="1822"/>
      <c r="R18" s="1822"/>
      <c r="S18" s="1823"/>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2.9" customHeight="1">
      <c r="B19" s="1144"/>
      <c r="C19" s="1822" t="s">
        <v>959</v>
      </c>
      <c r="D19" s="1822"/>
      <c r="E19" s="1822"/>
      <c r="F19" s="1822"/>
      <c r="G19" s="1822"/>
      <c r="H19" s="1822"/>
      <c r="I19" s="1822"/>
      <c r="J19" s="1822"/>
      <c r="K19" s="1822"/>
      <c r="L19" s="1822"/>
      <c r="M19" s="1822"/>
      <c r="N19" s="1822"/>
      <c r="O19" s="1822"/>
      <c r="P19" s="1822"/>
      <c r="Q19" s="1822"/>
      <c r="R19" s="1822"/>
      <c r="S19" s="1823"/>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2.9" customHeight="1">
      <c r="B20" s="2341" t="s">
        <v>501</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2.9" customHeight="1">
      <c r="B21" s="2341" t="s">
        <v>1262</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2.9" customHeight="1">
      <c r="B22" s="2341" t="s">
        <v>502</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2.9" customHeight="1">
      <c r="B23" s="2341" t="s">
        <v>503</v>
      </c>
      <c r="C23" s="2342"/>
      <c r="D23" s="2342"/>
      <c r="E23" s="2342"/>
      <c r="F23" s="2342"/>
      <c r="G23" s="2342"/>
      <c r="H23" s="2342"/>
      <c r="I23" s="2342"/>
      <c r="J23" s="2342"/>
      <c r="K23" s="2342"/>
      <c r="L23" s="2342"/>
      <c r="M23" s="2342"/>
      <c r="N23" s="2342"/>
      <c r="O23" s="2342"/>
      <c r="P23" s="2342"/>
      <c r="Q23" s="2342"/>
      <c r="R23" s="2342"/>
      <c r="S23" s="2343"/>
      <c r="T23" s="2334">
        <f>T11+T22</f>
        <v>178608949</v>
      </c>
      <c r="U23" s="2335"/>
      <c r="V23" s="2335"/>
      <c r="W23" s="2335"/>
      <c r="X23" s="2335"/>
      <c r="Y23" s="2334">
        <f>Y11+Y22</f>
        <v>0</v>
      </c>
      <c r="Z23" s="2335"/>
      <c r="AA23" s="2335"/>
      <c r="AB23" s="2335"/>
      <c r="AC23" s="2335"/>
      <c r="AD23" s="2334">
        <f>AD11+AD22</f>
        <v>0</v>
      </c>
      <c r="AE23" s="2335"/>
      <c r="AF23" s="2335"/>
      <c r="AG23" s="2335"/>
      <c r="AH23" s="2335"/>
      <c r="AI23" s="2334">
        <f>AI11+AI22</f>
        <v>0</v>
      </c>
      <c r="AJ23" s="2335"/>
      <c r="AK23" s="2335"/>
      <c r="AL23" s="2335"/>
      <c r="AM23" s="2335"/>
    </row>
    <row r="24" spans="1:40" ht="12.9" customHeight="1">
      <c r="B24" s="2341" t="s">
        <v>960</v>
      </c>
      <c r="C24" s="2342"/>
      <c r="D24" s="2342"/>
      <c r="E24" s="2342"/>
      <c r="F24" s="2342"/>
      <c r="G24" s="2342"/>
      <c r="H24" s="2342"/>
      <c r="I24" s="2342"/>
      <c r="J24" s="2342"/>
      <c r="K24" s="2342"/>
      <c r="L24" s="2342"/>
      <c r="M24" s="2342"/>
      <c r="N24" s="2342"/>
      <c r="O24" s="2342"/>
      <c r="P24" s="2342"/>
      <c r="Q24" s="2342"/>
      <c r="R24" s="2342"/>
      <c r="S24" s="2343"/>
      <c r="T24" s="2336">
        <f>Application!AJ1062</f>
        <v>317280096.19999999</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2.9" customHeight="1">
      <c r="B25" s="2345" t="s">
        <v>1263</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 customHeight="1">
      <c r="B26" s="2341" t="s">
        <v>504</v>
      </c>
      <c r="C26" s="2342"/>
      <c r="D26" s="2342"/>
      <c r="E26" s="2342"/>
      <c r="F26" s="2342"/>
      <c r="G26" s="2342"/>
      <c r="H26" s="2342"/>
      <c r="I26" s="2342"/>
      <c r="J26" s="2342"/>
      <c r="K26" s="2342"/>
      <c r="L26" s="2342"/>
      <c r="M26" s="2342"/>
      <c r="N26" s="2342"/>
      <c r="O26" s="2342"/>
      <c r="P26" s="2342"/>
      <c r="Q26" s="2342"/>
      <c r="R26" s="2342"/>
      <c r="S26" s="2343"/>
      <c r="T26" s="2334">
        <f>T23*T25</f>
        <v>232191633.70000002</v>
      </c>
      <c r="U26" s="2335"/>
      <c r="V26" s="2335"/>
      <c r="W26" s="2335"/>
      <c r="X26" s="2335"/>
      <c r="Y26" s="2334">
        <f>Y23*Y25</f>
        <v>0</v>
      </c>
      <c r="Z26" s="2335"/>
      <c r="AA26" s="2335"/>
      <c r="AB26" s="2335"/>
      <c r="AC26" s="2335"/>
      <c r="AD26" s="2334">
        <f>AD23*AD25</f>
        <v>0</v>
      </c>
      <c r="AE26" s="2335"/>
      <c r="AF26" s="2335"/>
      <c r="AG26" s="2335"/>
      <c r="AH26" s="2335"/>
      <c r="AI26" s="2334">
        <f>AI23*AI25</f>
        <v>0</v>
      </c>
      <c r="AJ26" s="2335"/>
      <c r="AK26" s="2335"/>
      <c r="AL26" s="2335"/>
      <c r="AM26" s="2335"/>
    </row>
    <row r="27" spans="1:40" ht="12.9" customHeight="1">
      <c r="A27" s="410"/>
      <c r="B27" s="2348" t="s">
        <v>425</v>
      </c>
      <c r="C27" s="2349"/>
      <c r="D27" s="2349"/>
      <c r="E27" s="2349"/>
      <c r="F27" s="2349"/>
      <c r="G27" s="2349"/>
      <c r="H27" s="2349"/>
      <c r="I27" s="2349"/>
      <c r="J27" s="2349"/>
      <c r="K27" s="2349"/>
      <c r="L27" s="2349"/>
      <c r="M27" s="2349"/>
      <c r="N27" s="2349"/>
      <c r="O27" s="2349"/>
      <c r="P27" s="2349"/>
      <c r="Q27" s="2349"/>
      <c r="R27" s="2349"/>
      <c r="S27" s="2350"/>
      <c r="T27" s="2354">
        <f>Application!$AG$454</f>
        <v>1</v>
      </c>
      <c r="U27" s="2355"/>
      <c r="V27" s="2355"/>
      <c r="W27" s="2355"/>
      <c r="X27" s="2355"/>
      <c r="Y27" s="2354">
        <f>Application!$AG$454</f>
        <v>1</v>
      </c>
      <c r="Z27" s="2355"/>
      <c r="AA27" s="2355"/>
      <c r="AB27" s="2355"/>
      <c r="AC27" s="2355"/>
      <c r="AD27" s="2354">
        <f>Application!$AG$454</f>
        <v>1</v>
      </c>
      <c r="AE27" s="2355"/>
      <c r="AF27" s="2355"/>
      <c r="AG27" s="2355"/>
      <c r="AH27" s="2355"/>
      <c r="AI27" s="2354">
        <f>Application!$AG$454</f>
        <v>1</v>
      </c>
      <c r="AJ27" s="2355"/>
      <c r="AK27" s="2355"/>
      <c r="AL27" s="2355"/>
      <c r="AM27" s="2355"/>
    </row>
    <row r="28" spans="1:40" ht="12.9" customHeight="1">
      <c r="A28" s="404"/>
      <c r="B28" s="2341" t="s">
        <v>505</v>
      </c>
      <c r="C28" s="2342"/>
      <c r="D28" s="2342"/>
      <c r="E28" s="2342"/>
      <c r="F28" s="2342"/>
      <c r="G28" s="2342"/>
      <c r="H28" s="2342"/>
      <c r="I28" s="2342"/>
      <c r="J28" s="2342"/>
      <c r="K28" s="2342"/>
      <c r="L28" s="2342"/>
      <c r="M28" s="2342"/>
      <c r="N28" s="2342"/>
      <c r="O28" s="2342"/>
      <c r="P28" s="2342"/>
      <c r="Q28" s="2342"/>
      <c r="R28" s="2342"/>
      <c r="S28" s="2343"/>
      <c r="T28" s="2334">
        <f>IF(ISERROR((T26*T27)),0,(T26*T27))</f>
        <v>232191633.70000002</v>
      </c>
      <c r="U28" s="2335"/>
      <c r="V28" s="2335"/>
      <c r="W28" s="2335"/>
      <c r="X28" s="2335"/>
      <c r="Y28" s="2334">
        <f>IF(ISERROR((Y26*Y27)),0,(Y26*Y27))</f>
        <v>0</v>
      </c>
      <c r="Z28" s="2335"/>
      <c r="AA28" s="2335"/>
      <c r="AB28" s="2335"/>
      <c r="AC28" s="2335"/>
      <c r="AD28" s="2334">
        <f>IF(ISERROR((AD26*AD27)),0,(AD26*AD27))</f>
        <v>0</v>
      </c>
      <c r="AE28" s="2335"/>
      <c r="AF28" s="2335"/>
      <c r="AG28" s="2335"/>
      <c r="AH28" s="2335"/>
      <c r="AI28" s="2334">
        <f>IF(ISERROR((AI26*AI27)),0,(AI26*AI27))</f>
        <v>0</v>
      </c>
      <c r="AJ28" s="2335"/>
      <c r="AK28" s="2335"/>
      <c r="AL28" s="2335"/>
      <c r="AM28" s="2335"/>
    </row>
    <row r="29" spans="1:40" ht="12.9" customHeight="1">
      <c r="B29" s="2341" t="s">
        <v>522</v>
      </c>
      <c r="C29" s="2342"/>
      <c r="D29" s="2342"/>
      <c r="E29" s="2342"/>
      <c r="F29" s="2342"/>
      <c r="G29" s="2342"/>
      <c r="H29" s="2342"/>
      <c r="I29" s="2342"/>
      <c r="J29" s="2342"/>
      <c r="K29" s="2342"/>
      <c r="L29" s="2342"/>
      <c r="M29" s="2342"/>
      <c r="N29" s="2342"/>
      <c r="O29" s="2342"/>
      <c r="P29" s="2342"/>
      <c r="Q29" s="2342"/>
      <c r="R29" s="2342"/>
      <c r="S29" s="2343"/>
      <c r="T29" s="2336">
        <f>T28+Y28+AD28+AI28</f>
        <v>232191633.70000002</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2.9" customHeight="1">
      <c r="B30" s="2344" t="s">
        <v>1265</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2.9" customHeight="1">
      <c r="B31" s="2344" t="s">
        <v>1264</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2" t="s">
        <v>1153</v>
      </c>
      <c r="Z35" s="2362"/>
      <c r="AA35" s="2362"/>
      <c r="AB35" s="2362"/>
      <c r="AC35" s="2362"/>
      <c r="AD35" s="2382" t="s">
        <v>368</v>
      </c>
      <c r="AE35" s="2382"/>
      <c r="AF35" s="2382"/>
      <c r="AG35" s="2382"/>
      <c r="AH35" s="2382"/>
    </row>
    <row r="36" spans="1:76" ht="12.9" customHeight="1">
      <c r="B36" s="407"/>
      <c r="X36" s="412"/>
      <c r="Y36" s="2362"/>
      <c r="Z36" s="2362"/>
      <c r="AA36" s="2362"/>
      <c r="AB36" s="2362"/>
      <c r="AC36" s="2362"/>
      <c r="AD36" s="2382"/>
      <c r="AE36" s="2382"/>
      <c r="AF36" s="2382"/>
      <c r="AG36" s="2382"/>
      <c r="AH36" s="2382"/>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2"/>
      <c r="Z37" s="2362"/>
      <c r="AA37" s="2362"/>
      <c r="AB37" s="2362"/>
      <c r="AC37" s="2362"/>
      <c r="AD37" s="2382"/>
      <c r="AE37" s="2382"/>
      <c r="AF37" s="2382"/>
      <c r="AG37" s="2382"/>
      <c r="AH37" s="2382"/>
    </row>
    <row r="38" spans="1:76" ht="12.9" customHeight="1">
      <c r="A38" s="404"/>
      <c r="B38" s="2341" t="s">
        <v>505</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232191633.70000002</v>
      </c>
      <c r="Z38" s="2335"/>
      <c r="AA38" s="2335"/>
      <c r="AB38" s="2335"/>
      <c r="AC38" s="2335"/>
      <c r="AD38" s="2335">
        <f>IF(T24&gt;=(T23+Y23+AD23+AI23),AD28+AI28,0)</f>
        <v>0</v>
      </c>
      <c r="AE38" s="2335"/>
      <c r="AF38" s="2335"/>
      <c r="AG38" s="2335"/>
      <c r="AH38" s="2335"/>
    </row>
    <row r="39" spans="1:76" ht="12.9" customHeight="1">
      <c r="B39" s="2341" t="s">
        <v>1679</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2.9" customHeight="1">
      <c r="A40" s="404"/>
      <c r="B40" s="2341" t="s">
        <v>641</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9287665</v>
      </c>
      <c r="Z40" s="2335"/>
      <c r="AA40" s="2335"/>
      <c r="AB40" s="2335"/>
      <c r="AC40" s="2335"/>
      <c r="AD40" s="2334">
        <f>ROUND(AD38*AD39,0)</f>
        <v>0</v>
      </c>
      <c r="AE40" s="2335"/>
      <c r="AF40" s="2335"/>
      <c r="AG40" s="2335"/>
      <c r="AH40" s="2335"/>
    </row>
    <row r="41" spans="1:76" ht="12.9" customHeight="1">
      <c r="B41" s="2341" t="s">
        <v>642</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Y40+AD40</f>
        <v>9287665</v>
      </c>
      <c r="Z41" s="2337"/>
      <c r="AA41" s="2337"/>
      <c r="AB41" s="2337"/>
      <c r="AC41" s="2337"/>
      <c r="AD41" s="2337"/>
      <c r="AE41" s="2337"/>
      <c r="AF41" s="2337"/>
      <c r="AG41" s="2337"/>
      <c r="AH41" s="2334"/>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9" t="s">
        <v>1275</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4" customFormat="1" ht="12.9" customHeight="1" thickTop="1"/>
    <row r="46" spans="1:76" ht="12.9" customHeight="1">
      <c r="A46" s="404" t="s">
        <v>585</v>
      </c>
      <c r="C46" s="404" t="s">
        <v>281</v>
      </c>
    </row>
    <row r="47" spans="1:76" ht="12.9" customHeight="1">
      <c r="D47" s="404" t="s">
        <v>282</v>
      </c>
      <c r="AB47" s="2351">
        <f>'Sources and Uses Budget'!B105-MAX(IF('Sources and Uses Budget'!B15="",0,'Sources and Uses Budget'!B15),IF(Application!AG403="",0,Application!AG403))</f>
        <v>200035551</v>
      </c>
      <c r="AC47" s="2352"/>
      <c r="AD47" s="2352"/>
      <c r="AE47" s="2352"/>
      <c r="AF47" s="2353"/>
    </row>
    <row r="48" spans="1:76" ht="12.9" customHeight="1">
      <c r="D48" s="404" t="s">
        <v>21</v>
      </c>
      <c r="AB48" s="2351">
        <f>Application!AO647-MAX(IF('Sources and Uses Budget'!B15="",0,'Sources and Uses Budget'!B15),IF(Application!AG403="",0,Application!AG403))</f>
        <v>124136696</v>
      </c>
      <c r="AC48" s="2352"/>
      <c r="AD48" s="2352"/>
      <c r="AE48" s="2352"/>
      <c r="AF48" s="2353"/>
    </row>
    <row r="49" spans="1:76" ht="12.9" customHeight="1">
      <c r="D49" s="404" t="s">
        <v>91</v>
      </c>
      <c r="AB49" s="2351">
        <f>AB47-AB48</f>
        <v>75898855</v>
      </c>
      <c r="AC49" s="2352"/>
      <c r="AD49" s="2352"/>
      <c r="AE49" s="2352"/>
      <c r="AF49" s="2353"/>
    </row>
    <row r="50" spans="1:76" ht="12.9" customHeight="1">
      <c r="D50" s="404" t="s">
        <v>680</v>
      </c>
      <c r="AA50" s="415"/>
      <c r="AB50" s="2378">
        <v>0.81720139999999997</v>
      </c>
      <c r="AC50" s="2379"/>
      <c r="AD50" s="2379"/>
      <c r="AE50" s="2379"/>
      <c r="AF50" s="2380"/>
    </row>
    <row r="51" spans="1:76" s="417" customFormat="1" ht="12.9" customHeight="1">
      <c r="A51" s="402"/>
      <c r="B51" s="402"/>
      <c r="C51" s="402"/>
      <c r="D51" s="402"/>
      <c r="E51" s="2381" t="s">
        <v>2537</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1">
        <f>ROUND(IF(ISERROR((AB49/AB50)),0,(AB49/AB50)),0)</f>
        <v>92876560</v>
      </c>
      <c r="AC54" s="2352"/>
      <c r="AD54" s="2352"/>
      <c r="AE54" s="2352"/>
      <c r="AF54" s="2353"/>
    </row>
    <row r="55" spans="1:76" ht="12.9" customHeight="1">
      <c r="D55" s="404" t="s">
        <v>332</v>
      </c>
      <c r="AB55" s="2351">
        <f>(AB54/10)</f>
        <v>9287656</v>
      </c>
      <c r="AC55" s="2352"/>
      <c r="AD55" s="2352"/>
      <c r="AE55" s="2352"/>
      <c r="AF55" s="2353"/>
    </row>
    <row r="56" spans="1:76" ht="12.9" customHeight="1">
      <c r="D56" s="404" t="s">
        <v>755</v>
      </c>
      <c r="AB56" s="2351">
        <f>ROUND((IF((Y41&lt;AB55),Y41,AB55)),0)</f>
        <v>9287656</v>
      </c>
      <c r="AC56" s="2352"/>
      <c r="AD56" s="2352"/>
      <c r="AE56" s="2352"/>
      <c r="AF56" s="2353"/>
    </row>
    <row r="57" spans="1:76" ht="12.9" customHeight="1">
      <c r="D57" s="404" t="s">
        <v>754</v>
      </c>
      <c r="AB57" s="2351">
        <f>ROUND((10*AB56*AB50),0)</f>
        <v>75898855</v>
      </c>
      <c r="AC57" s="2352"/>
      <c r="AD57" s="2352"/>
      <c r="AE57" s="2352"/>
      <c r="AF57" s="2353"/>
    </row>
    <row r="58" spans="1:76" ht="12.9" customHeight="1">
      <c r="D58" s="404"/>
      <c r="AB58" s="423"/>
      <c r="AC58" s="423"/>
      <c r="AD58" s="423"/>
      <c r="AE58" s="423"/>
      <c r="AF58" s="423"/>
    </row>
    <row r="59" spans="1:76" ht="12.9" customHeight="1">
      <c r="D59" s="404" t="s">
        <v>753</v>
      </c>
      <c r="AB59" s="2374">
        <f>AB49-AB57</f>
        <v>0</v>
      </c>
      <c r="AC59" s="2374"/>
      <c r="AD59" s="2374"/>
      <c r="AE59" s="2374"/>
      <c r="AF59" s="2374"/>
    </row>
    <row r="60" spans="1:76" ht="12.9" customHeight="1">
      <c r="D60" s="404"/>
      <c r="AB60" s="423"/>
      <c r="AC60" s="423"/>
      <c r="AD60" s="423"/>
      <c r="AE60" s="423"/>
      <c r="AF60" s="423"/>
    </row>
    <row r="61" spans="1:76" s="204" customFormat="1" ht="12.9"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4" customFormat="1" ht="12.9" customHeight="1" thickTop="1"/>
    <row r="63" spans="1:76" ht="12.9" customHeight="1">
      <c r="A63" s="404" t="s">
        <v>588</v>
      </c>
      <c r="C63" s="205" t="s">
        <v>1247</v>
      </c>
      <c r="Y63" s="2375" t="s">
        <v>983</v>
      </c>
      <c r="Z63" s="2375"/>
      <c r="AA63" s="2375"/>
      <c r="AB63" s="2375"/>
      <c r="AC63" s="2375"/>
      <c r="AD63" s="2375" t="s">
        <v>368</v>
      </c>
      <c r="AE63" s="2375"/>
      <c r="AF63" s="2375"/>
      <c r="AG63" s="2375"/>
      <c r="AH63" s="2375"/>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6">
        <f>IF(Application!$Z$205="(select)",0,((T23*T27)+Y28))</f>
        <v>0</v>
      </c>
      <c r="Z64" s="2376"/>
      <c r="AA64" s="2376"/>
      <c r="AB64" s="2376"/>
      <c r="AC64" s="2377"/>
      <c r="AD64" s="2336">
        <f>IF(AND(OR(Application!D211="At-Risk",Application!D211="At-Risk and Special Needs"),Application!M367="yes"),AD28+AI28,0)</f>
        <v>0</v>
      </c>
      <c r="AE64" s="2376"/>
      <c r="AF64" s="2376"/>
      <c r="AG64" s="2376"/>
      <c r="AH64" s="2377"/>
    </row>
    <row r="65" spans="1:37" ht="12.9"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9">
        <f>IF(OR(Application!Z205="State Farmworker Credit",Application!Z205="$500M (Farmworker Housing)"),0.75,IF(Application!Z205="15% set-aside",0.13,IF(Application!Z205="15% set-aside with qualifying low value rehab",0.95,IF(Application!Z205="$500M",0.3,0))))</f>
        <v>0</v>
      </c>
      <c r="Z67" s="2389"/>
      <c r="AA67" s="2389"/>
      <c r="AB67" s="2389"/>
      <c r="AC67" s="2389"/>
      <c r="AD67" s="2389">
        <f>IF(Application!Z205="15% set-aside with qualifying low value rehab", 0.95,IF(OR(Application!D211="At-Risk",'Points System'!B26="Yes"),0.13,0))</f>
        <v>0</v>
      </c>
      <c r="AE67" s="2389"/>
      <c r="AF67" s="2389"/>
      <c r="AG67" s="2389"/>
      <c r="AH67" s="2389"/>
    </row>
    <row r="68" spans="1:37" ht="12.9" customHeight="1">
      <c r="C68" s="404"/>
      <c r="D68" s="205" t="s">
        <v>2179</v>
      </c>
      <c r="Y68" s="2335">
        <f>IF(AND(T25=1.3,OR(Y67=0.13,Y67=0.95),NOT(Application!T212&gt;=50%)),0,ROUND(Y64*Y67,0))</f>
        <v>0</v>
      </c>
      <c r="Z68" s="2390"/>
      <c r="AA68" s="2390"/>
      <c r="AB68" s="2390"/>
      <c r="AC68" s="2390"/>
      <c r="AD68" s="2335">
        <f>IF(AND(T25=1.3,AD67&gt;0,NOT(Application!T212&gt;=50%)),0,ROUND(AD64*AD67,0))</f>
        <v>0</v>
      </c>
      <c r="AE68" s="2390"/>
      <c r="AF68" s="2390"/>
      <c r="AG68" s="2390"/>
      <c r="AH68" s="2390"/>
      <c r="AK68" s="1192"/>
    </row>
    <row r="69" spans="1:37" ht="12.9" customHeight="1">
      <c r="C69" s="404"/>
      <c r="D69" s="205" t="s">
        <v>2180</v>
      </c>
      <c r="Y69" s="2335">
        <f>IF(OR(Application!Z205="State Farmworker Credit",Application!Z205="$500M (Farmworker Housing)"),Y68+AD68,MIN(Y68+AD68,200000*(Application!G761+Application!O785)))</f>
        <v>0</v>
      </c>
      <c r="Z69" s="2335"/>
      <c r="AA69" s="2335"/>
      <c r="AB69" s="2335"/>
      <c r="AC69" s="2335"/>
      <c r="AD69" s="2335"/>
      <c r="AE69" s="2335"/>
      <c r="AF69" s="2335"/>
      <c r="AG69" s="2335"/>
      <c r="AH69" s="2335"/>
    </row>
    <row r="70" spans="1:37" ht="12.9" customHeight="1">
      <c r="C70" s="404"/>
      <c r="E70" s="404"/>
      <c r="AB70" s="422"/>
      <c r="AC70" s="422"/>
      <c r="AD70" s="422"/>
      <c r="AE70" s="422"/>
      <c r="AF70" s="422"/>
    </row>
    <row r="71" spans="1:37" ht="12.9" customHeight="1">
      <c r="A71" s="404" t="s">
        <v>589</v>
      </c>
      <c r="C71" s="205" t="s">
        <v>283</v>
      </c>
    </row>
    <row r="72" spans="1:37" ht="12.9" customHeight="1">
      <c r="A72" s="404"/>
      <c r="C72" s="404"/>
      <c r="D72" s="205" t="s">
        <v>1249</v>
      </c>
      <c r="AB72" s="2378"/>
      <c r="AC72" s="2379"/>
      <c r="AD72" s="2379"/>
      <c r="AE72" s="2379"/>
      <c r="AF72" s="2380"/>
    </row>
    <row r="73" spans="1:37" ht="12.9" customHeight="1">
      <c r="A73" s="404"/>
      <c r="C73" s="404"/>
      <c r="D73" s="404"/>
      <c r="E73" s="2391" t="s">
        <v>1250</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8"/>
      <c r="AC73" s="438"/>
    </row>
    <row r="74" spans="1:37" ht="12.9" customHeight="1">
      <c r="A74" s="404"/>
      <c r="C74" s="404"/>
      <c r="D74" s="404"/>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8"/>
      <c r="AC74" s="438"/>
    </row>
    <row r="75" spans="1:37" ht="12.9" customHeight="1">
      <c r="A75" s="404"/>
      <c r="C75" s="404"/>
      <c r="D75" s="404"/>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1251</v>
      </c>
      <c r="AB77" s="2384">
        <f>ROUND(IF(ISERROR((AB59/AB72)),0,(AB59/AB72)),0)</f>
        <v>0</v>
      </c>
      <c r="AC77" s="2384"/>
      <c r="AD77" s="2384"/>
      <c r="AE77" s="2384"/>
      <c r="AF77" s="2384"/>
    </row>
    <row r="78" spans="1:37" ht="12.9" customHeight="1">
      <c r="C78" s="404"/>
      <c r="D78" s="205" t="s">
        <v>1252</v>
      </c>
      <c r="AB78" s="2385">
        <f>ROUNDUP(MIN(Y69,AB77),0)</f>
        <v>0</v>
      </c>
      <c r="AC78" s="2386"/>
      <c r="AD78" s="2386"/>
      <c r="AE78" s="2386"/>
      <c r="AF78" s="2387"/>
    </row>
    <row r="79" spans="1:37" ht="12.9" customHeight="1">
      <c r="C79" s="404"/>
      <c r="D79" s="205" t="s">
        <v>1253</v>
      </c>
      <c r="AB79" s="2388">
        <f>AB78*AB72</f>
        <v>0</v>
      </c>
      <c r="AC79" s="2388"/>
      <c r="AD79" s="2388"/>
      <c r="AE79" s="2388"/>
      <c r="AF79" s="2388"/>
    </row>
    <row r="80" spans="1:37" ht="12.9" customHeight="1">
      <c r="C80" s="404"/>
      <c r="D80" s="404"/>
      <c r="AB80" s="425"/>
      <c r="AC80" s="425"/>
      <c r="AD80" s="425"/>
      <c r="AE80" s="425"/>
      <c r="AF80" s="425"/>
    </row>
    <row r="81" spans="1:78" ht="12.9" customHeight="1">
      <c r="D81" s="404" t="s">
        <v>753</v>
      </c>
      <c r="AB81" s="2374">
        <f>AB49-(AB57+AB79)</f>
        <v>0</v>
      </c>
      <c r="AC81" s="2374"/>
      <c r="AD81" s="2374"/>
      <c r="AE81" s="2374"/>
      <c r="AF81" s="2374"/>
    </row>
    <row r="82" spans="1:78" ht="12.9" customHeight="1">
      <c r="F82" s="522"/>
      <c r="J82" s="522" t="str">
        <f>IF(AB81&gt;0,"FUNDING GAP MUST NOT EXCEED ZERO","")</f>
        <v/>
      </c>
    </row>
    <row r="83" spans="1:78" ht="12.9" customHeight="1">
      <c r="D83" s="523"/>
    </row>
    <row r="84" spans="1:78" ht="12.9"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2.9" customHeight="1" thickTop="1"/>
    <row r="86" spans="1:78" ht="12.9" hidden="1" customHeight="1">
      <c r="A86" s="404"/>
      <c r="C86" s="205"/>
    </row>
    <row r="87" spans="1:78" ht="12.9" hidden="1" customHeight="1">
      <c r="D87" s="205"/>
      <c r="AB87" s="2340"/>
      <c r="AC87" s="2340"/>
      <c r="AD87" s="2340"/>
      <c r="AE87" s="2340"/>
      <c r="AF87" s="2340"/>
    </row>
    <row r="88" spans="1:78" ht="12.9" hidden="1" customHeight="1" thickBot="1">
      <c r="D88" s="205"/>
      <c r="AB88" s="2338"/>
      <c r="AC88" s="2338"/>
      <c r="AD88" s="2338"/>
      <c r="AE88" s="2338"/>
      <c r="AF88" s="233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6" workbookViewId="0">
      <selection activeCell="H663" sqref="H663:I663"/>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23" t="s">
        <v>1298</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1"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2" t="s">
        <v>1302</v>
      </c>
      <c r="AF7" s="2452"/>
      <c r="AG7" s="2452"/>
      <c r="AH7" s="2452"/>
      <c r="AI7" s="2452"/>
      <c r="AJ7" s="2452"/>
      <c r="AK7" s="2452"/>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4" t="s">
        <v>590</v>
      </c>
      <c r="C12" s="2594"/>
      <c r="D12" s="540"/>
      <c r="E12" s="2455" t="s">
        <v>2551</v>
      </c>
      <c r="F12" s="2456"/>
      <c r="G12" s="2456"/>
      <c r="H12" s="2456"/>
      <c r="I12" s="2456"/>
      <c r="J12" s="2456"/>
      <c r="K12" s="2456"/>
      <c r="L12" s="2456"/>
      <c r="M12" s="2456"/>
      <c r="N12" s="2456"/>
      <c r="O12" s="2456"/>
      <c r="P12" s="2456"/>
      <c r="Q12" s="2456"/>
      <c r="R12" s="2456"/>
      <c r="S12" s="2456"/>
      <c r="T12" s="2456"/>
      <c r="U12" s="2456"/>
      <c r="V12" s="2456"/>
      <c r="W12" s="2456"/>
      <c r="X12" s="2456"/>
      <c r="Y12" s="2456"/>
      <c r="Z12" s="2456"/>
      <c r="AA12" s="2456"/>
      <c r="AB12" s="2456"/>
      <c r="AC12" s="2456"/>
      <c r="AD12" s="2456"/>
      <c r="AE12" s="2456"/>
      <c r="AF12" s="2456"/>
      <c r="AG12" s="2456"/>
      <c r="AH12" s="2456"/>
      <c r="AI12" s="2456"/>
      <c r="AJ12" s="2457"/>
      <c r="AK12" s="540"/>
      <c r="AL12" s="540"/>
      <c r="AM12" s="540"/>
      <c r="AN12" s="535"/>
      <c r="AO12" s="557"/>
    </row>
    <row r="13" spans="1:41" s="536" customFormat="1" ht="12.75" customHeight="1">
      <c r="A13" s="540"/>
      <c r="D13" s="546"/>
      <c r="E13" s="2458"/>
      <c r="F13" s="2459"/>
      <c r="G13" s="2459"/>
      <c r="H13" s="2459"/>
      <c r="I13" s="2459"/>
      <c r="J13" s="2459"/>
      <c r="K13" s="2459"/>
      <c r="L13" s="2459"/>
      <c r="M13" s="2459"/>
      <c r="N13" s="2459"/>
      <c r="O13" s="2459"/>
      <c r="P13" s="2459"/>
      <c r="Q13" s="2459"/>
      <c r="R13" s="2459"/>
      <c r="S13" s="2459"/>
      <c r="T13" s="2459"/>
      <c r="U13" s="2459"/>
      <c r="V13" s="2459"/>
      <c r="W13" s="2459"/>
      <c r="X13" s="2459"/>
      <c r="Y13" s="2459"/>
      <c r="Z13" s="2459"/>
      <c r="AA13" s="2459"/>
      <c r="AB13" s="2459"/>
      <c r="AC13" s="2459"/>
      <c r="AD13" s="2459"/>
      <c r="AE13" s="2459"/>
      <c r="AF13" s="2459"/>
      <c r="AG13" s="2459"/>
      <c r="AH13" s="2459"/>
      <c r="AI13" s="2459"/>
      <c r="AJ13" s="2460"/>
      <c r="AK13" s="540"/>
      <c r="AL13" s="540"/>
      <c r="AM13" s="540"/>
      <c r="AN13" s="535"/>
      <c r="AO13" s="557"/>
    </row>
    <row r="14" spans="1:41" s="536" customFormat="1" ht="12.75" customHeight="1">
      <c r="A14" s="540"/>
      <c r="D14" s="540"/>
      <c r="E14" s="2611"/>
      <c r="F14" s="2612"/>
      <c r="G14" s="2612"/>
      <c r="H14" s="2612"/>
      <c r="I14" s="2612"/>
      <c r="J14" s="2612"/>
      <c r="K14" s="2612"/>
      <c r="L14" s="2612"/>
      <c r="M14" s="2612"/>
      <c r="N14" s="2612"/>
      <c r="O14" s="2612"/>
      <c r="P14" s="2612"/>
      <c r="Q14" s="2612"/>
      <c r="R14" s="2612"/>
      <c r="S14" s="2612"/>
      <c r="T14" s="2612"/>
      <c r="U14" s="2612"/>
      <c r="V14" s="2612"/>
      <c r="W14" s="2612"/>
      <c r="X14" s="2612"/>
      <c r="Y14" s="2612"/>
      <c r="Z14" s="2612"/>
      <c r="AA14" s="2612"/>
      <c r="AB14" s="2612"/>
      <c r="AC14" s="2612"/>
      <c r="AD14" s="2612"/>
      <c r="AE14" s="2612"/>
      <c r="AF14" s="2612"/>
      <c r="AG14" s="2612"/>
      <c r="AH14" s="2612"/>
      <c r="AI14" s="2612"/>
      <c r="AJ14" s="2613"/>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4" t="s">
        <v>590</v>
      </c>
      <c r="C16" s="2594"/>
      <c r="D16" s="540"/>
      <c r="E16" s="2455" t="s">
        <v>2552</v>
      </c>
      <c r="F16" s="2456"/>
      <c r="G16" s="2456"/>
      <c r="H16" s="2456"/>
      <c r="I16" s="2456"/>
      <c r="J16" s="2456"/>
      <c r="K16" s="2456"/>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c r="AH16" s="2456"/>
      <c r="AI16" s="2456"/>
      <c r="AJ16" s="2457"/>
      <c r="AK16" s="540"/>
      <c r="AL16" s="540"/>
      <c r="AM16" s="540"/>
      <c r="AN16" s="535"/>
    </row>
    <row r="17" spans="1:50" s="536" customFormat="1" ht="12.75" customHeight="1">
      <c r="A17" s="540"/>
      <c r="B17" s="540"/>
      <c r="C17" s="540"/>
      <c r="D17" s="540"/>
      <c r="E17" s="2458"/>
      <c r="F17" s="2459"/>
      <c r="G17" s="2459"/>
      <c r="H17" s="2459"/>
      <c r="I17" s="2459"/>
      <c r="J17" s="2459"/>
      <c r="K17" s="2459"/>
      <c r="L17" s="2459"/>
      <c r="M17" s="2459"/>
      <c r="N17" s="2459"/>
      <c r="O17" s="2459"/>
      <c r="P17" s="2459"/>
      <c r="Q17" s="2459"/>
      <c r="R17" s="2459"/>
      <c r="S17" s="2459"/>
      <c r="T17" s="2459"/>
      <c r="U17" s="2459"/>
      <c r="V17" s="2459"/>
      <c r="W17" s="2459"/>
      <c r="X17" s="2459"/>
      <c r="Y17" s="2459"/>
      <c r="Z17" s="2459"/>
      <c r="AA17" s="2459"/>
      <c r="AB17" s="2459"/>
      <c r="AC17" s="2459"/>
      <c r="AD17" s="2459"/>
      <c r="AE17" s="2459"/>
      <c r="AF17" s="2459"/>
      <c r="AG17" s="2459"/>
      <c r="AH17" s="2459"/>
      <c r="AI17" s="2459"/>
      <c r="AJ17" s="2460"/>
      <c r="AK17" s="540"/>
      <c r="AL17" s="540"/>
      <c r="AM17" s="540"/>
      <c r="AN17" s="535"/>
    </row>
    <row r="18" spans="1:50" s="536" customFormat="1" ht="12.75" customHeight="1">
      <c r="A18" s="540"/>
      <c r="B18" s="540"/>
      <c r="C18" s="1135"/>
      <c r="D18" s="540"/>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4" t="s">
        <v>590</v>
      </c>
      <c r="C20" s="2594"/>
      <c r="D20" s="540"/>
      <c r="E20" s="2455" t="s">
        <v>1979</v>
      </c>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7"/>
      <c r="AK20" s="540"/>
      <c r="AL20" s="540"/>
      <c r="AM20" s="540"/>
      <c r="AN20" s="535"/>
    </row>
    <row r="21" spans="1:50" s="536" customFormat="1" ht="12.75" customHeight="1">
      <c r="A21" s="540"/>
      <c r="B21" s="546"/>
      <c r="C21" s="546"/>
      <c r="D21" s="546"/>
      <c r="E21" s="2611"/>
      <c r="F21" s="2612"/>
      <c r="G21" s="2612"/>
      <c r="H21" s="2612"/>
      <c r="I21" s="2612"/>
      <c r="J21" s="2612"/>
      <c r="K21" s="2612"/>
      <c r="L21" s="2612"/>
      <c r="M21" s="2612"/>
      <c r="N21" s="2612"/>
      <c r="O21" s="2612"/>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3"/>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4" t="s">
        <v>590</v>
      </c>
      <c r="C26" s="2594"/>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5"/>
      <c r="AH26" s="2625"/>
      <c r="AI26" s="2625"/>
      <c r="AJ26" s="2626"/>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4" t="s">
        <v>590</v>
      </c>
      <c r="C30" s="2594"/>
      <c r="D30" s="546"/>
      <c r="E30" s="2627" t="s">
        <v>2559</v>
      </c>
      <c r="F30" s="2628"/>
      <c r="G30" s="2628"/>
      <c r="H30" s="2628"/>
      <c r="I30" s="2628"/>
      <c r="J30" s="2628"/>
      <c r="K30" s="2628"/>
      <c r="L30" s="2628"/>
      <c r="M30" s="2628"/>
      <c r="N30" s="2628"/>
      <c r="O30" s="2628"/>
      <c r="P30" s="2628"/>
      <c r="Q30" s="2628"/>
      <c r="R30" s="2628"/>
      <c r="S30" s="2628"/>
      <c r="T30" s="2628"/>
      <c r="U30" s="2628"/>
      <c r="V30" s="2628"/>
      <c r="W30" s="2628"/>
      <c r="X30" s="2628"/>
      <c r="Y30" s="2628"/>
      <c r="Z30" s="2628"/>
      <c r="AA30" s="2628"/>
      <c r="AB30" s="2628"/>
      <c r="AC30" s="2628"/>
      <c r="AD30" s="2628"/>
      <c r="AE30" s="2628"/>
      <c r="AF30" s="2628"/>
      <c r="AG30" s="2628"/>
      <c r="AH30" s="2628"/>
      <c r="AI30" s="2628"/>
      <c r="AJ30" s="2629"/>
      <c r="AK30" s="540"/>
      <c r="AL30" s="540"/>
      <c r="AM30" s="540"/>
      <c r="AN30" s="535"/>
      <c r="AO30" s="549">
        <f>IF($B30="yes",9,0)</f>
        <v>0</v>
      </c>
    </row>
    <row r="31" spans="1:50" s="536" customFormat="1" ht="12.75" customHeight="1">
      <c r="A31" s="540"/>
      <c r="B31" s="540"/>
      <c r="C31" s="540"/>
      <c r="E31" s="2633"/>
      <c r="F31" s="2634"/>
      <c r="G31" s="2634"/>
      <c r="H31" s="2634"/>
      <c r="I31" s="2634"/>
      <c r="J31" s="2634"/>
      <c r="K31" s="2634"/>
      <c r="L31" s="2634"/>
      <c r="M31" s="2634"/>
      <c r="N31" s="2634"/>
      <c r="O31" s="2634"/>
      <c r="P31" s="2634"/>
      <c r="Q31" s="2634"/>
      <c r="R31" s="2634"/>
      <c r="S31" s="2634"/>
      <c r="T31" s="2634"/>
      <c r="U31" s="2634"/>
      <c r="V31" s="2634"/>
      <c r="W31" s="2634"/>
      <c r="X31" s="2634"/>
      <c r="Y31" s="2634"/>
      <c r="Z31" s="2634"/>
      <c r="AA31" s="2634"/>
      <c r="AB31" s="2634"/>
      <c r="AC31" s="2634"/>
      <c r="AD31" s="2634"/>
      <c r="AE31" s="2634"/>
      <c r="AF31" s="2634"/>
      <c r="AG31" s="2634"/>
      <c r="AH31" s="2634"/>
      <c r="AI31" s="2634"/>
      <c r="AJ31" s="263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4" t="s">
        <v>590</v>
      </c>
      <c r="C33" s="2594"/>
      <c r="D33" s="546"/>
      <c r="E33" s="2627" t="s">
        <v>2560</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49">
        <f>IF($B39="yes",9,0)</f>
        <v>0</v>
      </c>
    </row>
    <row r="34" spans="1:43" s="536" customFormat="1" ht="12.75" customHeight="1">
      <c r="A34" s="540"/>
      <c r="B34" s="540"/>
      <c r="C34" s="540"/>
      <c r="D34" s="546"/>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c r="AO34" s="536">
        <f>MAX(AO30,AO31,AO32,AO33)</f>
        <v>0</v>
      </c>
      <c r="AP34" s="536" t="s">
        <v>1304</v>
      </c>
    </row>
    <row r="35" spans="1:43" s="536" customFormat="1" ht="12.75" customHeight="1">
      <c r="A35" s="540"/>
      <c r="B35" s="540"/>
      <c r="C35" s="540"/>
      <c r="E35" s="2633"/>
      <c r="F35" s="2634"/>
      <c r="G35" s="2634"/>
      <c r="H35" s="2634"/>
      <c r="I35" s="2634"/>
      <c r="J35" s="2634"/>
      <c r="K35" s="2634"/>
      <c r="L35" s="2634"/>
      <c r="M35" s="2634"/>
      <c r="N35" s="2634"/>
      <c r="O35" s="2634"/>
      <c r="P35" s="2634"/>
      <c r="Q35" s="2634"/>
      <c r="R35" s="2634"/>
      <c r="S35" s="2634"/>
      <c r="T35" s="2634"/>
      <c r="U35" s="2634"/>
      <c r="V35" s="2634"/>
      <c r="W35" s="2634"/>
      <c r="X35" s="2634"/>
      <c r="Y35" s="2634"/>
      <c r="Z35" s="2634"/>
      <c r="AA35" s="2634"/>
      <c r="AB35" s="2634"/>
      <c r="AC35" s="2634"/>
      <c r="AD35" s="2634"/>
      <c r="AE35" s="2634"/>
      <c r="AF35" s="2634"/>
      <c r="AG35" s="2634"/>
      <c r="AH35" s="2634"/>
      <c r="AI35" s="2634"/>
      <c r="AJ35" s="263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4" t="s">
        <v>590</v>
      </c>
      <c r="C37" s="2594"/>
      <c r="D37" s="1136"/>
      <c r="E37" s="2620" t="s">
        <v>2564</v>
      </c>
      <c r="F37" s="2621"/>
      <c r="G37" s="2621"/>
      <c r="H37" s="2621"/>
      <c r="I37" s="2621"/>
      <c r="J37" s="2621"/>
      <c r="K37" s="2621"/>
      <c r="L37" s="2621"/>
      <c r="M37" s="2621"/>
      <c r="N37" s="2621"/>
      <c r="O37" s="2621"/>
      <c r="P37" s="2621"/>
      <c r="Q37" s="2621"/>
      <c r="R37" s="2621"/>
      <c r="S37" s="2621"/>
      <c r="T37" s="2621"/>
      <c r="U37" s="2621"/>
      <c r="V37" s="2621"/>
      <c r="W37" s="2621"/>
      <c r="X37" s="2621"/>
      <c r="Y37" s="2621"/>
      <c r="Z37" s="2621"/>
      <c r="AA37" s="2621"/>
      <c r="AB37" s="2621"/>
      <c r="AC37" s="2621"/>
      <c r="AD37" s="2621"/>
      <c r="AE37" s="2621"/>
      <c r="AF37" s="2621"/>
      <c r="AG37" s="2621"/>
      <c r="AH37" s="2621"/>
      <c r="AI37" s="2621"/>
      <c r="AJ37" s="2622"/>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4" t="s">
        <v>590</v>
      </c>
      <c r="C39" s="2594"/>
      <c r="D39" s="1136"/>
      <c r="E39" s="2620" t="s">
        <v>2561</v>
      </c>
      <c r="F39" s="2621"/>
      <c r="G39" s="2621"/>
      <c r="H39" s="2621"/>
      <c r="I39" s="2621"/>
      <c r="J39" s="2621"/>
      <c r="K39" s="2621"/>
      <c r="L39" s="2621"/>
      <c r="M39" s="2621"/>
      <c r="N39" s="2621"/>
      <c r="O39" s="2621"/>
      <c r="P39" s="2621"/>
      <c r="Q39" s="2621"/>
      <c r="R39" s="2621"/>
      <c r="S39" s="2621"/>
      <c r="T39" s="2621"/>
      <c r="U39" s="2621"/>
      <c r="V39" s="2621"/>
      <c r="W39" s="2621"/>
      <c r="X39" s="2621"/>
      <c r="Y39" s="2621"/>
      <c r="Z39" s="2621"/>
      <c r="AA39" s="2621"/>
      <c r="AB39" s="2621"/>
      <c r="AC39" s="2621"/>
      <c r="AD39" s="2621"/>
      <c r="AE39" s="2621"/>
      <c r="AF39" s="2621"/>
      <c r="AG39" s="2621"/>
      <c r="AH39" s="2621"/>
      <c r="AI39" s="2621"/>
      <c r="AJ39" s="2622"/>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4" t="s">
        <v>590</v>
      </c>
      <c r="C43" s="2594"/>
      <c r="D43" s="546"/>
      <c r="E43" s="2595" t="s">
        <v>2563</v>
      </c>
      <c r="F43" s="2596"/>
      <c r="G43" s="2596"/>
      <c r="H43" s="2596"/>
      <c r="I43" s="2596"/>
      <c r="J43" s="2596"/>
      <c r="K43" s="2596"/>
      <c r="L43" s="2596"/>
      <c r="M43" s="2596"/>
      <c r="N43" s="2596"/>
      <c r="O43" s="2596"/>
      <c r="P43" s="2596"/>
      <c r="Q43" s="2596"/>
      <c r="R43" s="2596"/>
      <c r="S43" s="2596"/>
      <c r="T43" s="2596"/>
      <c r="U43" s="2596"/>
      <c r="V43" s="2596"/>
      <c r="W43" s="2596"/>
      <c r="X43" s="2596"/>
      <c r="Y43" s="2596"/>
      <c r="Z43" s="2596"/>
      <c r="AA43" s="2596"/>
      <c r="AB43" s="2596"/>
      <c r="AC43" s="2596"/>
      <c r="AD43" s="2596"/>
      <c r="AE43" s="2596"/>
      <c r="AF43" s="2596"/>
      <c r="AG43" s="2596"/>
      <c r="AH43" s="2596"/>
      <c r="AI43" s="2596"/>
      <c r="AJ43" s="2597"/>
      <c r="AK43" s="540"/>
      <c r="AL43" s="540"/>
      <c r="AM43" s="540"/>
      <c r="AN43" s="535"/>
      <c r="AO43" s="549">
        <f>IF($B43="yes",8,0)</f>
        <v>0</v>
      </c>
      <c r="AP43" s="14"/>
    </row>
    <row r="44" spans="1:43" s="536" customFormat="1" ht="12.75" customHeight="1">
      <c r="A44" s="540"/>
      <c r="B44" s="540"/>
      <c r="C44" s="540"/>
      <c r="D44" s="550"/>
      <c r="E44" s="2636"/>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8"/>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4" t="s">
        <v>590</v>
      </c>
      <c r="C46" s="2594"/>
      <c r="D46" s="546"/>
      <c r="E46" s="2627" t="s">
        <v>2562</v>
      </c>
      <c r="F46" s="2628"/>
      <c r="G46" s="2628"/>
      <c r="H46" s="2628"/>
      <c r="I46" s="2628"/>
      <c r="J46" s="2628"/>
      <c r="K46" s="2628"/>
      <c r="L46" s="2628"/>
      <c r="M46" s="2628"/>
      <c r="N46" s="2628"/>
      <c r="O46" s="2628"/>
      <c r="P46" s="2628"/>
      <c r="Q46" s="2628"/>
      <c r="R46" s="2628"/>
      <c r="S46" s="2628"/>
      <c r="T46" s="2628"/>
      <c r="U46" s="2628"/>
      <c r="V46" s="2628"/>
      <c r="W46" s="2628"/>
      <c r="X46" s="2628"/>
      <c r="Y46" s="2628"/>
      <c r="Z46" s="2628"/>
      <c r="AA46" s="2628"/>
      <c r="AB46" s="2628"/>
      <c r="AC46" s="2628"/>
      <c r="AD46" s="2628"/>
      <c r="AE46" s="2628"/>
      <c r="AF46" s="2628"/>
      <c r="AG46" s="2628"/>
      <c r="AH46" s="2628"/>
      <c r="AI46" s="2628"/>
      <c r="AJ46" s="2629"/>
      <c r="AK46" s="540"/>
      <c r="AL46" s="540"/>
      <c r="AM46" s="540"/>
      <c r="AN46" s="535"/>
      <c r="AO46" s="549">
        <f>IF($B52="yes",8,0)</f>
        <v>0</v>
      </c>
    </row>
    <row r="47" spans="1:43" s="536" customFormat="1" ht="12.75" customHeight="1">
      <c r="A47" s="540"/>
      <c r="B47" s="540"/>
      <c r="C47" s="540"/>
      <c r="D47" s="549"/>
      <c r="E47" s="2633"/>
      <c r="F47" s="2634"/>
      <c r="G47" s="2634"/>
      <c r="H47" s="2634"/>
      <c r="I47" s="2634"/>
      <c r="J47" s="2634"/>
      <c r="K47" s="2634"/>
      <c r="L47" s="2634"/>
      <c r="M47" s="2634"/>
      <c r="N47" s="2634"/>
      <c r="O47" s="2634"/>
      <c r="P47" s="2634"/>
      <c r="Q47" s="2634"/>
      <c r="R47" s="2634"/>
      <c r="S47" s="2634"/>
      <c r="T47" s="2634"/>
      <c r="U47" s="2634"/>
      <c r="V47" s="2634"/>
      <c r="W47" s="2634"/>
      <c r="X47" s="2634"/>
      <c r="Y47" s="2634"/>
      <c r="Z47" s="2634"/>
      <c r="AA47" s="2634"/>
      <c r="AB47" s="2634"/>
      <c r="AC47" s="2634"/>
      <c r="AD47" s="2634"/>
      <c r="AE47" s="2634"/>
      <c r="AF47" s="2634"/>
      <c r="AG47" s="2634"/>
      <c r="AH47" s="2634"/>
      <c r="AI47" s="2634"/>
      <c r="AJ47" s="2635"/>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4" t="s">
        <v>590</v>
      </c>
      <c r="C49" s="2594"/>
      <c r="D49" s="546"/>
      <c r="E49" s="2455" t="s">
        <v>1993</v>
      </c>
      <c r="F49" s="2456"/>
      <c r="G49" s="2456"/>
      <c r="H49" s="2456"/>
      <c r="I49" s="2456"/>
      <c r="J49" s="2456"/>
      <c r="K49" s="2456"/>
      <c r="L49" s="2456"/>
      <c r="M49" s="2456"/>
      <c r="N49" s="2456"/>
      <c r="O49" s="2456"/>
      <c r="P49" s="2456"/>
      <c r="Q49" s="2456"/>
      <c r="R49" s="2456"/>
      <c r="S49" s="2456"/>
      <c r="T49" s="2456"/>
      <c r="U49" s="2456"/>
      <c r="V49" s="2456"/>
      <c r="W49" s="2456"/>
      <c r="X49" s="2456"/>
      <c r="Y49" s="2456"/>
      <c r="Z49" s="2456"/>
      <c r="AA49" s="2456"/>
      <c r="AB49" s="2456"/>
      <c r="AC49" s="2456"/>
      <c r="AD49" s="2456"/>
      <c r="AE49" s="2456"/>
      <c r="AF49" s="2456"/>
      <c r="AG49" s="2456"/>
      <c r="AH49" s="2456"/>
      <c r="AI49" s="2456"/>
      <c r="AJ49" s="2457"/>
      <c r="AK49" s="540"/>
      <c r="AL49" s="540"/>
      <c r="AM49" s="540"/>
      <c r="AN49" s="535"/>
      <c r="AO49" s="549"/>
    </row>
    <row r="50" spans="1:42" s="536" customFormat="1" ht="12.75" customHeight="1">
      <c r="A50" s="540"/>
      <c r="B50" s="540"/>
      <c r="C50" s="540"/>
      <c r="D50" s="549"/>
      <c r="E50" s="2611"/>
      <c r="F50" s="2612"/>
      <c r="G50" s="2612"/>
      <c r="H50" s="2612"/>
      <c r="I50" s="2612"/>
      <c r="J50" s="2612"/>
      <c r="K50" s="2612"/>
      <c r="L50" s="2612"/>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3"/>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4" t="s">
        <v>590</v>
      </c>
      <c r="C52" s="2594"/>
      <c r="D52" s="546"/>
      <c r="E52" s="2620" t="s">
        <v>2202</v>
      </c>
      <c r="F52" s="2621"/>
      <c r="G52" s="2621"/>
      <c r="H52" s="2621"/>
      <c r="I52" s="2621"/>
      <c r="J52" s="2621"/>
      <c r="K52" s="2621"/>
      <c r="L52" s="2621"/>
      <c r="M52" s="2621"/>
      <c r="N52" s="2621"/>
      <c r="O52" s="2621"/>
      <c r="P52" s="2621"/>
      <c r="Q52" s="2621"/>
      <c r="R52" s="2621"/>
      <c r="S52" s="2621"/>
      <c r="T52" s="2621"/>
      <c r="U52" s="2621"/>
      <c r="V52" s="2621"/>
      <c r="W52" s="2621"/>
      <c r="X52" s="2621"/>
      <c r="Y52" s="2621"/>
      <c r="Z52" s="2621"/>
      <c r="AA52" s="2621"/>
      <c r="AB52" s="2621"/>
      <c r="AC52" s="2621"/>
      <c r="AD52" s="2621"/>
      <c r="AE52" s="2621"/>
      <c r="AF52" s="2621"/>
      <c r="AG52" s="2621"/>
      <c r="AH52" s="2621"/>
      <c r="AI52" s="2621"/>
      <c r="AJ52" s="2622"/>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4" t="s">
        <v>590</v>
      </c>
      <c r="C56" s="2594"/>
      <c r="D56" s="546"/>
      <c r="E56" s="2455" t="s">
        <v>2565</v>
      </c>
      <c r="F56" s="2456"/>
      <c r="G56" s="2456"/>
      <c r="H56" s="2456"/>
      <c r="I56" s="2456"/>
      <c r="J56" s="2456"/>
      <c r="K56" s="2456"/>
      <c r="L56" s="2456"/>
      <c r="M56" s="2456"/>
      <c r="N56" s="2456"/>
      <c r="O56" s="2456"/>
      <c r="P56" s="2456"/>
      <c r="Q56" s="2456"/>
      <c r="R56" s="2456"/>
      <c r="S56" s="2456"/>
      <c r="T56" s="2456"/>
      <c r="U56" s="2456"/>
      <c r="V56" s="2456"/>
      <c r="W56" s="2456"/>
      <c r="X56" s="2456"/>
      <c r="Y56" s="2456"/>
      <c r="Z56" s="2456"/>
      <c r="AA56" s="2456"/>
      <c r="AB56" s="2456"/>
      <c r="AC56" s="2456"/>
      <c r="AD56" s="2456"/>
      <c r="AE56" s="2456"/>
      <c r="AF56" s="2456"/>
      <c r="AG56" s="2456"/>
      <c r="AH56" s="2456"/>
      <c r="AI56" s="2456"/>
      <c r="AJ56" s="2457"/>
      <c r="AK56" s="540"/>
      <c r="AL56" s="540"/>
      <c r="AM56" s="540"/>
      <c r="AN56" s="535"/>
      <c r="AO56" s="549">
        <f>IF($B59="yes",7,0)</f>
        <v>0</v>
      </c>
    </row>
    <row r="57" spans="1:42" s="536" customFormat="1" ht="12.75" customHeight="1">
      <c r="A57" s="540"/>
      <c r="B57" s="540"/>
      <c r="C57" s="540"/>
      <c r="D57" s="549"/>
      <c r="E57" s="2611"/>
      <c r="F57" s="2612"/>
      <c r="G57" s="2612"/>
      <c r="H57" s="2612"/>
      <c r="I57" s="2612"/>
      <c r="J57" s="2612"/>
      <c r="K57" s="2612"/>
      <c r="L57" s="2612"/>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3"/>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4" t="s">
        <v>590</v>
      </c>
      <c r="C59" s="2594"/>
      <c r="D59" s="546"/>
      <c r="E59" s="2620" t="s">
        <v>2566</v>
      </c>
      <c r="F59" s="2621"/>
      <c r="G59" s="2621"/>
      <c r="H59" s="2621"/>
      <c r="I59" s="2621"/>
      <c r="J59" s="2621"/>
      <c r="K59" s="2621"/>
      <c r="L59" s="2621"/>
      <c r="M59" s="2621"/>
      <c r="N59" s="2621"/>
      <c r="O59" s="2621"/>
      <c r="P59" s="2621"/>
      <c r="Q59" s="2621"/>
      <c r="R59" s="2621"/>
      <c r="S59" s="2621"/>
      <c r="T59" s="2621"/>
      <c r="U59" s="2621"/>
      <c r="V59" s="2621"/>
      <c r="W59" s="2621"/>
      <c r="X59" s="2621"/>
      <c r="Y59" s="2621"/>
      <c r="Z59" s="2621"/>
      <c r="AA59" s="2621"/>
      <c r="AB59" s="2621"/>
      <c r="AC59" s="2621"/>
      <c r="AD59" s="2621"/>
      <c r="AE59" s="2621"/>
      <c r="AF59" s="2621"/>
      <c r="AG59" s="2621"/>
      <c r="AH59" s="2621"/>
      <c r="AI59" s="2621"/>
      <c r="AJ59" s="2622"/>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6">
        <f>AO60</f>
        <v>0</v>
      </c>
      <c r="AL61" s="2587"/>
      <c r="AM61" s="258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2" t="s">
        <v>1307</v>
      </c>
      <c r="AF64" s="2452"/>
      <c r="AG64" s="2452"/>
      <c r="AH64" s="2452"/>
      <c r="AI64" s="2452"/>
      <c r="AJ64" s="2452"/>
      <c r="AK64" s="2452"/>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4" t="s">
        <v>544</v>
      </c>
      <c r="C67" s="2594"/>
      <c r="D67" s="546" t="s">
        <v>1308</v>
      </c>
      <c r="E67" s="2595" t="s">
        <v>1980</v>
      </c>
      <c r="F67" s="2596"/>
      <c r="G67" s="2596"/>
      <c r="H67" s="2596"/>
      <c r="I67" s="2596"/>
      <c r="J67" s="2596"/>
      <c r="K67" s="2596"/>
      <c r="L67" s="2596"/>
      <c r="M67" s="2596"/>
      <c r="N67" s="2596"/>
      <c r="O67" s="2596"/>
      <c r="P67" s="2596"/>
      <c r="Q67" s="2596"/>
      <c r="R67" s="2596"/>
      <c r="S67" s="2596"/>
      <c r="T67" s="2596"/>
      <c r="U67" s="2596"/>
      <c r="V67" s="2596"/>
      <c r="W67" s="2596"/>
      <c r="X67" s="2596"/>
      <c r="Y67" s="2596"/>
      <c r="Z67" s="2596"/>
      <c r="AA67" s="2596"/>
      <c r="AB67" s="2596"/>
      <c r="AC67" s="2596"/>
      <c r="AD67" s="2596"/>
      <c r="AE67" s="2596"/>
      <c r="AF67" s="2596"/>
      <c r="AG67" s="2596"/>
      <c r="AH67" s="2596"/>
      <c r="AI67" s="2596"/>
      <c r="AJ67" s="2597"/>
      <c r="AK67" s="543"/>
      <c r="AL67" s="540"/>
      <c r="AM67" s="540"/>
      <c r="AN67" s="535"/>
      <c r="AO67" s="549">
        <f>IF($B67="yes",10,0)</f>
        <v>10</v>
      </c>
    </row>
    <row r="68" spans="1:42" s="536" customFormat="1" ht="12.75" customHeight="1">
      <c r="A68" s="538"/>
      <c r="B68" s="540"/>
      <c r="C68" s="540"/>
      <c r="D68" s="550"/>
      <c r="E68" s="2598"/>
      <c r="F68" s="2599"/>
      <c r="G68" s="2599"/>
      <c r="H68" s="2599"/>
      <c r="I68" s="2599"/>
      <c r="J68" s="2599"/>
      <c r="K68" s="2599"/>
      <c r="L68" s="2599"/>
      <c r="M68" s="2599"/>
      <c r="N68" s="2599"/>
      <c r="O68" s="2599"/>
      <c r="P68" s="2599"/>
      <c r="Q68" s="2599"/>
      <c r="R68" s="2599"/>
      <c r="S68" s="2599"/>
      <c r="T68" s="2599"/>
      <c r="U68" s="2599"/>
      <c r="V68" s="2599"/>
      <c r="W68" s="2599"/>
      <c r="X68" s="2599"/>
      <c r="Y68" s="2599"/>
      <c r="Z68" s="2599"/>
      <c r="AA68" s="2599"/>
      <c r="AB68" s="2599"/>
      <c r="AC68" s="2599"/>
      <c r="AD68" s="2599"/>
      <c r="AE68" s="2599"/>
      <c r="AF68" s="2599"/>
      <c r="AG68" s="2599"/>
      <c r="AH68" s="2599"/>
      <c r="AI68" s="2599"/>
      <c r="AJ68" s="2600"/>
      <c r="AK68" s="543"/>
      <c r="AL68" s="540"/>
      <c r="AM68" s="540"/>
      <c r="AN68" s="535"/>
      <c r="AO68" s="549">
        <f>IF(AND($B73="yes",OR(E74="Yes",E75="Yes",E76="Yes")),10,0)</f>
        <v>10</v>
      </c>
    </row>
    <row r="69" spans="1:42" s="536" customFormat="1" ht="12.75" customHeight="1">
      <c r="A69" s="538"/>
      <c r="B69" s="540"/>
      <c r="C69" s="540"/>
      <c r="D69" s="550"/>
      <c r="E69" s="2598"/>
      <c r="F69" s="2599"/>
      <c r="G69" s="2599"/>
      <c r="H69" s="2599"/>
      <c r="I69" s="2599"/>
      <c r="J69" s="2599"/>
      <c r="K69" s="2599"/>
      <c r="L69" s="2599"/>
      <c r="M69" s="2599"/>
      <c r="N69" s="2599"/>
      <c r="O69" s="2599"/>
      <c r="P69" s="2599"/>
      <c r="Q69" s="2599"/>
      <c r="R69" s="2599"/>
      <c r="S69" s="2599"/>
      <c r="T69" s="2599"/>
      <c r="U69" s="2599"/>
      <c r="V69" s="2599"/>
      <c r="W69" s="2599"/>
      <c r="X69" s="2599"/>
      <c r="Y69" s="2599"/>
      <c r="Z69" s="2599"/>
      <c r="AA69" s="2599"/>
      <c r="AB69" s="2599"/>
      <c r="AC69" s="2599"/>
      <c r="AD69" s="2599"/>
      <c r="AE69" s="2599"/>
      <c r="AF69" s="2599"/>
      <c r="AG69" s="2599"/>
      <c r="AH69" s="2599"/>
      <c r="AI69" s="2599"/>
      <c r="AJ69" s="2600"/>
      <c r="AK69" s="543"/>
      <c r="AL69" s="540"/>
      <c r="AM69" s="540"/>
      <c r="AN69" s="535"/>
      <c r="AO69" s="549">
        <f>IF($B78="yes",10,0)</f>
        <v>0</v>
      </c>
    </row>
    <row r="70" spans="1:42" s="536" customFormat="1" ht="12.75" customHeight="1">
      <c r="A70" s="538"/>
      <c r="B70" s="540"/>
      <c r="C70" s="540"/>
      <c r="D70" s="550"/>
      <c r="E70" s="2598"/>
      <c r="F70" s="2599"/>
      <c r="G70" s="2599"/>
      <c r="H70" s="2599"/>
      <c r="I70" s="2599"/>
      <c r="J70" s="2599"/>
      <c r="K70" s="2599"/>
      <c r="L70" s="2599"/>
      <c r="M70" s="2599"/>
      <c r="N70" s="2599"/>
      <c r="O70" s="2599"/>
      <c r="P70" s="2599"/>
      <c r="Q70" s="2599"/>
      <c r="R70" s="2599"/>
      <c r="S70" s="2599"/>
      <c r="T70" s="2599"/>
      <c r="U70" s="2599"/>
      <c r="V70" s="2599"/>
      <c r="W70" s="2599"/>
      <c r="X70" s="2599"/>
      <c r="Y70" s="2599"/>
      <c r="Z70" s="2599"/>
      <c r="AA70" s="2599"/>
      <c r="AB70" s="2599"/>
      <c r="AC70" s="2599"/>
      <c r="AD70" s="2599"/>
      <c r="AE70" s="2599"/>
      <c r="AF70" s="2599"/>
      <c r="AG70" s="2599"/>
      <c r="AH70" s="2599"/>
      <c r="AI70" s="2599"/>
      <c r="AJ70" s="2600"/>
      <c r="AK70" s="543"/>
      <c r="AL70" s="540"/>
      <c r="AM70" s="540"/>
      <c r="AN70" s="535"/>
      <c r="AO70" s="549">
        <f>IF($B81="yes",10,0)</f>
        <v>0</v>
      </c>
    </row>
    <row r="71" spans="1:42" s="536" customFormat="1" ht="12.75" customHeight="1">
      <c r="A71" s="538"/>
      <c r="B71" s="540"/>
      <c r="C71" s="540"/>
      <c r="D71" s="550"/>
      <c r="E71" s="2636"/>
      <c r="F71" s="2637"/>
      <c r="G71" s="2637"/>
      <c r="H71" s="2637"/>
      <c r="I71" s="2637"/>
      <c r="J71" s="2637"/>
      <c r="K71" s="2637"/>
      <c r="L71" s="2637"/>
      <c r="M71" s="2637"/>
      <c r="N71" s="2637"/>
      <c r="O71" s="2637"/>
      <c r="P71" s="2637"/>
      <c r="Q71" s="2637"/>
      <c r="R71" s="2637"/>
      <c r="S71" s="2637"/>
      <c r="T71" s="2637"/>
      <c r="U71" s="2637"/>
      <c r="V71" s="2637"/>
      <c r="W71" s="2637"/>
      <c r="X71" s="2637"/>
      <c r="Y71" s="2637"/>
      <c r="Z71" s="2637"/>
      <c r="AA71" s="2637"/>
      <c r="AB71" s="2637"/>
      <c r="AC71" s="2637"/>
      <c r="AD71" s="2637"/>
      <c r="AE71" s="2637"/>
      <c r="AF71" s="2637"/>
      <c r="AG71" s="2637"/>
      <c r="AH71" s="2637"/>
      <c r="AI71" s="2637"/>
      <c r="AJ71" s="2638"/>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4" t="s">
        <v>544</v>
      </c>
      <c r="C73" s="2594"/>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2" t="s">
        <v>544</v>
      </c>
      <c r="F74" s="2594"/>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0" t="s">
        <v>590</v>
      </c>
      <c r="F75" s="2641"/>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0" t="s">
        <v>590</v>
      </c>
      <c r="F76" s="2641"/>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4" t="s">
        <v>590</v>
      </c>
      <c r="C78" s="2594"/>
      <c r="D78" s="546" t="s">
        <v>1313</v>
      </c>
      <c r="E78" s="2455" t="s">
        <v>1728</v>
      </c>
      <c r="F78" s="2456"/>
      <c r="G78" s="2456"/>
      <c r="H78" s="2456"/>
      <c r="I78" s="2456"/>
      <c r="J78" s="2456"/>
      <c r="K78" s="2456"/>
      <c r="L78" s="2456"/>
      <c r="M78" s="2456"/>
      <c r="N78" s="2456"/>
      <c r="O78" s="2456"/>
      <c r="P78" s="2456"/>
      <c r="Q78" s="2456"/>
      <c r="R78" s="2456"/>
      <c r="S78" s="2456"/>
      <c r="T78" s="2456"/>
      <c r="U78" s="2456"/>
      <c r="V78" s="2456"/>
      <c r="W78" s="2456"/>
      <c r="X78" s="2456"/>
      <c r="Y78" s="2456"/>
      <c r="Z78" s="2456"/>
      <c r="AA78" s="2456"/>
      <c r="AB78" s="2456"/>
      <c r="AC78" s="2456"/>
      <c r="AD78" s="2456"/>
      <c r="AE78" s="2456"/>
      <c r="AF78" s="2456"/>
      <c r="AG78" s="2456"/>
      <c r="AH78" s="2456"/>
      <c r="AI78" s="2456"/>
      <c r="AJ78" s="2457"/>
      <c r="AK78" s="543"/>
      <c r="AL78" s="540"/>
      <c r="AM78" s="540"/>
      <c r="AN78" s="535"/>
    </row>
    <row r="79" spans="1:42" s="536" customFormat="1" ht="12.75" customHeight="1">
      <c r="A79" s="538"/>
      <c r="B79" s="540"/>
      <c r="C79" s="540"/>
      <c r="E79" s="2611"/>
      <c r="F79" s="2612"/>
      <c r="G79" s="2612"/>
      <c r="H79" s="2612"/>
      <c r="I79" s="2612"/>
      <c r="J79" s="2612"/>
      <c r="K79" s="2612"/>
      <c r="L79" s="2612"/>
      <c r="M79" s="2612"/>
      <c r="N79" s="2612"/>
      <c r="O79" s="2612"/>
      <c r="P79" s="2612"/>
      <c r="Q79" s="2612"/>
      <c r="R79" s="2612"/>
      <c r="S79" s="2612"/>
      <c r="T79" s="2612"/>
      <c r="U79" s="2612"/>
      <c r="V79" s="2612"/>
      <c r="W79" s="2612"/>
      <c r="X79" s="2612"/>
      <c r="Y79" s="2612"/>
      <c r="Z79" s="2612"/>
      <c r="AA79" s="2612"/>
      <c r="AB79" s="2612"/>
      <c r="AC79" s="2612"/>
      <c r="AD79" s="2612"/>
      <c r="AE79" s="2612"/>
      <c r="AF79" s="2612"/>
      <c r="AG79" s="2612"/>
      <c r="AH79" s="2612"/>
      <c r="AI79" s="2612"/>
      <c r="AJ79" s="2613"/>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4" t="s">
        <v>590</v>
      </c>
      <c r="C81" s="2594"/>
      <c r="D81" s="546" t="s">
        <v>1460</v>
      </c>
      <c r="E81" s="2620" t="s">
        <v>1726</v>
      </c>
      <c r="F81" s="2621"/>
      <c r="G81" s="2621"/>
      <c r="H81" s="2621"/>
      <c r="I81" s="2621"/>
      <c r="J81" s="2621"/>
      <c r="K81" s="2621"/>
      <c r="L81" s="2621"/>
      <c r="M81" s="2621"/>
      <c r="N81" s="2621"/>
      <c r="O81" s="2621"/>
      <c r="P81" s="2621"/>
      <c r="Q81" s="2621"/>
      <c r="R81" s="2621"/>
      <c r="S81" s="2621"/>
      <c r="T81" s="2621"/>
      <c r="U81" s="2621"/>
      <c r="V81" s="2621"/>
      <c r="W81" s="2621"/>
      <c r="X81" s="2621"/>
      <c r="Y81" s="2621"/>
      <c r="Z81" s="2621"/>
      <c r="AA81" s="2621"/>
      <c r="AB81" s="2621"/>
      <c r="AC81" s="2621"/>
      <c r="AD81" s="2621"/>
      <c r="AE81" s="2621"/>
      <c r="AF81" s="2621"/>
      <c r="AG81" s="2621"/>
      <c r="AH81" s="2621"/>
      <c r="AI81" s="2621"/>
      <c r="AJ81" s="2622"/>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6">
        <f>IF(AK61&gt;0,0,AO71)</f>
        <v>10</v>
      </c>
      <c r="AL83" s="2587"/>
      <c r="AM83" s="258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2" t="s">
        <v>1302</v>
      </c>
      <c r="AF86" s="2452"/>
      <c r="AG86" s="2452"/>
      <c r="AH86" s="2452"/>
      <c r="AI86" s="2452"/>
      <c r="AJ86" s="2452"/>
      <c r="AK86" s="2452"/>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4" t="s">
        <v>590</v>
      </c>
      <c r="C89" s="2594"/>
      <c r="D89" s="546" t="s">
        <v>1308</v>
      </c>
      <c r="E89" s="2595" t="s">
        <v>1318</v>
      </c>
      <c r="F89" s="2596"/>
      <c r="G89" s="2596"/>
      <c r="H89" s="2596"/>
      <c r="I89" s="2596"/>
      <c r="J89" s="2596"/>
      <c r="K89" s="2596"/>
      <c r="L89" s="2596"/>
      <c r="M89" s="2596"/>
      <c r="N89" s="2596"/>
      <c r="O89" s="2596"/>
      <c r="P89" s="2596"/>
      <c r="Q89" s="2596"/>
      <c r="R89" s="2596"/>
      <c r="S89" s="2596"/>
      <c r="T89" s="2596"/>
      <c r="U89" s="2596"/>
      <c r="V89" s="2596"/>
      <c r="W89" s="2596"/>
      <c r="X89" s="2596"/>
      <c r="Y89" s="2596"/>
      <c r="Z89" s="2596"/>
      <c r="AA89" s="2596"/>
      <c r="AB89" s="2596"/>
      <c r="AC89" s="2596"/>
      <c r="AD89" s="2596"/>
      <c r="AE89" s="2596"/>
      <c r="AF89" s="2596"/>
      <c r="AG89" s="2596"/>
      <c r="AH89" s="2596"/>
      <c r="AI89" s="2596"/>
      <c r="AJ89" s="2597"/>
      <c r="AK89" s="543"/>
      <c r="AL89" s="540"/>
      <c r="AM89" s="540"/>
      <c r="AN89" s="535"/>
    </row>
    <row r="90" spans="1:43" s="536" customFormat="1" ht="12.75" customHeight="1">
      <c r="A90" s="538"/>
      <c r="B90" s="539"/>
      <c r="C90" s="539"/>
      <c r="D90" s="539"/>
      <c r="E90" s="2598"/>
      <c r="F90" s="2599"/>
      <c r="G90" s="2599"/>
      <c r="H90" s="2599"/>
      <c r="I90" s="2599"/>
      <c r="J90" s="2599"/>
      <c r="K90" s="2599"/>
      <c r="L90" s="2599"/>
      <c r="M90" s="2599"/>
      <c r="N90" s="2599"/>
      <c r="O90" s="2599"/>
      <c r="P90" s="2599"/>
      <c r="Q90" s="2599"/>
      <c r="R90" s="2599"/>
      <c r="S90" s="2599"/>
      <c r="T90" s="2599"/>
      <c r="U90" s="2599"/>
      <c r="V90" s="2599"/>
      <c r="W90" s="2599"/>
      <c r="X90" s="2599"/>
      <c r="Y90" s="2599"/>
      <c r="Z90" s="2599"/>
      <c r="AA90" s="2599"/>
      <c r="AB90" s="2599"/>
      <c r="AC90" s="2599"/>
      <c r="AD90" s="2599"/>
      <c r="AE90" s="2599"/>
      <c r="AF90" s="2599"/>
      <c r="AG90" s="2599"/>
      <c r="AH90" s="2599"/>
      <c r="AI90" s="2599"/>
      <c r="AJ90" s="260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7">
        <f>Application!AC761</f>
        <v>0.58965517241379306</v>
      </c>
      <c r="F92" s="2608"/>
      <c r="G92" s="2608"/>
      <c r="H92" s="2608"/>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9">
        <f>0.6-ROUNDUP(E92,2)</f>
        <v>1.0000000000000009E-2</v>
      </c>
      <c r="F93" s="2426"/>
      <c r="G93" s="2426"/>
      <c r="H93" s="2426"/>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8">
        <f>IF(E93*200&gt;20,20,E93*200)</f>
        <v>2.0000000000000018</v>
      </c>
      <c r="F94" s="2619"/>
      <c r="G94" s="2619"/>
      <c r="H94" s="2619"/>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4" t="s">
        <v>544</v>
      </c>
      <c r="C97" s="2594"/>
      <c r="D97" s="546" t="s">
        <v>1310</v>
      </c>
      <c r="E97" s="2595" t="s">
        <v>1713</v>
      </c>
      <c r="F97" s="2596"/>
      <c r="G97" s="2596"/>
      <c r="H97" s="2596"/>
      <c r="I97" s="2596"/>
      <c r="J97" s="2596"/>
      <c r="K97" s="2596"/>
      <c r="L97" s="2596"/>
      <c r="M97" s="2596"/>
      <c r="N97" s="2596"/>
      <c r="O97" s="2596"/>
      <c r="P97" s="2596"/>
      <c r="Q97" s="2596"/>
      <c r="R97" s="2596"/>
      <c r="S97" s="2596"/>
      <c r="T97" s="2596"/>
      <c r="U97" s="2596"/>
      <c r="V97" s="2596"/>
      <c r="W97" s="2596"/>
      <c r="X97" s="2596"/>
      <c r="Y97" s="2596"/>
      <c r="Z97" s="2596"/>
      <c r="AA97" s="2596"/>
      <c r="AB97" s="2596"/>
      <c r="AC97" s="2596"/>
      <c r="AD97" s="2596"/>
      <c r="AE97" s="2596"/>
      <c r="AF97" s="2596"/>
      <c r="AG97" s="2596"/>
      <c r="AH97" s="2596"/>
      <c r="AI97" s="2596"/>
      <c r="AJ97" s="2597"/>
      <c r="AK97" s="543"/>
      <c r="AL97" s="540"/>
      <c r="AM97" s="540"/>
      <c r="AN97" s="535"/>
    </row>
    <row r="98" spans="1:47" s="536" customFormat="1" ht="12.75" customHeight="1">
      <c r="A98" s="538"/>
      <c r="B98" s="539"/>
      <c r="C98" s="539"/>
      <c r="D98" s="539"/>
      <c r="E98" s="2598"/>
      <c r="F98" s="2599"/>
      <c r="G98" s="2599"/>
      <c r="H98" s="2599"/>
      <c r="I98" s="2599"/>
      <c r="J98" s="2599"/>
      <c r="K98" s="2599"/>
      <c r="L98" s="2599"/>
      <c r="M98" s="2599"/>
      <c r="N98" s="2599"/>
      <c r="O98" s="2599"/>
      <c r="P98" s="2599"/>
      <c r="Q98" s="2599"/>
      <c r="R98" s="2599"/>
      <c r="S98" s="2599"/>
      <c r="T98" s="2599"/>
      <c r="U98" s="2599"/>
      <c r="V98" s="2599"/>
      <c r="W98" s="2599"/>
      <c r="X98" s="2599"/>
      <c r="Y98" s="2599"/>
      <c r="Z98" s="2599"/>
      <c r="AA98" s="2599"/>
      <c r="AB98" s="2599"/>
      <c r="AC98" s="2599"/>
      <c r="AD98" s="2599"/>
      <c r="AE98" s="2599"/>
      <c r="AF98" s="2599"/>
      <c r="AG98" s="2599"/>
      <c r="AH98" s="2599"/>
      <c r="AI98" s="2599"/>
      <c r="AJ98" s="2600"/>
      <c r="AK98" s="543"/>
      <c r="AL98" s="540"/>
      <c r="AM98" s="540"/>
      <c r="AN98" s="535"/>
    </row>
    <row r="99" spans="1:47" s="536" customFormat="1" ht="12.75" customHeight="1">
      <c r="A99" s="538"/>
      <c r="B99" s="539"/>
      <c r="C99" s="539"/>
      <c r="D99" s="539"/>
      <c r="E99" s="2598"/>
      <c r="F99" s="2599"/>
      <c r="G99" s="2599"/>
      <c r="H99" s="2599"/>
      <c r="I99" s="2599"/>
      <c r="J99" s="2599"/>
      <c r="K99" s="2599"/>
      <c r="L99" s="2599"/>
      <c r="M99" s="2599"/>
      <c r="N99" s="2599"/>
      <c r="O99" s="2599"/>
      <c r="P99" s="2599"/>
      <c r="Q99" s="2599"/>
      <c r="R99" s="2599"/>
      <c r="S99" s="2599"/>
      <c r="T99" s="2599"/>
      <c r="U99" s="2599"/>
      <c r="V99" s="2599"/>
      <c r="W99" s="2599"/>
      <c r="X99" s="2599"/>
      <c r="Y99" s="2599"/>
      <c r="Z99" s="2599"/>
      <c r="AA99" s="2599"/>
      <c r="AB99" s="2599"/>
      <c r="AC99" s="2599"/>
      <c r="AD99" s="2599"/>
      <c r="AE99" s="2599"/>
      <c r="AF99" s="2599"/>
      <c r="AG99" s="2599"/>
      <c r="AH99" s="2599"/>
      <c r="AI99" s="2599"/>
      <c r="AJ99" s="2600"/>
      <c r="AK99" s="543"/>
      <c r="AL99" s="540"/>
      <c r="AM99" s="540"/>
      <c r="AN99" s="535"/>
    </row>
    <row r="100" spans="1:47" s="536" customFormat="1" ht="12.75" customHeight="1">
      <c r="A100" s="538"/>
      <c r="B100" s="539"/>
      <c r="C100" s="539"/>
      <c r="D100" s="539"/>
      <c r="E100" s="2598"/>
      <c r="F100" s="2599"/>
      <c r="G100" s="2599"/>
      <c r="H100" s="2599"/>
      <c r="I100" s="2599"/>
      <c r="J100" s="2599"/>
      <c r="K100" s="2599"/>
      <c r="L100" s="2599"/>
      <c r="M100" s="2599"/>
      <c r="N100" s="2599"/>
      <c r="O100" s="2599"/>
      <c r="P100" s="2599"/>
      <c r="Q100" s="2599"/>
      <c r="R100" s="2599"/>
      <c r="S100" s="2599"/>
      <c r="T100" s="2599"/>
      <c r="U100" s="2599"/>
      <c r="V100" s="2599"/>
      <c r="W100" s="2599"/>
      <c r="X100" s="2599"/>
      <c r="Y100" s="2599"/>
      <c r="Z100" s="2599"/>
      <c r="AA100" s="2599"/>
      <c r="AB100" s="2599"/>
      <c r="AC100" s="2599"/>
      <c r="AD100" s="2599"/>
      <c r="AE100" s="2599"/>
      <c r="AF100" s="2599"/>
      <c r="AG100" s="2599"/>
      <c r="AH100" s="2599"/>
      <c r="AI100" s="2599"/>
      <c r="AJ100" s="260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7">
        <f>Application!AC761</f>
        <v>0.58965517241379306</v>
      </c>
      <c r="F102" s="2608"/>
      <c r="G102" s="2608"/>
      <c r="H102" s="2608"/>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7">
        <f ca="1">SUMIF(Application!AC726:AG760,0.2,Application!G726:J760)/Application!G761+SUMIF(Application!AC726:AG760,0.25,Application!G726:J760)/Application!G761+SUMIF(Application!AC726:AG760,0.3,Application!G726:J760)/Application!G761</f>
        <v>0.10344827586206896</v>
      </c>
      <c r="F103" s="2608"/>
      <c r="G103" s="2608"/>
      <c r="H103" s="2608"/>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7">
        <f ca="1">SUMIF(Application!AC726:AG760,0.35,Application!G726:J760)/Application!G761+SUMIF(Application!AC726:AG760,0.4,Application!G726:J760)/Application!G761+SUMIF(Application!AC726:AG760,0.45,Application!G726:J760)/Application!G761+SUMIF(Application!AC726:AG760,0.5,Application!G726:J760)/Application!G761</f>
        <v>0.19827586206896552</v>
      </c>
      <c r="F104" s="2608"/>
      <c r="G104" s="2608"/>
      <c r="H104" s="2608"/>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5">
        <f ca="1">IF(AND(E102&lt;=0.6,OR(AND(E103&gt;=0.1,E104&gt;=0.1),AND(E103&gt;0.1,(E103+E104)&gt;=0.2))),20,0)</f>
        <v>20</v>
      </c>
      <c r="F105" s="2606"/>
      <c r="G105" s="2606"/>
      <c r="H105" s="2606"/>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6">
        <f ca="1">MAX(AP94,AP105)</f>
        <v>20</v>
      </c>
      <c r="AL108" s="2587"/>
      <c r="AM108" s="258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2" t="s">
        <v>1307</v>
      </c>
      <c r="AF111" s="2452"/>
      <c r="AG111" s="2452"/>
      <c r="AH111" s="2452"/>
      <c r="AI111" s="2452"/>
      <c r="AJ111" s="2452"/>
      <c r="AK111" s="2452"/>
      <c r="AL111" s="540"/>
      <c r="AM111" s="540"/>
      <c r="AN111" s="535"/>
      <c r="AO111" s="536" t="str">
        <f>Application!B726</f>
        <v>SRO/Studio</v>
      </c>
      <c r="AQ111" s="536">
        <f>Application!O726</f>
        <v>987</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1690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1690</v>
      </c>
    </row>
    <row r="114" spans="1:52" s="536" customFormat="1" ht="12.75" customHeight="1">
      <c r="A114" s="540"/>
      <c r="B114" s="2594" t="s">
        <v>544</v>
      </c>
      <c r="C114" s="2594"/>
      <c r="D114" s="546" t="s">
        <v>1308</v>
      </c>
      <c r="E114" s="2595" t="s">
        <v>2568</v>
      </c>
      <c r="F114" s="2596"/>
      <c r="G114" s="2596"/>
      <c r="H114" s="2596"/>
      <c r="I114" s="2596"/>
      <c r="J114" s="2596"/>
      <c r="K114" s="2596"/>
      <c r="L114" s="2596"/>
      <c r="M114" s="2596"/>
      <c r="N114" s="2596"/>
      <c r="O114" s="2596"/>
      <c r="P114" s="2596"/>
      <c r="Q114" s="2596"/>
      <c r="R114" s="2596"/>
      <c r="S114" s="2596"/>
      <c r="T114" s="2596"/>
      <c r="U114" s="2596"/>
      <c r="V114" s="2596"/>
      <c r="W114" s="2596"/>
      <c r="X114" s="2596"/>
      <c r="Y114" s="2596"/>
      <c r="Z114" s="2596"/>
      <c r="AA114" s="2596"/>
      <c r="AB114" s="2596"/>
      <c r="AC114" s="2596"/>
      <c r="AD114" s="2596"/>
      <c r="AE114" s="2596"/>
      <c r="AF114" s="2596"/>
      <c r="AG114" s="2596"/>
      <c r="AH114" s="2596"/>
      <c r="AI114" s="2596"/>
      <c r="AJ114" s="2597"/>
      <c r="AK114" s="540"/>
      <c r="AL114" s="540"/>
      <c r="AM114" s="540"/>
      <c r="AN114" s="535"/>
      <c r="AO114" s="536" t="str">
        <f>Application!B729</f>
        <v>1 Bedroom</v>
      </c>
      <c r="AQ114" s="536">
        <f>Application!O729</f>
        <v>1804</v>
      </c>
      <c r="AU114" s="536" t="s">
        <v>1816</v>
      </c>
      <c r="AV114" s="593" t="s">
        <v>1817</v>
      </c>
      <c r="AW114" s="536" t="s">
        <v>1818</v>
      </c>
    </row>
    <row r="115" spans="1:52" s="536" customFormat="1" ht="12.75" customHeight="1">
      <c r="A115" s="540"/>
      <c r="B115" s="539"/>
      <c r="C115" s="539"/>
      <c r="D115" s="539"/>
      <c r="E115" s="2598"/>
      <c r="F115" s="2599"/>
      <c r="G115" s="2599"/>
      <c r="H115" s="2599"/>
      <c r="I115" s="2599"/>
      <c r="J115" s="2599"/>
      <c r="K115" s="2599"/>
      <c r="L115" s="2599"/>
      <c r="M115" s="2599"/>
      <c r="N115" s="2599"/>
      <c r="O115" s="2599"/>
      <c r="P115" s="2599"/>
      <c r="Q115" s="2599"/>
      <c r="R115" s="2599"/>
      <c r="S115" s="2599"/>
      <c r="T115" s="2599"/>
      <c r="U115" s="2599"/>
      <c r="V115" s="2599"/>
      <c r="W115" s="2599"/>
      <c r="X115" s="2599"/>
      <c r="Y115" s="2599"/>
      <c r="Z115" s="2599"/>
      <c r="AA115" s="2599"/>
      <c r="AB115" s="2599"/>
      <c r="AC115" s="2599"/>
      <c r="AD115" s="2599"/>
      <c r="AE115" s="2599"/>
      <c r="AF115" s="2599"/>
      <c r="AG115" s="2599"/>
      <c r="AH115" s="2599"/>
      <c r="AI115" s="2599"/>
      <c r="AJ115" s="2600"/>
      <c r="AK115" s="540"/>
      <c r="AL115" s="540"/>
      <c r="AM115" s="540"/>
      <c r="AN115" s="535"/>
      <c r="AO115" s="536" t="str">
        <f>Application!B730</f>
        <v>1 Bedroom</v>
      </c>
      <c r="AQ115" s="536">
        <f>Application!O730</f>
        <v>2181</v>
      </c>
      <c r="AU115" s="852" t="str">
        <f>E123</f>
        <v>Studio/SRO</v>
      </c>
      <c r="AV115" s="536">
        <f t="array" ref="AV115">SUM(IF(Application!B726:F760="SRO/Studio",Application!G726:J760))</f>
        <v>65</v>
      </c>
      <c r="AW115" s="1006">
        <f>AV115/AV121</f>
        <v>0.28017241379310343</v>
      </c>
    </row>
    <row r="116" spans="1:52" s="536" customFormat="1" ht="12.75" customHeight="1">
      <c r="A116" s="540"/>
      <c r="B116" s="539"/>
      <c r="C116" s="539"/>
      <c r="D116" s="539"/>
      <c r="E116" s="2598"/>
      <c r="F116" s="2599"/>
      <c r="G116" s="2599"/>
      <c r="H116" s="2599"/>
      <c r="I116" s="2599"/>
      <c r="J116" s="2599"/>
      <c r="K116" s="2599"/>
      <c r="L116" s="2599"/>
      <c r="M116" s="2599"/>
      <c r="N116" s="2599"/>
      <c r="O116" s="2599"/>
      <c r="P116" s="2599"/>
      <c r="Q116" s="2599"/>
      <c r="R116" s="2599"/>
      <c r="S116" s="2599"/>
      <c r="T116" s="2599"/>
      <c r="U116" s="2599"/>
      <c r="V116" s="2599"/>
      <c r="W116" s="2599"/>
      <c r="X116" s="2599"/>
      <c r="Y116" s="2599"/>
      <c r="Z116" s="2599"/>
      <c r="AA116" s="2599"/>
      <c r="AB116" s="2599"/>
      <c r="AC116" s="2599"/>
      <c r="AD116" s="2599"/>
      <c r="AE116" s="2599"/>
      <c r="AF116" s="2599"/>
      <c r="AG116" s="2599"/>
      <c r="AH116" s="2599"/>
      <c r="AI116" s="2599"/>
      <c r="AJ116" s="2600"/>
      <c r="AK116" s="540"/>
      <c r="AL116" s="540"/>
      <c r="AM116" s="540"/>
      <c r="AN116" s="535"/>
      <c r="AO116" s="536" t="str">
        <f>Application!B731</f>
        <v>1 Bedroom</v>
      </c>
      <c r="AQ116" s="536">
        <f>Application!O731</f>
        <v>2181</v>
      </c>
      <c r="AU116" s="852" t="str">
        <f>J123</f>
        <v>1-bedroom</v>
      </c>
      <c r="AV116" s="536">
        <f t="array" ref="AV116">SUM(IF(Application!B726:F760="1 Bedroom",Application!G726:J760))</f>
        <v>48</v>
      </c>
      <c r="AW116" s="1006">
        <f>AV116/AV121</f>
        <v>0.20689655172413793</v>
      </c>
    </row>
    <row r="117" spans="1:52" s="536" customFormat="1" ht="12.75" customHeight="1">
      <c r="A117" s="540"/>
      <c r="B117" s="539"/>
      <c r="C117" s="539"/>
      <c r="D117" s="539"/>
      <c r="E117" s="2598"/>
      <c r="F117" s="2599"/>
      <c r="G117" s="2599"/>
      <c r="H117" s="2599"/>
      <c r="I117" s="2599"/>
      <c r="J117" s="2599"/>
      <c r="K117" s="2599"/>
      <c r="L117" s="2599"/>
      <c r="M117" s="2599"/>
      <c r="N117" s="2599"/>
      <c r="O117" s="2599"/>
      <c r="P117" s="2599"/>
      <c r="Q117" s="2599"/>
      <c r="R117" s="2599"/>
      <c r="S117" s="2599"/>
      <c r="T117" s="2599"/>
      <c r="U117" s="2599"/>
      <c r="V117" s="2599"/>
      <c r="W117" s="2599"/>
      <c r="X117" s="2599"/>
      <c r="Y117" s="2599"/>
      <c r="Z117" s="2599"/>
      <c r="AA117" s="2599"/>
      <c r="AB117" s="2599"/>
      <c r="AC117" s="2599"/>
      <c r="AD117" s="2599"/>
      <c r="AE117" s="2599"/>
      <c r="AF117" s="2599"/>
      <c r="AG117" s="2599"/>
      <c r="AH117" s="2599"/>
      <c r="AI117" s="2599"/>
      <c r="AJ117" s="2600"/>
      <c r="AK117" s="540"/>
      <c r="AL117" s="540"/>
      <c r="AM117" s="540"/>
      <c r="AN117" s="535"/>
      <c r="AO117" s="536">
        <f>Application!B732</f>
        <v>0</v>
      </c>
      <c r="AQ117" s="536">
        <f>Application!O732</f>
        <v>0</v>
      </c>
      <c r="AU117" s="852" t="str">
        <f>O123</f>
        <v>2-bedroom</v>
      </c>
      <c r="AV117" s="536">
        <f t="array" ref="AV117">SUM(IF(Application!B726:F760="2 Bedrooms",Application!G726:J760))</f>
        <v>59</v>
      </c>
      <c r="AW117" s="1006">
        <f>AV117/AV121</f>
        <v>0.25431034482758619</v>
      </c>
    </row>
    <row r="118" spans="1:52" s="536" customFormat="1" ht="12.75" customHeight="1">
      <c r="A118" s="540"/>
      <c r="B118" s="539"/>
      <c r="C118" s="539"/>
      <c r="D118" s="539"/>
      <c r="E118" s="2598"/>
      <c r="F118" s="2599"/>
      <c r="G118" s="2599"/>
      <c r="H118" s="2599"/>
      <c r="I118" s="2599"/>
      <c r="J118" s="2599"/>
      <c r="K118" s="2599"/>
      <c r="L118" s="2599"/>
      <c r="M118" s="2599"/>
      <c r="N118" s="2599"/>
      <c r="O118" s="2599"/>
      <c r="P118" s="2599"/>
      <c r="Q118" s="2599"/>
      <c r="R118" s="2599"/>
      <c r="S118" s="2599"/>
      <c r="T118" s="2599"/>
      <c r="U118" s="2599"/>
      <c r="V118" s="2599"/>
      <c r="W118" s="2599"/>
      <c r="X118" s="2599"/>
      <c r="Y118" s="2599"/>
      <c r="Z118" s="2599"/>
      <c r="AA118" s="2599"/>
      <c r="AB118" s="2599"/>
      <c r="AC118" s="2599"/>
      <c r="AD118" s="2599"/>
      <c r="AE118" s="2599"/>
      <c r="AF118" s="2599"/>
      <c r="AG118" s="2599"/>
      <c r="AH118" s="2599"/>
      <c r="AI118" s="2599"/>
      <c r="AJ118" s="2600"/>
      <c r="AK118" s="540"/>
      <c r="AL118" s="540"/>
      <c r="AM118" s="540"/>
      <c r="AN118" s="535"/>
      <c r="AO118" s="536" t="str">
        <f>Application!B733</f>
        <v>2 Bedrooms</v>
      </c>
      <c r="AQ118" s="536">
        <f>Application!O733</f>
        <v>2606</v>
      </c>
      <c r="AU118" s="852" t="str">
        <f>T123</f>
        <v>3-bedroom</v>
      </c>
      <c r="AV118" s="536">
        <f t="array" ref="AV118">SUM(IF(Application!B726:F760="3 Bedrooms",Application!G726:J760))</f>
        <v>60</v>
      </c>
      <c r="AW118" s="1006">
        <f>AV118/AV121</f>
        <v>0.25862068965517243</v>
      </c>
    </row>
    <row r="119" spans="1:52" s="536" customFormat="1" ht="12.75" customHeight="1">
      <c r="A119" s="540"/>
      <c r="B119" s="539"/>
      <c r="C119" s="539"/>
      <c r="D119" s="539"/>
      <c r="E119" s="2598"/>
      <c r="F119" s="2599"/>
      <c r="G119" s="2599"/>
      <c r="H119" s="2599"/>
      <c r="I119" s="2599"/>
      <c r="J119" s="2599"/>
      <c r="K119" s="2599"/>
      <c r="L119" s="2599"/>
      <c r="M119" s="2599"/>
      <c r="N119" s="2599"/>
      <c r="O119" s="2599"/>
      <c r="P119" s="2599"/>
      <c r="Q119" s="2599"/>
      <c r="R119" s="2599"/>
      <c r="S119" s="2599"/>
      <c r="T119" s="2599"/>
      <c r="U119" s="2599"/>
      <c r="V119" s="2599"/>
      <c r="W119" s="2599"/>
      <c r="X119" s="2599"/>
      <c r="Y119" s="2599"/>
      <c r="Z119" s="2599"/>
      <c r="AA119" s="2599"/>
      <c r="AB119" s="2599"/>
      <c r="AC119" s="2599"/>
      <c r="AD119" s="2599"/>
      <c r="AE119" s="2599"/>
      <c r="AF119" s="2599"/>
      <c r="AG119" s="2599"/>
      <c r="AH119" s="2599"/>
      <c r="AI119" s="2599"/>
      <c r="AJ119" s="2600"/>
      <c r="AK119" s="540"/>
      <c r="AL119" s="540"/>
      <c r="AM119" s="540"/>
      <c r="AN119" s="535"/>
      <c r="AO119" s="536" t="str">
        <f>Application!B734</f>
        <v>2 Bedrooms</v>
      </c>
      <c r="AQ119" s="536">
        <f>Application!O734</f>
        <v>2606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8"/>
      <c r="F120" s="2599"/>
      <c r="G120" s="2599"/>
      <c r="H120" s="2599"/>
      <c r="I120" s="2599"/>
      <c r="J120" s="2599"/>
      <c r="K120" s="2599"/>
      <c r="L120" s="2599"/>
      <c r="M120" s="2599"/>
      <c r="N120" s="2599"/>
      <c r="O120" s="2599"/>
      <c r="P120" s="2599"/>
      <c r="Q120" s="2599"/>
      <c r="R120" s="2599"/>
      <c r="S120" s="2599"/>
      <c r="T120" s="2599"/>
      <c r="U120" s="2599"/>
      <c r="V120" s="2599"/>
      <c r="W120" s="2599"/>
      <c r="X120" s="2599"/>
      <c r="Y120" s="2599"/>
      <c r="Z120" s="2599"/>
      <c r="AA120" s="2599"/>
      <c r="AB120" s="2599"/>
      <c r="AC120" s="2599"/>
      <c r="AD120" s="2599"/>
      <c r="AE120" s="2599"/>
      <c r="AF120" s="2599"/>
      <c r="AG120" s="2599"/>
      <c r="AH120" s="2599"/>
      <c r="AI120" s="2599"/>
      <c r="AJ120" s="2600"/>
      <c r="AK120" s="540"/>
      <c r="AL120" s="540"/>
      <c r="AM120" s="540"/>
      <c r="AN120" s="535"/>
      <c r="AO120" s="536" t="str">
        <f>Application!B735</f>
        <v>3 Bedrooms</v>
      </c>
      <c r="AQ120" s="536">
        <f>Application!O735</f>
        <v>1430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8"/>
      <c r="F121" s="2599"/>
      <c r="G121" s="2599"/>
      <c r="H121" s="2599"/>
      <c r="I121" s="2599"/>
      <c r="J121" s="2599"/>
      <c r="K121" s="2599"/>
      <c r="L121" s="2599"/>
      <c r="M121" s="2599"/>
      <c r="N121" s="2599"/>
      <c r="O121" s="2599"/>
      <c r="P121" s="2599"/>
      <c r="Q121" s="2599"/>
      <c r="R121" s="2599"/>
      <c r="S121" s="2599"/>
      <c r="T121" s="2599"/>
      <c r="U121" s="2599"/>
      <c r="V121" s="2599"/>
      <c r="W121" s="2599"/>
      <c r="X121" s="2599"/>
      <c r="Y121" s="2599"/>
      <c r="Z121" s="2599"/>
      <c r="AA121" s="2599"/>
      <c r="AB121" s="2599"/>
      <c r="AC121" s="2599"/>
      <c r="AD121" s="2599"/>
      <c r="AE121" s="2599"/>
      <c r="AF121" s="2599"/>
      <c r="AG121" s="2599"/>
      <c r="AH121" s="2599"/>
      <c r="AI121" s="2599"/>
      <c r="AJ121" s="2600"/>
      <c r="AK121" s="540"/>
      <c r="AL121" s="540"/>
      <c r="AM121" s="540"/>
      <c r="AN121" s="535"/>
      <c r="AO121" s="536" t="str">
        <f>Application!B736</f>
        <v>3 Bedrooms</v>
      </c>
      <c r="AQ121" s="536">
        <f>Application!O736</f>
        <v>2997</v>
      </c>
      <c r="AV121" s="536">
        <f>SUM(AV115:AV120)</f>
        <v>232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2997</v>
      </c>
    </row>
    <row r="123" spans="1:52" s="536" customFormat="1" ht="12.75" customHeight="1">
      <c r="A123" s="540"/>
      <c r="B123" s="539"/>
      <c r="C123" s="540"/>
      <c r="D123" s="540"/>
      <c r="E123" s="2607" t="s">
        <v>1576</v>
      </c>
      <c r="F123" s="2608"/>
      <c r="G123" s="2608"/>
      <c r="H123" s="2608"/>
      <c r="I123" s="575"/>
      <c r="J123" s="2608" t="s">
        <v>1619</v>
      </c>
      <c r="K123" s="2608"/>
      <c r="L123" s="2608"/>
      <c r="M123" s="2608"/>
      <c r="N123" s="575"/>
      <c r="O123" s="2608" t="s">
        <v>1620</v>
      </c>
      <c r="P123" s="2608"/>
      <c r="Q123" s="2608"/>
      <c r="R123" s="2608"/>
      <c r="S123" s="575"/>
      <c r="T123" s="2608" t="s">
        <v>1327</v>
      </c>
      <c r="U123" s="2608"/>
      <c r="V123" s="2608"/>
      <c r="W123" s="2608"/>
      <c r="X123" s="575"/>
      <c r="Y123" s="2608" t="s">
        <v>1621</v>
      </c>
      <c r="Z123" s="2608"/>
      <c r="AA123" s="2608"/>
      <c r="AB123" s="2608"/>
      <c r="AC123" s="575"/>
      <c r="AD123" s="2608" t="s">
        <v>1622</v>
      </c>
      <c r="AE123" s="2608"/>
      <c r="AF123" s="2608"/>
      <c r="AG123" s="260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9">
        <v>3403</v>
      </c>
      <c r="F126" s="2610"/>
      <c r="G126" s="2610"/>
      <c r="H126" s="2610"/>
      <c r="I126" s="860"/>
      <c r="J126" s="2610">
        <v>3299</v>
      </c>
      <c r="K126" s="2610"/>
      <c r="L126" s="2610"/>
      <c r="M126" s="2610"/>
      <c r="N126" s="860"/>
      <c r="O126" s="2610">
        <v>4879</v>
      </c>
      <c r="P126" s="2610"/>
      <c r="Q126" s="2610"/>
      <c r="R126" s="2610"/>
      <c r="S126" s="860"/>
      <c r="T126" s="2610">
        <v>5937</v>
      </c>
      <c r="U126" s="2610"/>
      <c r="V126" s="2610"/>
      <c r="W126" s="2610"/>
      <c r="X126" s="860"/>
      <c r="Y126" s="2610"/>
      <c r="Z126" s="2610"/>
      <c r="AA126" s="2610"/>
      <c r="AB126" s="2610"/>
      <c r="AC126" s="860"/>
      <c r="AD126" s="2610"/>
      <c r="AE126" s="2610"/>
      <c r="AF126" s="2610"/>
      <c r="AG126" s="261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3">
        <f>Application!DX678</f>
        <v>1441.2461538461539</v>
      </c>
      <c r="F129" s="2617"/>
      <c r="G129" s="2617"/>
      <c r="H129" s="2617"/>
      <c r="I129" s="860"/>
      <c r="J129" s="2617">
        <f>Application!EC678</f>
        <v>2141.729166666667</v>
      </c>
      <c r="K129" s="2617"/>
      <c r="L129" s="2617"/>
      <c r="M129" s="2617"/>
      <c r="N129" s="860"/>
      <c r="O129" s="2617">
        <f>Application!EH678</f>
        <v>2606</v>
      </c>
      <c r="P129" s="2617"/>
      <c r="Q129" s="2617"/>
      <c r="R129" s="2617"/>
      <c r="S129" s="864"/>
      <c r="T129" s="2617">
        <f>Application!EM678</f>
        <v>2970.8833333333332</v>
      </c>
      <c r="U129" s="2617"/>
      <c r="V129" s="2617"/>
      <c r="W129" s="2617"/>
      <c r="X129" s="864"/>
      <c r="Y129" s="2617">
        <f>Application!ER678</f>
        <v>0</v>
      </c>
      <c r="Z129" s="2617"/>
      <c r="AA129" s="2617"/>
      <c r="AB129" s="2617"/>
      <c r="AC129" s="864"/>
      <c r="AD129" s="2617">
        <f>Application!EW678</f>
        <v>0</v>
      </c>
      <c r="AE129" s="2617"/>
      <c r="AF129" s="2617"/>
      <c r="AG129" s="2617"/>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5">
        <f>(E126-E129)/E126</f>
        <v>0.57647776848482102</v>
      </c>
      <c r="F132" s="2426"/>
      <c r="G132" s="2426"/>
      <c r="H132" s="2427"/>
      <c r="I132" s="575"/>
      <c r="J132" s="2425">
        <f>(J126-J129)/J126</f>
        <v>0.3507944326563604</v>
      </c>
      <c r="K132" s="2426"/>
      <c r="L132" s="2426"/>
      <c r="M132" s="2427"/>
      <c r="N132" s="575"/>
      <c r="O132" s="2425">
        <f>(O126-O129)/O126</f>
        <v>0.46587415453986475</v>
      </c>
      <c r="P132" s="2426"/>
      <c r="Q132" s="2426"/>
      <c r="R132" s="2427"/>
      <c r="S132" s="575"/>
      <c r="T132" s="2425">
        <f>(T126-T129)/T126</f>
        <v>0.49959856268598057</v>
      </c>
      <c r="U132" s="2426"/>
      <c r="V132" s="2426"/>
      <c r="W132" s="2427"/>
      <c r="X132" s="575"/>
      <c r="Y132" s="2425" t="e">
        <f>(Y126-Y129)/Y126</f>
        <v>#DIV/0!</v>
      </c>
      <c r="Z132" s="2426"/>
      <c r="AA132" s="2426"/>
      <c r="AB132" s="2427"/>
      <c r="AC132" s="575"/>
      <c r="AD132" s="2425" t="e">
        <f>(AD126-AD129)/AD126</f>
        <v>#DIV/0!</v>
      </c>
      <c r="AE132" s="2426"/>
      <c r="AF132" s="2426"/>
      <c r="AG132" s="24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4">
        <f>IF(((E132-0.1)*AW115)&gt;0,((E132-0.1)*AW115),0)</f>
        <v>0.1334959265151438</v>
      </c>
      <c r="F135" s="2615"/>
      <c r="G135" s="2615"/>
      <c r="H135" s="2616"/>
      <c r="I135" s="575"/>
      <c r="J135" s="2614">
        <f>IF(((J132-0.1)*AW116)&gt;0,((J132-0.1)*AW116),0)</f>
        <v>5.1888503308212486E-2</v>
      </c>
      <c r="K135" s="2615"/>
      <c r="L135" s="2615"/>
      <c r="M135" s="2616"/>
      <c r="N135" s="575"/>
      <c r="O135" s="2614">
        <f>IF(((O132-0.1)*AW117)&gt;0,((O132-0.1)*AW117),0)</f>
        <v>9.304558240453456E-2</v>
      </c>
      <c r="P135" s="2615"/>
      <c r="Q135" s="2615"/>
      <c r="R135" s="2616"/>
      <c r="S135" s="575"/>
      <c r="T135" s="2614">
        <f>IF(((T132-0.1)*AW118)&gt;0,((T132-0.1)*AW118),0)</f>
        <v>0.10334445586706395</v>
      </c>
      <c r="U135" s="2615"/>
      <c r="V135" s="2615"/>
      <c r="W135" s="2616"/>
      <c r="X135" s="575"/>
      <c r="Y135" s="2614" t="e">
        <f>IF(((Y132-0.1)*AW119)&gt;0,((Y132-0.1)*AW119),0)</f>
        <v>#DIV/0!</v>
      </c>
      <c r="Z135" s="2615"/>
      <c r="AA135" s="2615"/>
      <c r="AB135" s="2616"/>
      <c r="AC135" s="575"/>
      <c r="AD135" s="2614" t="e">
        <f>IF(((AD132-0.1)*AW120)&gt;0,((AD132-0.1)*AW120),0)</f>
        <v>#DIV/0!</v>
      </c>
      <c r="AE135" s="2615"/>
      <c r="AF135" s="2615"/>
      <c r="AG135" s="2616"/>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5">
        <f>ROUNDDOWN(SUMIF(E135:AG135,"&gt;0"),2)</f>
        <v>0.38</v>
      </c>
      <c r="F137" s="2426"/>
      <c r="G137" s="2426"/>
      <c r="H137" s="2427"/>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6">
        <f>IF((E137*100)&gt;10,10,E137*100)</f>
        <v>10</v>
      </c>
      <c r="F138" s="2587"/>
      <c r="G138" s="2587"/>
      <c r="H138" s="2588"/>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6">
        <f>E138</f>
        <v>10</v>
      </c>
      <c r="AL142" s="2587"/>
      <c r="AM142" s="258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2" t="s">
        <v>1307</v>
      </c>
      <c r="AF145" s="2452"/>
      <c r="AG145" s="2452"/>
      <c r="AH145" s="2452"/>
      <c r="AI145" s="2452"/>
      <c r="AJ145" s="2452"/>
      <c r="AK145" s="2452"/>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3" t="s">
        <v>1331</v>
      </c>
      <c r="AG147" s="2393"/>
      <c r="AH147" s="2393"/>
      <c r="AI147" s="2393"/>
      <c r="AJ147" s="2393"/>
      <c r="AK147" s="2393"/>
      <c r="AL147" s="2393"/>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0" t="s">
        <v>2759</v>
      </c>
      <c r="C149" s="2590"/>
      <c r="D149" s="2590"/>
      <c r="E149" s="2590"/>
      <c r="F149" s="2590"/>
      <c r="G149" s="2590"/>
      <c r="H149" s="2590"/>
      <c r="I149" s="2590"/>
      <c r="J149" s="2590"/>
      <c r="K149" s="2590"/>
      <c r="L149" s="2590"/>
      <c r="M149" s="2590"/>
      <c r="N149" s="2590"/>
      <c r="O149" s="2590"/>
      <c r="P149" s="2590"/>
      <c r="Q149" s="2590"/>
      <c r="R149" s="2590"/>
      <c r="S149" s="2590"/>
      <c r="T149" s="2590"/>
      <c r="U149" s="2590"/>
      <c r="V149" s="2590"/>
      <c r="W149" s="2590"/>
      <c r="X149" s="2590"/>
      <c r="Y149" s="2590"/>
      <c r="Z149" s="2590"/>
      <c r="AA149" s="2590"/>
      <c r="AB149" s="2590"/>
      <c r="AC149" s="259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1" t="s">
        <v>1334</v>
      </c>
      <c r="C152" s="2591"/>
      <c r="D152" s="2591"/>
      <c r="E152" s="2591"/>
      <c r="F152" s="2591"/>
      <c r="G152" s="2591"/>
      <c r="H152" s="2591"/>
      <c r="I152" s="2591"/>
      <c r="J152" s="2591"/>
      <c r="K152" s="2591"/>
      <c r="L152" s="2591"/>
      <c r="M152" s="2591"/>
      <c r="N152" s="2591"/>
      <c r="O152" s="2591"/>
      <c r="P152" s="2591"/>
      <c r="Q152" s="2591"/>
      <c r="R152" s="2591"/>
      <c r="S152" s="2591"/>
      <c r="T152" s="2591"/>
      <c r="U152" s="2591"/>
      <c r="V152" s="2591"/>
      <c r="W152" s="2591"/>
      <c r="X152" s="2591"/>
      <c r="Y152" s="2591"/>
      <c r="Z152" s="2591"/>
      <c r="AA152" s="2591"/>
      <c r="AB152" s="2591"/>
      <c r="AC152" s="2591"/>
      <c r="AD152" s="2591"/>
      <c r="AE152" s="2591"/>
      <c r="AF152" s="2591"/>
      <c r="AG152" s="2591"/>
      <c r="AH152" s="2591"/>
      <c r="AI152" s="2591"/>
      <c r="AM152" s="539"/>
      <c r="AN152" s="535"/>
      <c r="AO152" s="476" t="s">
        <v>1334</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400" t="s">
        <v>590</v>
      </c>
      <c r="AC154" s="240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1" t="s">
        <v>1336</v>
      </c>
      <c r="C157" s="2591"/>
      <c r="D157" s="2591"/>
      <c r="E157" s="2591"/>
      <c r="F157" s="2591"/>
      <c r="G157" s="2591"/>
      <c r="H157" s="2591"/>
      <c r="I157" s="2591"/>
      <c r="J157" s="2591"/>
      <c r="K157" s="2591"/>
      <c r="L157" s="2591"/>
      <c r="M157" s="2591"/>
      <c r="N157" s="2591"/>
      <c r="O157" s="2591"/>
      <c r="P157" s="2591"/>
      <c r="Q157" s="2591"/>
      <c r="R157" s="2591"/>
      <c r="S157" s="2591"/>
      <c r="T157" s="2591"/>
      <c r="U157" s="2591"/>
      <c r="V157" s="2591"/>
      <c r="W157" s="2591"/>
      <c r="X157" s="2591"/>
      <c r="Y157" s="2591"/>
      <c r="Z157" s="2591"/>
      <c r="AA157" s="2591"/>
      <c r="AB157" s="2591"/>
      <c r="AC157" s="2591"/>
      <c r="AD157" s="2591"/>
      <c r="AE157" s="2591"/>
      <c r="AF157" s="2591"/>
      <c r="AG157" s="2591"/>
      <c r="AH157" s="2591"/>
      <c r="AI157" s="2591"/>
      <c r="AJ157" s="2591"/>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7" t="s">
        <v>2407</v>
      </c>
      <c r="C160" s="2397"/>
      <c r="D160" s="2397"/>
      <c r="E160" s="2397"/>
      <c r="F160" s="2397"/>
      <c r="G160" s="2397"/>
      <c r="H160" s="2397"/>
      <c r="I160" s="2397"/>
      <c r="J160" s="2397"/>
      <c r="K160" s="2397"/>
      <c r="L160" s="2397"/>
      <c r="M160" s="2397"/>
      <c r="N160" s="2397"/>
      <c r="O160" s="2397"/>
      <c r="P160" s="2397"/>
      <c r="Q160" s="2397"/>
      <c r="R160" s="2397"/>
      <c r="S160" s="2397"/>
      <c r="T160" s="2397"/>
      <c r="U160" s="2397"/>
      <c r="V160" s="2397"/>
      <c r="W160" s="2397"/>
      <c r="X160" s="2397"/>
      <c r="Y160" s="2397"/>
      <c r="Z160" s="2397"/>
      <c r="AA160" s="2397"/>
      <c r="AB160" s="2397"/>
      <c r="AC160" s="2397"/>
      <c r="AD160" s="2397"/>
      <c r="AE160" s="2397"/>
      <c r="AF160" s="2397"/>
      <c r="AG160" s="2397"/>
      <c r="AH160" s="2397"/>
      <c r="AI160" s="2397"/>
      <c r="AJ160" s="2397"/>
      <c r="AK160" s="1173"/>
      <c r="AM160" s="539"/>
      <c r="AN160" s="535"/>
      <c r="AO160" s="476"/>
      <c r="AP160" s="489"/>
    </row>
    <row r="161" spans="1:42" s="536" customFormat="1" ht="12.75" customHeight="1">
      <c r="B161" s="2397"/>
      <c r="C161" s="2397"/>
      <c r="D161" s="2397"/>
      <c r="E161" s="2397"/>
      <c r="F161" s="2397"/>
      <c r="G161" s="2397"/>
      <c r="H161" s="2397"/>
      <c r="I161" s="2397"/>
      <c r="J161" s="2397"/>
      <c r="K161" s="2397"/>
      <c r="L161" s="2397"/>
      <c r="M161" s="2397"/>
      <c r="N161" s="2397"/>
      <c r="O161" s="2397"/>
      <c r="P161" s="2397"/>
      <c r="Q161" s="2397"/>
      <c r="R161" s="2397"/>
      <c r="S161" s="2397"/>
      <c r="T161" s="2397"/>
      <c r="U161" s="2397"/>
      <c r="V161" s="2397"/>
      <c r="W161" s="2397"/>
      <c r="X161" s="2397"/>
      <c r="Y161" s="2397"/>
      <c r="Z161" s="2397"/>
      <c r="AA161" s="2397"/>
      <c r="AB161" s="2397"/>
      <c r="AC161" s="2397"/>
      <c r="AD161" s="2397"/>
      <c r="AE161" s="2397"/>
      <c r="AF161" s="2397"/>
      <c r="AG161" s="2397"/>
      <c r="AH161" s="2397"/>
      <c r="AI161" s="2397"/>
      <c r="AJ161" s="2397"/>
      <c r="AK161" s="1173"/>
      <c r="AM161" s="539"/>
      <c r="AN161" s="535"/>
      <c r="AO161" s="476"/>
      <c r="AP161" s="489"/>
    </row>
    <row r="162" spans="1:42" s="536" customFormat="1" ht="12.75" customHeight="1">
      <c r="C162" s="2398" t="s">
        <v>2408</v>
      </c>
      <c r="D162" s="2398"/>
      <c r="E162" s="2398"/>
      <c r="F162" s="2398"/>
      <c r="G162" s="2398"/>
      <c r="H162" s="2398"/>
      <c r="I162" s="2398"/>
      <c r="J162" s="2398"/>
      <c r="K162" s="2398"/>
      <c r="L162" s="2398"/>
      <c r="M162" s="2398"/>
      <c r="N162" s="2398"/>
      <c r="O162" s="2398"/>
      <c r="P162" s="2398"/>
      <c r="Q162" s="2398"/>
      <c r="R162" s="2398"/>
      <c r="S162" s="2398"/>
      <c r="T162" s="2398"/>
      <c r="U162" s="2398"/>
      <c r="V162" s="2398"/>
      <c r="W162" s="2398"/>
      <c r="X162" s="2398"/>
      <c r="Y162" s="2398"/>
      <c r="Z162" s="2398"/>
      <c r="AA162" s="2398"/>
      <c r="AB162" s="2398"/>
      <c r="AC162" s="2398"/>
      <c r="AD162" s="2398"/>
      <c r="AE162" s="2398"/>
      <c r="AF162" s="2398"/>
      <c r="AG162" s="2398"/>
      <c r="AH162" s="2398"/>
      <c r="AI162" s="2398"/>
      <c r="AJ162" s="2398"/>
      <c r="AK162" s="1173"/>
      <c r="AM162" s="539"/>
      <c r="AN162" s="535"/>
      <c r="AO162" s="476"/>
      <c r="AP162" s="489"/>
    </row>
    <row r="163" spans="1:42" s="536" customFormat="1" ht="12.75" customHeight="1">
      <c r="B163" s="1173"/>
      <c r="C163" s="2399" t="s">
        <v>2406</v>
      </c>
      <c r="D163" s="2399"/>
      <c r="E163" s="2399"/>
      <c r="F163" s="2399"/>
      <c r="G163" s="2399"/>
      <c r="H163" s="2399"/>
      <c r="I163" s="2399"/>
      <c r="J163" s="2399"/>
      <c r="K163" s="2399"/>
      <c r="L163" s="2399"/>
      <c r="M163" s="2399"/>
      <c r="N163" s="2399"/>
      <c r="O163" s="2399"/>
      <c r="P163" s="2399"/>
      <c r="Q163" s="2399"/>
      <c r="R163" s="2399"/>
      <c r="S163" s="2399"/>
      <c r="T163" s="2399"/>
      <c r="U163" s="2399"/>
      <c r="V163" s="2399"/>
      <c r="W163" s="2399"/>
      <c r="X163" s="2399"/>
      <c r="Y163" s="2399"/>
      <c r="Z163" s="2399"/>
      <c r="AA163" s="1163"/>
      <c r="AB163" s="1163"/>
      <c r="AC163" s="1163"/>
      <c r="AD163" s="1163"/>
      <c r="AE163" s="1163"/>
      <c r="AF163" s="1163"/>
      <c r="AG163" s="1163"/>
      <c r="AH163" s="1163"/>
      <c r="AJ163" s="2400" t="s">
        <v>590</v>
      </c>
      <c r="AK163" s="240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2">
        <f>IF($AB$154="N/A",VLOOKUP($B$152,$AO$150:$AP$153,2,FALSE),VLOOKUP($B$157,$AO$155:$AP$157,2,FALSE))</f>
        <v>7</v>
      </c>
      <c r="AK165" s="2492"/>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3" t="s">
        <v>1345</v>
      </c>
      <c r="AG167" s="2393"/>
      <c r="AH167" s="2393"/>
      <c r="AI167" s="2393"/>
      <c r="AJ167" s="2393"/>
      <c r="AK167" s="2393"/>
      <c r="AL167" s="2393"/>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1" t="s">
        <v>1343</v>
      </c>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0" t="s">
        <v>590</v>
      </c>
      <c r="AG171" s="2400"/>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91" t="s">
        <v>1336</v>
      </c>
      <c r="D173" s="2591"/>
      <c r="E173" s="2591"/>
      <c r="F173" s="2591"/>
      <c r="G173" s="2591"/>
      <c r="H173" s="2591"/>
      <c r="I173" s="2591"/>
      <c r="J173" s="2591"/>
      <c r="K173" s="2591"/>
      <c r="L173" s="2591"/>
      <c r="M173" s="2591"/>
      <c r="N173" s="2591"/>
      <c r="O173" s="2591"/>
      <c r="P173" s="2591"/>
      <c r="Q173" s="2591"/>
      <c r="R173" s="2591"/>
      <c r="S173" s="2591"/>
      <c r="T173" s="2591"/>
      <c r="U173" s="2591"/>
      <c r="V173" s="2591"/>
      <c r="W173" s="2591"/>
      <c r="X173" s="2591"/>
      <c r="Y173" s="2591"/>
      <c r="Z173" s="2591"/>
      <c r="AA173" s="2591"/>
      <c r="AB173" s="2591"/>
      <c r="AC173" s="2591"/>
      <c r="AD173" s="2591"/>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2" t="str">
        <f>Application!AA344</f>
        <v>Eden Housing Management, Inc.</v>
      </c>
      <c r="D177" s="2592"/>
      <c r="E177" s="2592"/>
      <c r="F177" s="2592"/>
      <c r="G177" s="2592"/>
      <c r="H177" s="2592"/>
      <c r="I177" s="2592"/>
      <c r="J177" s="2592"/>
      <c r="K177" s="2592"/>
      <c r="L177" s="2592"/>
      <c r="M177" s="2592"/>
      <c r="N177" s="2592"/>
      <c r="O177" s="2592"/>
      <c r="P177" s="2592"/>
      <c r="Q177" s="2592"/>
      <c r="R177" s="2592"/>
      <c r="S177" s="2592"/>
      <c r="T177" s="2592"/>
      <c r="U177" s="2592"/>
      <c r="V177" s="2592"/>
      <c r="W177" s="2592"/>
      <c r="X177" s="2592"/>
      <c r="Y177" s="2592"/>
      <c r="Z177" s="2592"/>
      <c r="AA177" s="2592"/>
      <c r="AB177" s="2592"/>
      <c r="AC177" s="2592"/>
      <c r="AD177" s="2592"/>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1">
        <f>IF($AF$171="N/A",VLOOKUP($C$169,$AO$169:$AP$172,2,FALSE),VLOOKUP($C$173,$AO$176:$AP$178,2,FALSE))</f>
        <v>3</v>
      </c>
      <c r="AK179" s="2491"/>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6">
        <f>$AJ$165+$AJ$179</f>
        <v>10</v>
      </c>
      <c r="AL182" s="2587"/>
      <c r="AM182" s="258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2" t="s">
        <v>1307</v>
      </c>
      <c r="AF185" s="2452"/>
      <c r="AG185" s="2452"/>
      <c r="AH185" s="2452"/>
      <c r="AI185" s="2452"/>
      <c r="AJ185" s="2452"/>
      <c r="AK185" s="2452"/>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9" t="s">
        <v>1040</v>
      </c>
      <c r="C187" s="2589"/>
      <c r="D187" s="2589"/>
      <c r="E187" s="2589"/>
      <c r="F187" s="2589"/>
      <c r="G187" s="2589"/>
      <c r="H187" s="2589"/>
      <c r="I187" s="2589"/>
      <c r="J187" s="2589"/>
      <c r="K187" s="2589"/>
      <c r="L187" s="2589"/>
      <c r="M187" s="2589"/>
      <c r="N187" s="2589"/>
      <c r="O187" s="2589"/>
      <c r="P187" s="2589"/>
      <c r="Q187" s="2589"/>
      <c r="R187" s="2589"/>
      <c r="S187" s="2589"/>
      <c r="T187" s="2589"/>
      <c r="U187" s="2589"/>
      <c r="V187" s="2589"/>
      <c r="W187" s="2589"/>
      <c r="X187" s="2589"/>
      <c r="Y187" s="2589"/>
      <c r="Z187" s="2589"/>
      <c r="AA187" s="2589"/>
      <c r="AB187" s="2589"/>
      <c r="AC187" s="2589"/>
      <c r="AD187" s="536"/>
      <c r="AE187" s="536"/>
      <c r="AF187" s="2393" t="s">
        <v>1356</v>
      </c>
      <c r="AG187" s="2393"/>
      <c r="AH187" s="2393"/>
      <c r="AI187" s="2393"/>
      <c r="AJ187" s="2393"/>
      <c r="AK187" s="2393"/>
      <c r="AL187" s="2393"/>
      <c r="AN187" s="595"/>
      <c r="AP187" s="549" t="s">
        <v>1042</v>
      </c>
      <c r="AQ187" s="549">
        <v>10</v>
      </c>
    </row>
    <row r="188" spans="1:73" s="549" customFormat="1" ht="12.75" customHeight="1">
      <c r="A188" s="536"/>
      <c r="B188" s="2399" t="s">
        <v>1714</v>
      </c>
      <c r="C188" s="2399"/>
      <c r="D188" s="2399"/>
      <c r="E188" s="2399"/>
      <c r="F188" s="2399"/>
      <c r="G188" s="2399"/>
      <c r="H188" s="2399"/>
      <c r="I188" s="2399"/>
      <c r="J188" s="2399"/>
      <c r="K188" s="2399"/>
      <c r="L188" s="2399"/>
      <c r="M188" s="2399"/>
      <c r="N188" s="2399"/>
      <c r="O188" s="2399"/>
      <c r="P188" s="2399"/>
      <c r="Q188" s="2399"/>
      <c r="R188" s="2399"/>
      <c r="S188" s="2399"/>
      <c r="T188" s="2590" t="s">
        <v>590</v>
      </c>
      <c r="U188" s="2590"/>
      <c r="V188" s="2590"/>
      <c r="W188" s="2590"/>
      <c r="X188" s="2590"/>
      <c r="Y188" s="2590"/>
      <c r="Z188" s="2590"/>
      <c r="AA188" s="2590"/>
      <c r="AB188" s="2590"/>
      <c r="AC188" s="2590"/>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5">
        <f>IF(AK83&gt;0,VLOOKUP($B$187,AP184:AQ190,2,FALSE),0)</f>
        <v>10</v>
      </c>
      <c r="AL190" s="2441"/>
      <c r="AM190" s="2396"/>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2" t="s">
        <v>1364</v>
      </c>
      <c r="AF193" s="2452"/>
      <c r="AG193" s="2452"/>
      <c r="AH193" s="2452"/>
      <c r="AI193" s="2452"/>
      <c r="AJ193" s="2452"/>
      <c r="AK193" s="245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0"/>
      <c r="C198" s="2560"/>
      <c r="D198" s="2560"/>
      <c r="E198" s="2560"/>
      <c r="F198" s="2560"/>
      <c r="G198" s="2560"/>
      <c r="H198" s="2560"/>
      <c r="I198" s="2560"/>
      <c r="J198" s="2560"/>
      <c r="K198" s="2560"/>
      <c r="L198" s="2560"/>
      <c r="M198" s="2560"/>
      <c r="N198" s="2560"/>
      <c r="O198" s="2560"/>
      <c r="P198" s="2560"/>
      <c r="Q198" s="2560"/>
      <c r="R198" s="2560"/>
      <c r="S198" s="2560"/>
      <c r="T198" s="2560"/>
      <c r="U198" s="2560"/>
      <c r="V198" s="2560"/>
      <c r="W198" s="2560"/>
      <c r="X198" s="2560"/>
      <c r="Y198" s="2560"/>
      <c r="Z198" s="2560"/>
      <c r="AA198" s="2560"/>
      <c r="AB198" s="2560"/>
      <c r="AC198" s="842"/>
      <c r="AD198" s="2576"/>
      <c r="AE198" s="2576"/>
      <c r="AF198" s="2576"/>
      <c r="AG198" s="2576"/>
      <c r="AH198" s="2576"/>
      <c r="AI198" s="2576"/>
      <c r="AJ198" s="2576"/>
      <c r="AK198" s="608"/>
    </row>
    <row r="199" spans="1:37" hidden="1">
      <c r="A199" s="603"/>
      <c r="B199" s="2560"/>
      <c r="C199" s="2560"/>
      <c r="D199" s="2560"/>
      <c r="E199" s="2560"/>
      <c r="F199" s="2560"/>
      <c r="G199" s="2560"/>
      <c r="H199" s="2560"/>
      <c r="I199" s="2560"/>
      <c r="J199" s="2560"/>
      <c r="K199" s="2560"/>
      <c r="L199" s="2560"/>
      <c r="M199" s="2560"/>
      <c r="N199" s="2560"/>
      <c r="O199" s="2560"/>
      <c r="P199" s="2560"/>
      <c r="Q199" s="2560"/>
      <c r="R199" s="2560"/>
      <c r="S199" s="2560"/>
      <c r="T199" s="2560"/>
      <c r="U199" s="2560"/>
      <c r="V199" s="2560"/>
      <c r="W199" s="2560"/>
      <c r="X199" s="2560"/>
      <c r="Y199" s="2560"/>
      <c r="Z199" s="2560"/>
      <c r="AA199" s="2560"/>
      <c r="AB199" s="2560"/>
      <c r="AC199" s="842"/>
      <c r="AD199" s="2576"/>
      <c r="AE199" s="2576"/>
      <c r="AF199" s="2576"/>
      <c r="AG199" s="2576"/>
      <c r="AH199" s="2576"/>
      <c r="AI199" s="2576"/>
      <c r="AJ199" s="2576"/>
      <c r="AK199" s="608"/>
    </row>
    <row r="200" spans="1:37" hidden="1">
      <c r="A200" s="603"/>
      <c r="B200" s="2560"/>
      <c r="C200" s="2560"/>
      <c r="D200" s="2560"/>
      <c r="E200" s="2560"/>
      <c r="F200" s="2560"/>
      <c r="G200" s="2560"/>
      <c r="H200" s="2560"/>
      <c r="I200" s="2560"/>
      <c r="J200" s="2560"/>
      <c r="K200" s="2560"/>
      <c r="L200" s="2560"/>
      <c r="M200" s="2560"/>
      <c r="N200" s="2560"/>
      <c r="O200" s="2560"/>
      <c r="P200" s="2560"/>
      <c r="Q200" s="2560"/>
      <c r="R200" s="2560"/>
      <c r="S200" s="2560"/>
      <c r="T200" s="2560"/>
      <c r="U200" s="2560"/>
      <c r="V200" s="2560"/>
      <c r="W200" s="2560"/>
      <c r="X200" s="2560"/>
      <c r="Y200" s="2560"/>
      <c r="Z200" s="2560"/>
      <c r="AA200" s="2560"/>
      <c r="AB200" s="2560"/>
      <c r="AC200" s="842"/>
      <c r="AD200" s="2576"/>
      <c r="AE200" s="2576"/>
      <c r="AF200" s="2576"/>
      <c r="AG200" s="2576"/>
      <c r="AH200" s="2576"/>
      <c r="AI200" s="2576"/>
      <c r="AJ200" s="2576"/>
      <c r="AK200" s="608"/>
    </row>
    <row r="201" spans="1:37" hidden="1">
      <c r="A201" s="603"/>
      <c r="B201" s="2560"/>
      <c r="C201" s="2560"/>
      <c r="D201" s="2560"/>
      <c r="E201" s="2560"/>
      <c r="F201" s="2560"/>
      <c r="G201" s="2560"/>
      <c r="H201" s="2560"/>
      <c r="I201" s="2560"/>
      <c r="J201" s="2560"/>
      <c r="K201" s="2560"/>
      <c r="L201" s="2560"/>
      <c r="M201" s="2560"/>
      <c r="N201" s="2560"/>
      <c r="O201" s="2560"/>
      <c r="P201" s="2560"/>
      <c r="Q201" s="2560"/>
      <c r="R201" s="2560"/>
      <c r="S201" s="2560"/>
      <c r="T201" s="2560"/>
      <c r="U201" s="2560"/>
      <c r="V201" s="2560"/>
      <c r="W201" s="2560"/>
      <c r="X201" s="2560"/>
      <c r="Y201" s="2560"/>
      <c r="Z201" s="2560"/>
      <c r="AA201" s="2560"/>
      <c r="AB201" s="2560"/>
      <c r="AC201" s="842"/>
      <c r="AD201" s="2576"/>
      <c r="AE201" s="2576"/>
      <c r="AF201" s="2576"/>
      <c r="AG201" s="2576"/>
      <c r="AH201" s="2576"/>
      <c r="AI201" s="2576"/>
      <c r="AJ201" s="2576"/>
      <c r="AK201" s="608"/>
    </row>
    <row r="202" spans="1:37" hidden="1">
      <c r="A202" s="603"/>
      <c r="B202" s="2560"/>
      <c r="C202" s="2560"/>
      <c r="D202" s="2560"/>
      <c r="E202" s="2560"/>
      <c r="F202" s="2560"/>
      <c r="G202" s="2560"/>
      <c r="H202" s="2560"/>
      <c r="I202" s="2560"/>
      <c r="J202" s="2560"/>
      <c r="K202" s="2560"/>
      <c r="L202" s="2560"/>
      <c r="M202" s="2560"/>
      <c r="N202" s="2560"/>
      <c r="O202" s="2560"/>
      <c r="P202" s="2560"/>
      <c r="Q202" s="2560"/>
      <c r="R202" s="2560"/>
      <c r="S202" s="2560"/>
      <c r="T202" s="2560"/>
      <c r="U202" s="2560"/>
      <c r="V202" s="2560"/>
      <c r="W202" s="2560"/>
      <c r="X202" s="2560"/>
      <c r="Y202" s="2560"/>
      <c r="Z202" s="2560"/>
      <c r="AA202" s="2560"/>
      <c r="AB202" s="2560"/>
      <c r="AC202" s="842"/>
      <c r="AD202" s="2576"/>
      <c r="AE202" s="2576"/>
      <c r="AF202" s="2576"/>
      <c r="AG202" s="2576"/>
      <c r="AH202" s="2576"/>
      <c r="AI202" s="2576"/>
      <c r="AJ202" s="2576"/>
      <c r="AK202" s="608"/>
    </row>
    <row r="203" spans="1:37" hidden="1">
      <c r="A203" s="603"/>
      <c r="B203" s="2560"/>
      <c r="C203" s="2560"/>
      <c r="D203" s="2560"/>
      <c r="E203" s="2560"/>
      <c r="F203" s="2560"/>
      <c r="G203" s="2560"/>
      <c r="H203" s="2560"/>
      <c r="I203" s="2560"/>
      <c r="J203" s="2560"/>
      <c r="K203" s="2560"/>
      <c r="L203" s="2560"/>
      <c r="M203" s="2560"/>
      <c r="N203" s="2560"/>
      <c r="O203" s="2560"/>
      <c r="P203" s="2560"/>
      <c r="Q203" s="2560"/>
      <c r="R203" s="2560"/>
      <c r="S203" s="2560"/>
      <c r="T203" s="2560"/>
      <c r="U203" s="2560"/>
      <c r="V203" s="2560"/>
      <c r="W203" s="2560"/>
      <c r="X203" s="2560"/>
      <c r="Y203" s="2560"/>
      <c r="Z203" s="2560"/>
      <c r="AA203" s="2560"/>
      <c r="AB203" s="2560"/>
      <c r="AC203" s="842"/>
      <c r="AD203" s="2576"/>
      <c r="AE203" s="2576"/>
      <c r="AF203" s="2576"/>
      <c r="AG203" s="2576"/>
      <c r="AH203" s="2576"/>
      <c r="AI203" s="2576"/>
      <c r="AJ203" s="2576"/>
      <c r="AK203" s="608"/>
    </row>
    <row r="204" spans="1:37" hidden="1">
      <c r="A204" s="603"/>
      <c r="B204" s="2560"/>
      <c r="C204" s="2560"/>
      <c r="D204" s="2560"/>
      <c r="E204" s="2560"/>
      <c r="F204" s="2560"/>
      <c r="G204" s="2560"/>
      <c r="H204" s="2560"/>
      <c r="I204" s="2560"/>
      <c r="J204" s="2560"/>
      <c r="K204" s="2560"/>
      <c r="L204" s="2560"/>
      <c r="M204" s="2560"/>
      <c r="N204" s="2560"/>
      <c r="O204" s="2560"/>
      <c r="P204" s="2560"/>
      <c r="Q204" s="2560"/>
      <c r="R204" s="2560"/>
      <c r="S204" s="2560"/>
      <c r="T204" s="2560"/>
      <c r="U204" s="2560"/>
      <c r="V204" s="2560"/>
      <c r="W204" s="2560"/>
      <c r="X204" s="2560"/>
      <c r="Y204" s="2560"/>
      <c r="Z204" s="2560"/>
      <c r="AA204" s="2560"/>
      <c r="AB204" s="2560"/>
      <c r="AC204" s="842"/>
      <c r="AD204" s="2576"/>
      <c r="AE204" s="2576"/>
      <c r="AF204" s="2576"/>
      <c r="AG204" s="2576"/>
      <c r="AH204" s="2576"/>
      <c r="AI204" s="2576"/>
      <c r="AJ204" s="2576"/>
      <c r="AK204" s="608"/>
    </row>
    <row r="205" spans="1:37" hidden="1">
      <c r="A205" s="603"/>
      <c r="B205" s="2560"/>
      <c r="C205" s="2560"/>
      <c r="D205" s="2560"/>
      <c r="E205" s="2560"/>
      <c r="F205" s="2560"/>
      <c r="G205" s="2560"/>
      <c r="H205" s="2560"/>
      <c r="I205" s="2560"/>
      <c r="J205" s="2560"/>
      <c r="K205" s="2560"/>
      <c r="L205" s="2560"/>
      <c r="M205" s="2560"/>
      <c r="N205" s="2560"/>
      <c r="O205" s="2560"/>
      <c r="P205" s="2560"/>
      <c r="Q205" s="2560"/>
      <c r="R205" s="2560"/>
      <c r="S205" s="2560"/>
      <c r="T205" s="2560"/>
      <c r="U205" s="2560"/>
      <c r="V205" s="2560"/>
      <c r="W205" s="2560"/>
      <c r="X205" s="2560"/>
      <c r="Y205" s="2560"/>
      <c r="Z205" s="2560"/>
      <c r="AA205" s="2560"/>
      <c r="AB205" s="2560"/>
      <c r="AC205" s="842"/>
      <c r="AD205" s="2576"/>
      <c r="AE205" s="2576"/>
      <c r="AF205" s="2576"/>
      <c r="AG205" s="2576"/>
      <c r="AH205" s="2576"/>
      <c r="AI205" s="2576"/>
      <c r="AJ205" s="2576"/>
      <c r="AK205" s="608"/>
    </row>
    <row r="206" spans="1:37" hidden="1">
      <c r="A206" s="603"/>
      <c r="B206" s="2560"/>
      <c r="C206" s="2560"/>
      <c r="D206" s="2560"/>
      <c r="E206" s="2560"/>
      <c r="F206" s="2560"/>
      <c r="G206" s="2560"/>
      <c r="H206" s="2560"/>
      <c r="I206" s="2560"/>
      <c r="J206" s="2560"/>
      <c r="K206" s="2560"/>
      <c r="L206" s="2560"/>
      <c r="M206" s="2560"/>
      <c r="N206" s="2560"/>
      <c r="O206" s="2560"/>
      <c r="P206" s="2560"/>
      <c r="Q206" s="2560"/>
      <c r="R206" s="2560"/>
      <c r="S206" s="2560"/>
      <c r="T206" s="2560"/>
      <c r="U206" s="2560"/>
      <c r="V206" s="2560"/>
      <c r="W206" s="2560"/>
      <c r="X206" s="2560"/>
      <c r="Y206" s="2560"/>
      <c r="Z206" s="2560"/>
      <c r="AA206" s="2560"/>
      <c r="AB206" s="2560"/>
      <c r="AC206" s="842"/>
      <c r="AD206" s="2576"/>
      <c r="AE206" s="2576"/>
      <c r="AF206" s="2576"/>
      <c r="AG206" s="2576"/>
      <c r="AH206" s="2576"/>
      <c r="AI206" s="2576"/>
      <c r="AJ206" s="2576"/>
      <c r="AK206" s="608"/>
    </row>
    <row r="207" spans="1:37" hidden="1">
      <c r="A207" s="603"/>
      <c r="B207" s="2560"/>
      <c r="C207" s="2560"/>
      <c r="D207" s="2560"/>
      <c r="E207" s="2560"/>
      <c r="F207" s="2560"/>
      <c r="G207" s="2560"/>
      <c r="H207" s="2560"/>
      <c r="I207" s="2560"/>
      <c r="J207" s="2560"/>
      <c r="K207" s="2560"/>
      <c r="L207" s="2560"/>
      <c r="M207" s="2560"/>
      <c r="N207" s="2560"/>
      <c r="O207" s="2560"/>
      <c r="P207" s="2560"/>
      <c r="Q207" s="2560"/>
      <c r="R207" s="2560"/>
      <c r="S207" s="2560"/>
      <c r="T207" s="2560"/>
      <c r="U207" s="2560"/>
      <c r="V207" s="2560"/>
      <c r="W207" s="2560"/>
      <c r="X207" s="2560"/>
      <c r="Y207" s="2560"/>
      <c r="Z207" s="2560"/>
      <c r="AA207" s="2560"/>
      <c r="AB207" s="2560"/>
      <c r="AC207" s="842"/>
      <c r="AD207" s="2576"/>
      <c r="AE207" s="2576"/>
      <c r="AF207" s="2576"/>
      <c r="AG207" s="2576"/>
      <c r="AH207" s="2576"/>
      <c r="AI207" s="2576"/>
      <c r="AJ207" s="2576"/>
      <c r="AK207" s="608"/>
    </row>
    <row r="208" spans="1:37" hidden="1">
      <c r="A208" s="603"/>
      <c r="B208" s="2569" t="s">
        <v>1615</v>
      </c>
      <c r="C208" s="2569"/>
      <c r="D208" s="2569"/>
      <c r="E208" s="2569"/>
      <c r="F208" s="2569"/>
      <c r="G208" s="2569"/>
      <c r="H208" s="2569"/>
      <c r="I208" s="2569"/>
      <c r="J208" s="2569"/>
      <c r="K208" s="2569"/>
      <c r="L208" s="2569"/>
      <c r="M208" s="2569"/>
      <c r="N208" s="2569"/>
      <c r="O208" s="2569"/>
      <c r="P208" s="2569"/>
      <c r="Q208" s="2569"/>
      <c r="R208" s="2569"/>
      <c r="S208" s="2569"/>
      <c r="T208" s="2569"/>
      <c r="U208" s="2569"/>
      <c r="V208" s="2569"/>
      <c r="W208" s="2569"/>
      <c r="X208" s="2569"/>
      <c r="Y208" s="2569"/>
      <c r="Z208" s="2569"/>
      <c r="AA208" s="2569"/>
      <c r="AB208" s="2569"/>
      <c r="AC208" s="536"/>
      <c r="AD208" s="2574">
        <f>AB259</f>
        <v>0</v>
      </c>
      <c r="AE208" s="2574"/>
      <c r="AF208" s="2574"/>
      <c r="AG208" s="2574"/>
      <c r="AH208" s="2574"/>
      <c r="AI208" s="2574"/>
      <c r="AJ208" s="2574"/>
      <c r="AK208" s="608"/>
    </row>
    <row r="209" spans="1:37" hidden="1">
      <c r="A209" s="603"/>
      <c r="B209" s="2415" t="s">
        <v>1578</v>
      </c>
      <c r="C209" s="2415"/>
      <c r="D209" s="2415"/>
      <c r="E209" s="2415"/>
      <c r="F209" s="2415"/>
      <c r="G209" s="2415"/>
      <c r="H209" s="2415"/>
      <c r="I209" s="2415"/>
      <c r="J209" s="2415"/>
      <c r="K209" s="2415"/>
      <c r="L209" s="2415"/>
      <c r="M209" s="2415"/>
      <c r="N209" s="2415"/>
      <c r="O209" s="2415"/>
      <c r="P209" s="2415"/>
      <c r="Q209" s="2415"/>
      <c r="R209" s="2415"/>
      <c r="S209" s="2415"/>
      <c r="T209" s="2415"/>
      <c r="U209" s="2415"/>
      <c r="V209" s="2415"/>
      <c r="W209" s="2415"/>
      <c r="X209" s="2415"/>
      <c r="Y209" s="2415"/>
      <c r="Z209" s="2415"/>
      <c r="AA209" s="2415"/>
      <c r="AB209" s="2415"/>
      <c r="AC209" s="842"/>
      <c r="AD209" s="2575">
        <f>'Sources and Uses Budget'!B15</f>
        <v>0</v>
      </c>
      <c r="AE209" s="2575"/>
      <c r="AF209" s="2575"/>
      <c r="AG209" s="2575"/>
      <c r="AH209" s="2575"/>
      <c r="AI209" s="2575"/>
      <c r="AJ209" s="257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0">
        <f>SUM(AD198:AJ208)-AD209</f>
        <v>0</v>
      </c>
      <c r="AE210" s="2580"/>
      <c r="AF210" s="2580"/>
      <c r="AG210" s="2580"/>
      <c r="AH210" s="2580"/>
      <c r="AI210" s="2580"/>
      <c r="AJ210" s="2580"/>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3" t="s">
        <v>1595</v>
      </c>
      <c r="J221" s="2603"/>
      <c r="K221" s="2603"/>
      <c r="L221" s="536"/>
      <c r="M221" s="536"/>
      <c r="N221" s="536"/>
      <c r="O221" s="536"/>
      <c r="P221" s="536"/>
      <c r="Q221" s="536"/>
      <c r="R221" s="536"/>
      <c r="S221" s="536"/>
      <c r="T221" s="2429" t="s">
        <v>1589</v>
      </c>
      <c r="U221" s="2429"/>
      <c r="V221" s="2429"/>
      <c r="W221" s="2429"/>
      <c r="X221" s="2429"/>
      <c r="Y221" s="2429"/>
      <c r="Z221" s="845"/>
      <c r="AA221" s="489"/>
      <c r="AB221" s="2593" t="s">
        <v>1590</v>
      </c>
      <c r="AC221" s="2593"/>
      <c r="AD221" s="2593"/>
      <c r="AE221" s="2593"/>
      <c r="AF221" s="2593"/>
      <c r="AG221" s="2593"/>
      <c r="AH221" s="823"/>
      <c r="AI221" s="823"/>
      <c r="AJ221" s="823"/>
      <c r="AK221" s="608"/>
    </row>
    <row r="222" spans="1:37" hidden="1">
      <c r="A222" s="603"/>
      <c r="B222" s="2601" t="s">
        <v>1575</v>
      </c>
      <c r="C222" s="2601"/>
      <c r="D222" s="2601"/>
      <c r="E222" s="2601"/>
      <c r="F222" s="2601"/>
      <c r="G222" s="2601"/>
      <c r="I222" s="2602" t="s">
        <v>1596</v>
      </c>
      <c r="J222" s="2602"/>
      <c r="K222" s="2602"/>
      <c r="L222" s="1003"/>
      <c r="N222" s="2416" t="s">
        <v>1591</v>
      </c>
      <c r="O222" s="2416"/>
      <c r="P222" s="2416"/>
      <c r="Q222" s="2416"/>
      <c r="R222" s="2416"/>
      <c r="T222" s="2416" t="s">
        <v>1592</v>
      </c>
      <c r="U222" s="2416"/>
      <c r="V222" s="2416"/>
      <c r="W222" s="2416"/>
      <c r="X222" s="2416"/>
      <c r="Y222" s="2416"/>
      <c r="Z222" s="846"/>
      <c r="AA222" s="489"/>
      <c r="AB222" s="2472" t="s">
        <v>1593</v>
      </c>
      <c r="AC222" s="2472"/>
      <c r="AD222" s="2472"/>
      <c r="AE222" s="2472"/>
      <c r="AF222" s="2472"/>
      <c r="AG222" s="2472"/>
      <c r="AH222" s="823"/>
      <c r="AI222" s="823"/>
      <c r="AJ222" s="823"/>
      <c r="AK222" s="608"/>
    </row>
    <row r="223" spans="1:37" hidden="1">
      <c r="A223" s="603"/>
      <c r="B223" s="2473" t="s">
        <v>1183</v>
      </c>
      <c r="C223" s="2473"/>
      <c r="D223" s="2473"/>
      <c r="E223" s="2473"/>
      <c r="F223" s="2473"/>
      <c r="G223" s="2473"/>
      <c r="H223" s="848"/>
      <c r="I223" s="2432"/>
      <c r="J223" s="2432"/>
      <c r="K223" s="2432"/>
      <c r="L223" s="1003"/>
      <c r="N223" s="2430"/>
      <c r="O223" s="2430"/>
      <c r="P223" s="2430"/>
      <c r="Q223" s="2430"/>
      <c r="R223" s="2430"/>
      <c r="T223" s="2412"/>
      <c r="U223" s="2412"/>
      <c r="V223" s="2412"/>
      <c r="W223" s="2412"/>
      <c r="X223" s="2412"/>
      <c r="Y223" s="2412"/>
      <c r="Z223" s="847"/>
      <c r="AA223" s="847"/>
      <c r="AB223" s="2410">
        <f t="shared" ref="AB223:AB232" si="0">MAX(($T223-$N223)*$I223*12,0)</f>
        <v>0</v>
      </c>
      <c r="AC223" s="2410"/>
      <c r="AD223" s="2410"/>
      <c r="AE223" s="2410"/>
      <c r="AF223" s="2410"/>
      <c r="AG223" s="2410"/>
      <c r="AH223" s="823"/>
      <c r="AI223" s="823"/>
      <c r="AJ223" s="823"/>
      <c r="AK223" s="608"/>
    </row>
    <row r="224" spans="1:37" hidden="1">
      <c r="A224" s="603"/>
      <c r="B224" s="2473" t="s">
        <v>1183</v>
      </c>
      <c r="C224" s="2473"/>
      <c r="D224" s="2473"/>
      <c r="E224" s="2473"/>
      <c r="F224" s="2473"/>
      <c r="G224" s="2473"/>
      <c r="I224" s="2432"/>
      <c r="J224" s="2432"/>
      <c r="K224" s="2432"/>
      <c r="L224" s="1003"/>
      <c r="N224" s="2430"/>
      <c r="O224" s="2430"/>
      <c r="P224" s="2430"/>
      <c r="Q224" s="2430"/>
      <c r="R224" s="2430"/>
      <c r="T224" s="2412"/>
      <c r="U224" s="2412"/>
      <c r="V224" s="2412"/>
      <c r="W224" s="2412"/>
      <c r="X224" s="2412"/>
      <c r="Y224" s="2412"/>
      <c r="Z224" s="847"/>
      <c r="AA224" s="847"/>
      <c r="AB224" s="2410">
        <f t="shared" si="0"/>
        <v>0</v>
      </c>
      <c r="AC224" s="2410"/>
      <c r="AD224" s="2410"/>
      <c r="AE224" s="2410"/>
      <c r="AF224" s="2410"/>
      <c r="AG224" s="2410"/>
      <c r="AH224" s="823"/>
      <c r="AI224" s="823"/>
      <c r="AJ224" s="823"/>
      <c r="AK224" s="608"/>
    </row>
    <row r="225" spans="1:37" hidden="1">
      <c r="A225" s="603"/>
      <c r="B225" s="2473" t="s">
        <v>1183</v>
      </c>
      <c r="C225" s="2473"/>
      <c r="D225" s="2473"/>
      <c r="E225" s="2473"/>
      <c r="F225" s="2473"/>
      <c r="G225" s="2473"/>
      <c r="I225" s="2432"/>
      <c r="J225" s="2432"/>
      <c r="K225" s="2432"/>
      <c r="L225" s="1003"/>
      <c r="N225" s="2430"/>
      <c r="O225" s="2430"/>
      <c r="P225" s="2430"/>
      <c r="Q225" s="2430"/>
      <c r="R225" s="2430"/>
      <c r="T225" s="2412"/>
      <c r="U225" s="2412"/>
      <c r="V225" s="2412"/>
      <c r="W225" s="2412"/>
      <c r="X225" s="2412"/>
      <c r="Y225" s="2412"/>
      <c r="Z225" s="847"/>
      <c r="AA225" s="847"/>
      <c r="AB225" s="2410">
        <f t="shared" si="0"/>
        <v>0</v>
      </c>
      <c r="AC225" s="2410"/>
      <c r="AD225" s="2410"/>
      <c r="AE225" s="2410"/>
      <c r="AF225" s="2410"/>
      <c r="AG225" s="2410"/>
      <c r="AH225" s="823"/>
      <c r="AI225" s="823"/>
      <c r="AJ225" s="823"/>
      <c r="AK225" s="608"/>
    </row>
    <row r="226" spans="1:37" hidden="1">
      <c r="A226" s="603"/>
      <c r="B226" s="2473" t="s">
        <v>1183</v>
      </c>
      <c r="C226" s="2473"/>
      <c r="D226" s="2473"/>
      <c r="E226" s="2473"/>
      <c r="F226" s="2473"/>
      <c r="G226" s="2473"/>
      <c r="I226" s="2432"/>
      <c r="J226" s="2432"/>
      <c r="K226" s="2432"/>
      <c r="L226" s="1003"/>
      <c r="N226" s="2430"/>
      <c r="O226" s="2430"/>
      <c r="P226" s="2430"/>
      <c r="Q226" s="2430"/>
      <c r="R226" s="2430"/>
      <c r="T226" s="2412"/>
      <c r="U226" s="2412"/>
      <c r="V226" s="2412"/>
      <c r="W226" s="2412"/>
      <c r="X226" s="2412"/>
      <c r="Y226" s="2412"/>
      <c r="Z226" s="847"/>
      <c r="AA226" s="847"/>
      <c r="AB226" s="2410">
        <f t="shared" si="0"/>
        <v>0</v>
      </c>
      <c r="AC226" s="2410"/>
      <c r="AD226" s="2410"/>
      <c r="AE226" s="2410"/>
      <c r="AF226" s="2410"/>
      <c r="AG226" s="2410"/>
      <c r="AH226" s="823"/>
      <c r="AI226" s="823"/>
      <c r="AJ226" s="823"/>
      <c r="AK226" s="608"/>
    </row>
    <row r="227" spans="1:37" hidden="1">
      <c r="A227" s="603"/>
      <c r="B227" s="2473" t="s">
        <v>1183</v>
      </c>
      <c r="C227" s="2473"/>
      <c r="D227" s="2473"/>
      <c r="E227" s="2473"/>
      <c r="F227" s="2473"/>
      <c r="G227" s="2473"/>
      <c r="I227" s="2432"/>
      <c r="J227" s="2432"/>
      <c r="K227" s="2432"/>
      <c r="L227" s="1010"/>
      <c r="N227" s="2430"/>
      <c r="O227" s="2430"/>
      <c r="P227" s="2430"/>
      <c r="Q227" s="2430"/>
      <c r="R227" s="2430"/>
      <c r="T227" s="2412"/>
      <c r="U227" s="2412"/>
      <c r="V227" s="2412"/>
      <c r="W227" s="2412"/>
      <c r="X227" s="2412"/>
      <c r="Y227" s="2412"/>
      <c r="Z227" s="847"/>
      <c r="AA227" s="847"/>
      <c r="AB227" s="2410">
        <f t="shared" si="0"/>
        <v>0</v>
      </c>
      <c r="AC227" s="2410"/>
      <c r="AD227" s="2410"/>
      <c r="AE227" s="2410"/>
      <c r="AF227" s="2410"/>
      <c r="AG227" s="2410"/>
      <c r="AH227" s="823"/>
      <c r="AI227" s="823"/>
      <c r="AJ227" s="823"/>
      <c r="AK227" s="608"/>
    </row>
    <row r="228" spans="1:37" hidden="1">
      <c r="A228" s="603"/>
      <c r="B228" s="2473" t="s">
        <v>1183</v>
      </c>
      <c r="C228" s="2473"/>
      <c r="D228" s="2473"/>
      <c r="E228" s="2473"/>
      <c r="F228" s="2473"/>
      <c r="G228" s="2473"/>
      <c r="I228" s="2432"/>
      <c r="J228" s="2432"/>
      <c r="K228" s="2432"/>
      <c r="L228" s="1010"/>
      <c r="N228" s="2430"/>
      <c r="O228" s="2430"/>
      <c r="P228" s="2430"/>
      <c r="Q228" s="2430"/>
      <c r="R228" s="2430"/>
      <c r="T228" s="2412"/>
      <c r="U228" s="2412"/>
      <c r="V228" s="2412"/>
      <c r="W228" s="2412"/>
      <c r="X228" s="2412"/>
      <c r="Y228" s="2412"/>
      <c r="Z228" s="847"/>
      <c r="AA228" s="847"/>
      <c r="AB228" s="2410">
        <f t="shared" si="0"/>
        <v>0</v>
      </c>
      <c r="AC228" s="2410"/>
      <c r="AD228" s="2410"/>
      <c r="AE228" s="2410"/>
      <c r="AF228" s="2410"/>
      <c r="AG228" s="2410"/>
      <c r="AH228" s="823"/>
      <c r="AI228" s="823"/>
      <c r="AJ228" s="823"/>
      <c r="AK228" s="608"/>
    </row>
    <row r="229" spans="1:37" hidden="1">
      <c r="A229" s="603"/>
      <c r="B229" s="2473" t="s">
        <v>1183</v>
      </c>
      <c r="C229" s="2473"/>
      <c r="D229" s="2473"/>
      <c r="E229" s="2473"/>
      <c r="F229" s="2473"/>
      <c r="G229" s="2473"/>
      <c r="I229" s="2432"/>
      <c r="J229" s="2432"/>
      <c r="K229" s="2432"/>
      <c r="L229" s="1010"/>
      <c r="N229" s="2430"/>
      <c r="O229" s="2430"/>
      <c r="P229" s="2430"/>
      <c r="Q229" s="2430"/>
      <c r="R229" s="2430"/>
      <c r="T229" s="2412"/>
      <c r="U229" s="2412"/>
      <c r="V229" s="2412"/>
      <c r="W229" s="2412"/>
      <c r="X229" s="2412"/>
      <c r="Y229" s="2412"/>
      <c r="Z229" s="847"/>
      <c r="AA229" s="847"/>
      <c r="AB229" s="2410">
        <f t="shared" si="0"/>
        <v>0</v>
      </c>
      <c r="AC229" s="2410"/>
      <c r="AD229" s="2410"/>
      <c r="AE229" s="2410"/>
      <c r="AF229" s="2410"/>
      <c r="AG229" s="2410"/>
      <c r="AH229" s="823"/>
      <c r="AI229" s="823"/>
      <c r="AJ229" s="823"/>
      <c r="AK229" s="608"/>
    </row>
    <row r="230" spans="1:37" hidden="1">
      <c r="A230" s="603"/>
      <c r="B230" s="2473" t="s">
        <v>1183</v>
      </c>
      <c r="C230" s="2473"/>
      <c r="D230" s="2473"/>
      <c r="E230" s="2473"/>
      <c r="F230" s="2473"/>
      <c r="G230" s="2473"/>
      <c r="I230" s="2432"/>
      <c r="J230" s="2432"/>
      <c r="K230" s="2432"/>
      <c r="L230" s="1010"/>
      <c r="N230" s="2430"/>
      <c r="O230" s="2430"/>
      <c r="P230" s="2430"/>
      <c r="Q230" s="2430"/>
      <c r="R230" s="2430"/>
      <c r="T230" s="2412"/>
      <c r="U230" s="2412"/>
      <c r="V230" s="2412"/>
      <c r="W230" s="2412"/>
      <c r="X230" s="2412"/>
      <c r="Y230" s="2412"/>
      <c r="Z230" s="847"/>
      <c r="AA230" s="847"/>
      <c r="AB230" s="2410">
        <f t="shared" si="0"/>
        <v>0</v>
      </c>
      <c r="AC230" s="2410"/>
      <c r="AD230" s="2410"/>
      <c r="AE230" s="2410"/>
      <c r="AF230" s="2410"/>
      <c r="AG230" s="2410"/>
      <c r="AH230" s="823"/>
      <c r="AI230" s="823"/>
      <c r="AJ230" s="823"/>
      <c r="AK230" s="608"/>
    </row>
    <row r="231" spans="1:37" hidden="1">
      <c r="A231" s="603"/>
      <c r="B231" s="2473" t="s">
        <v>1183</v>
      </c>
      <c r="C231" s="2473"/>
      <c r="D231" s="2473"/>
      <c r="E231" s="2473"/>
      <c r="F231" s="2473"/>
      <c r="G231" s="2473"/>
      <c r="I231" s="2432"/>
      <c r="J231" s="2432"/>
      <c r="K231" s="2432"/>
      <c r="L231" s="1010"/>
      <c r="N231" s="2430"/>
      <c r="O231" s="2430"/>
      <c r="P231" s="2430"/>
      <c r="Q231" s="2430"/>
      <c r="R231" s="2430"/>
      <c r="T231" s="2412"/>
      <c r="U231" s="2412"/>
      <c r="V231" s="2412"/>
      <c r="W231" s="2412"/>
      <c r="X231" s="2412"/>
      <c r="Y231" s="2412"/>
      <c r="Z231" s="847"/>
      <c r="AA231" s="847"/>
      <c r="AB231" s="2410">
        <f t="shared" si="0"/>
        <v>0</v>
      </c>
      <c r="AC231" s="2410"/>
      <c r="AD231" s="2410"/>
      <c r="AE231" s="2410"/>
      <c r="AF231" s="2410"/>
      <c r="AG231" s="2410"/>
      <c r="AH231" s="823"/>
      <c r="AI231" s="823"/>
      <c r="AJ231" s="823"/>
      <c r="AK231" s="608"/>
    </row>
    <row r="232" spans="1:37" hidden="1">
      <c r="A232" s="603"/>
      <c r="B232" s="2473" t="s">
        <v>1183</v>
      </c>
      <c r="C232" s="2473"/>
      <c r="D232" s="2473"/>
      <c r="E232" s="2473"/>
      <c r="F232" s="2473"/>
      <c r="G232" s="2473"/>
      <c r="I232" s="2604"/>
      <c r="J232" s="2604"/>
      <c r="K232" s="2604"/>
      <c r="L232" s="1010"/>
      <c r="N232" s="2430"/>
      <c r="O232" s="2430"/>
      <c r="P232" s="2430"/>
      <c r="Q232" s="2430"/>
      <c r="R232" s="2430"/>
      <c r="T232" s="2412"/>
      <c r="U232" s="2412"/>
      <c r="V232" s="2412"/>
      <c r="W232" s="2412"/>
      <c r="X232" s="2412"/>
      <c r="Y232" s="2412"/>
      <c r="Z232" s="847"/>
      <c r="AA232" s="847"/>
      <c r="AB232" s="2411">
        <f t="shared" si="0"/>
        <v>0</v>
      </c>
      <c r="AC232" s="2411"/>
      <c r="AD232" s="2411"/>
      <c r="AE232" s="2411"/>
      <c r="AF232" s="2411"/>
      <c r="AG232" s="24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10">
        <f>SUM(AB223:AB232)</f>
        <v>0</v>
      </c>
      <c r="AC233" s="2410"/>
      <c r="AD233" s="2410"/>
      <c r="AE233" s="2410"/>
      <c r="AF233" s="2410"/>
      <c r="AG233" s="241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5"/>
      <c r="AC239" s="2445"/>
      <c r="AD239" s="2445"/>
      <c r="AE239" s="2445"/>
      <c r="AF239" s="2445"/>
      <c r="AG239" s="2445"/>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5"/>
      <c r="AC242" s="2445"/>
      <c r="AD242" s="2445"/>
      <c r="AE242" s="2445"/>
      <c r="AF242" s="2445"/>
      <c r="AG242" s="2445"/>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8"/>
      <c r="AC243" s="2428"/>
      <c r="AD243" s="2428"/>
      <c r="AE243" s="2428"/>
      <c r="AF243" s="2428"/>
      <c r="AG243" s="2428"/>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3">
        <f>IFERROR(AB242/AB243,0)</f>
        <v>0</v>
      </c>
      <c r="AC244" s="2413"/>
      <c r="AD244" s="2413"/>
      <c r="AE244" s="2413"/>
      <c r="AF244" s="2413"/>
      <c r="AG244" s="241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1">
        <f>MAX(AB239,AB244)</f>
        <v>0</v>
      </c>
      <c r="AC246" s="2411"/>
      <c r="AD246" s="2411"/>
      <c r="AE246" s="2411"/>
      <c r="AF246" s="2411"/>
      <c r="AG246" s="24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0">
        <f>AB233+AB246</f>
        <v>0</v>
      </c>
      <c r="AC249" s="2410"/>
      <c r="AD249" s="2410"/>
      <c r="AE249" s="2410"/>
      <c r="AF249" s="2410"/>
      <c r="AG249" s="2410"/>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4">
        <v>0.05</v>
      </c>
      <c r="AC250" s="2584"/>
      <c r="AD250" s="2584"/>
      <c r="AE250" s="2584"/>
      <c r="AF250" s="2584"/>
      <c r="AG250" s="2584"/>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5">
        <f>AB249-(AB249*AB250)</f>
        <v>0</v>
      </c>
      <c r="AC251" s="2585"/>
      <c r="AD251" s="2585"/>
      <c r="AE251" s="2585"/>
      <c r="AF251" s="2585"/>
      <c r="AG251" s="2585"/>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0">
        <f>AB251/AB257</f>
        <v>0</v>
      </c>
      <c r="AC253" s="2410"/>
      <c r="AD253" s="2410"/>
      <c r="AE253" s="2410"/>
      <c r="AF253" s="2410"/>
      <c r="AG253" s="241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3">
        <v>15</v>
      </c>
      <c r="AC255" s="2593"/>
      <c r="AD255" s="2593"/>
      <c r="AE255" s="2593"/>
      <c r="AF255" s="2593"/>
      <c r="AG255" s="2593"/>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1">
        <v>0.04</v>
      </c>
      <c r="AC256" s="2561"/>
      <c r="AD256" s="2561"/>
      <c r="AE256" s="2561"/>
      <c r="AF256" s="2561"/>
      <c r="AG256" s="2561"/>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0">
        <v>1.1499999999999999</v>
      </c>
      <c r="AC257" s="2570"/>
      <c r="AD257" s="2570"/>
      <c r="AE257" s="2570"/>
      <c r="AF257" s="2570"/>
      <c r="AG257" s="257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7">
        <f>PV(AB256/12,AB255*12,-AB253/12, ,0)</f>
        <v>0</v>
      </c>
      <c r="AC259" s="2578"/>
      <c r="AD259" s="2578"/>
      <c r="AE259" s="2578"/>
      <c r="AF259" s="2578"/>
      <c r="AG259" s="2579"/>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1">
        <f>IFERROR(('Sources and Uses Budget'!D105/'Sources and Uses Budget'!B105),0)</f>
        <v>4.8189769027606501E-2</v>
      </c>
      <c r="AC265" s="2582"/>
      <c r="AD265" s="2582"/>
      <c r="AE265" s="2582"/>
      <c r="AF265" s="2582"/>
      <c r="AG265" s="2583"/>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8">
        <f>AD210*(1-AB265)</f>
        <v>0</v>
      </c>
      <c r="AH267" s="2438"/>
      <c r="AI267" s="2438"/>
      <c r="AJ267" s="2438"/>
      <c r="AK267" s="2438"/>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8">
        <f>'Sources and Uses Budget'!C105</f>
        <v>190395884</v>
      </c>
      <c r="AH268" s="2438"/>
      <c r="AI268" s="2438"/>
      <c r="AJ268" s="2438"/>
      <c r="AK268" s="243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3">
        <f>ROUNDDOWN(IF(AND(C305="Yes",AK83=10),((AG267*2)/AG268),AG267/AG268),2)</f>
        <v>0</v>
      </c>
      <c r="AH269" s="2573"/>
      <c r="AI269" s="2573"/>
      <c r="AJ269" s="2573"/>
      <c r="AK269" s="2573"/>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3">
        <f>IFERROR(IF(AG269=0,0,IF((AG269*100)&gt;8,8,(AG269*100))),0)</f>
        <v>0</v>
      </c>
      <c r="AL272" s="2563"/>
      <c r="AM272" s="2564"/>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14" t="s">
        <v>544</v>
      </c>
      <c r="D279" s="2414"/>
      <c r="E279" s="546"/>
      <c r="F279" s="2401" t="s">
        <v>2569</v>
      </c>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49"/>
      <c r="AF279" s="633"/>
      <c r="AG279" s="2571" t="s">
        <v>1356</v>
      </c>
      <c r="AH279" s="2571"/>
      <c r="AI279" s="2571"/>
      <c r="AJ279" s="2571"/>
      <c r="AK279" s="549"/>
      <c r="AL279" s="549"/>
      <c r="AM279" s="549"/>
      <c r="AO279" s="549"/>
    </row>
    <row r="280" spans="1:52" ht="13.65" customHeight="1">
      <c r="A280" s="549"/>
      <c r="B280" s="594"/>
      <c r="C280" s="634"/>
      <c r="D280" s="549"/>
      <c r="E280" s="546"/>
      <c r="F280" s="2404"/>
      <c r="G280" s="2405"/>
      <c r="H280" s="2405"/>
      <c r="I280" s="2405"/>
      <c r="J280" s="2405"/>
      <c r="K280" s="2405"/>
      <c r="L280" s="2405"/>
      <c r="M280" s="2405"/>
      <c r="N280" s="2405"/>
      <c r="O280" s="2405"/>
      <c r="P280" s="2405"/>
      <c r="Q280" s="2405"/>
      <c r="R280" s="2405"/>
      <c r="S280" s="2405"/>
      <c r="T280" s="2405"/>
      <c r="U280" s="2405"/>
      <c r="V280" s="2405"/>
      <c r="W280" s="2405"/>
      <c r="X280" s="2405"/>
      <c r="Y280" s="2405"/>
      <c r="Z280" s="2405"/>
      <c r="AA280" s="2405"/>
      <c r="AB280" s="2405"/>
      <c r="AC280" s="2405"/>
      <c r="AD280" s="2406"/>
      <c r="AE280" s="549"/>
      <c r="AF280" s="633"/>
      <c r="AG280" s="633"/>
      <c r="AH280" s="633"/>
      <c r="AI280" s="633"/>
      <c r="AJ280" s="549"/>
      <c r="AK280" s="549"/>
      <c r="AL280" s="549"/>
      <c r="AM280" s="549"/>
      <c r="AO280" s="549"/>
    </row>
    <row r="281" spans="1:52" ht="13.65" customHeight="1">
      <c r="A281" s="549"/>
      <c r="B281" s="594"/>
      <c r="C281" s="634"/>
      <c r="D281" s="549"/>
      <c r="E281" s="546"/>
      <c r="F281" s="2404"/>
      <c r="G281" s="2405"/>
      <c r="H281" s="2405"/>
      <c r="I281" s="2405"/>
      <c r="J281" s="2405"/>
      <c r="K281" s="2405"/>
      <c r="L281" s="2405"/>
      <c r="M281" s="2405"/>
      <c r="N281" s="2405"/>
      <c r="O281" s="2405"/>
      <c r="P281" s="2405"/>
      <c r="Q281" s="2405"/>
      <c r="R281" s="2405"/>
      <c r="S281" s="2405"/>
      <c r="T281" s="2405"/>
      <c r="U281" s="2405"/>
      <c r="V281" s="2405"/>
      <c r="W281" s="2405"/>
      <c r="X281" s="2405"/>
      <c r="Y281" s="2405"/>
      <c r="Z281" s="2405"/>
      <c r="AA281" s="2405"/>
      <c r="AB281" s="2405"/>
      <c r="AC281" s="2405"/>
      <c r="AD281" s="2406"/>
      <c r="AE281" s="549"/>
      <c r="AF281" s="633"/>
      <c r="AG281" s="633"/>
      <c r="AH281" s="633"/>
      <c r="AI281" s="633"/>
      <c r="AJ281" s="549"/>
      <c r="AK281" s="549"/>
      <c r="AL281" s="549"/>
      <c r="AM281" s="549"/>
      <c r="AO281" s="549"/>
    </row>
    <row r="282" spans="1:52" ht="13.65" customHeight="1">
      <c r="A282" s="549"/>
      <c r="B282" s="594"/>
      <c r="C282" s="634"/>
      <c r="D282" s="549"/>
      <c r="E282" s="546"/>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49"/>
      <c r="AF282" s="633"/>
      <c r="AG282" s="633"/>
      <c r="AH282" s="633"/>
      <c r="AI282" s="633"/>
      <c r="AJ282" s="549"/>
      <c r="AK282" s="549"/>
      <c r="AL282" s="549"/>
      <c r="AM282" s="549"/>
      <c r="AO282" s="549"/>
    </row>
    <row r="283" spans="1:52" ht="13.65" customHeight="1">
      <c r="A283" s="549"/>
      <c r="B283" s="594"/>
      <c r="C283" s="634"/>
      <c r="D283" s="549"/>
      <c r="E283" s="546"/>
      <c r="F283" s="2404"/>
      <c r="G283" s="2405"/>
      <c r="H283" s="2405"/>
      <c r="I283" s="2405"/>
      <c r="J283" s="2405"/>
      <c r="K283" s="2405"/>
      <c r="L283" s="2405"/>
      <c r="M283" s="2405"/>
      <c r="N283" s="2405"/>
      <c r="O283" s="2405"/>
      <c r="P283" s="2405"/>
      <c r="Q283" s="2405"/>
      <c r="R283" s="2405"/>
      <c r="S283" s="2405"/>
      <c r="T283" s="2405"/>
      <c r="U283" s="2405"/>
      <c r="V283" s="2405"/>
      <c r="W283" s="2405"/>
      <c r="X283" s="2405"/>
      <c r="Y283" s="2405"/>
      <c r="Z283" s="2405"/>
      <c r="AA283" s="2405"/>
      <c r="AB283" s="2405"/>
      <c r="AC283" s="2405"/>
      <c r="AD283" s="2406"/>
      <c r="AE283" s="549"/>
      <c r="AF283" s="633"/>
      <c r="AG283" s="633"/>
      <c r="AH283" s="633"/>
      <c r="AI283" s="633"/>
      <c r="AJ283" s="549"/>
      <c r="AK283" s="549"/>
      <c r="AL283" s="549"/>
      <c r="AM283" s="549"/>
      <c r="AO283" s="549"/>
    </row>
    <row r="284" spans="1:52">
      <c r="A284" s="549"/>
      <c r="B284" s="594"/>
      <c r="C284" s="634"/>
      <c r="D284" s="549"/>
      <c r="E284" s="546"/>
      <c r="F284" s="2404"/>
      <c r="G284" s="2405"/>
      <c r="H284" s="2405"/>
      <c r="I284" s="2405"/>
      <c r="J284" s="2405"/>
      <c r="K284" s="2405"/>
      <c r="L284" s="2405"/>
      <c r="M284" s="2405"/>
      <c r="N284" s="2405"/>
      <c r="O284" s="2405"/>
      <c r="P284" s="2405"/>
      <c r="Q284" s="2405"/>
      <c r="R284" s="2405"/>
      <c r="S284" s="2405"/>
      <c r="T284" s="2405"/>
      <c r="U284" s="2405"/>
      <c r="V284" s="2405"/>
      <c r="W284" s="2405"/>
      <c r="X284" s="2405"/>
      <c r="Y284" s="2405"/>
      <c r="Z284" s="2405"/>
      <c r="AA284" s="2405"/>
      <c r="AB284" s="2405"/>
      <c r="AC284" s="2405"/>
      <c r="AD284" s="2406"/>
      <c r="AE284" s="549"/>
      <c r="AF284" s="633"/>
      <c r="AG284" s="633"/>
      <c r="AH284" s="633"/>
      <c r="AI284" s="633"/>
      <c r="AJ284" s="549"/>
      <c r="AK284" s="549"/>
      <c r="AL284" s="549"/>
      <c r="AM284" s="549"/>
      <c r="AO284" s="549"/>
      <c r="AP284" s="635"/>
    </row>
    <row r="285" spans="1:52">
      <c r="A285" s="549"/>
      <c r="B285" s="594"/>
      <c r="C285" s="634"/>
      <c r="D285" s="549"/>
      <c r="E285" s="546"/>
      <c r="F285" s="2404"/>
      <c r="G285" s="2405"/>
      <c r="H285" s="2405"/>
      <c r="I285" s="2405"/>
      <c r="J285" s="2405"/>
      <c r="K285" s="2405"/>
      <c r="L285" s="2405"/>
      <c r="M285" s="2405"/>
      <c r="N285" s="2405"/>
      <c r="O285" s="2405"/>
      <c r="P285" s="2405"/>
      <c r="Q285" s="2405"/>
      <c r="R285" s="2405"/>
      <c r="S285" s="2405"/>
      <c r="T285" s="2405"/>
      <c r="U285" s="2405"/>
      <c r="V285" s="2405"/>
      <c r="W285" s="2405"/>
      <c r="X285" s="2405"/>
      <c r="Y285" s="2405"/>
      <c r="Z285" s="2405"/>
      <c r="AA285" s="2405"/>
      <c r="AB285" s="2405"/>
      <c r="AC285" s="2405"/>
      <c r="AD285" s="2406"/>
      <c r="AE285" s="549"/>
      <c r="AF285" s="633"/>
      <c r="AG285" s="633"/>
      <c r="AH285" s="633"/>
      <c r="AI285" s="633"/>
      <c r="AJ285" s="549"/>
      <c r="AK285" s="549"/>
      <c r="AL285" s="549"/>
      <c r="AM285" s="549"/>
      <c r="AO285" s="549"/>
      <c r="AP285" s="635"/>
    </row>
    <row r="286" spans="1:52" ht="13.65" customHeight="1">
      <c r="A286" s="549"/>
      <c r="B286" s="594"/>
      <c r="C286" s="2572"/>
      <c r="D286" s="2572"/>
      <c r="E286" s="546"/>
      <c r="F286" s="2407"/>
      <c r="G286" s="2408"/>
      <c r="H286" s="2408"/>
      <c r="I286" s="2408"/>
      <c r="J286" s="2408"/>
      <c r="K286" s="2408"/>
      <c r="L286" s="2408"/>
      <c r="M286" s="2408"/>
      <c r="N286" s="2408"/>
      <c r="O286" s="2408"/>
      <c r="P286" s="2408"/>
      <c r="Q286" s="2408"/>
      <c r="R286" s="2408"/>
      <c r="S286" s="2408"/>
      <c r="T286" s="2408"/>
      <c r="U286" s="2408"/>
      <c r="V286" s="2408"/>
      <c r="W286" s="2408"/>
      <c r="X286" s="2408"/>
      <c r="Y286" s="2408"/>
      <c r="Z286" s="2408"/>
      <c r="AA286" s="2408"/>
      <c r="AB286" s="2408"/>
      <c r="AC286" s="2408"/>
      <c r="AD286" s="2409"/>
      <c r="AE286" s="549"/>
      <c r="AF286" s="633"/>
      <c r="AG286" s="2571"/>
      <c r="AH286" s="2571"/>
      <c r="AI286" s="2571"/>
      <c r="AJ286" s="2571"/>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3" t="s">
        <v>2576</v>
      </c>
      <c r="C289" s="2443"/>
      <c r="D289" s="2443"/>
      <c r="E289" s="2443"/>
      <c r="F289" s="2443"/>
      <c r="G289" s="2443"/>
      <c r="H289" s="2443"/>
      <c r="I289" s="2443"/>
      <c r="J289" s="2443"/>
      <c r="K289" s="2443"/>
      <c r="L289" s="2443"/>
      <c r="M289" s="2443"/>
      <c r="N289" s="2443"/>
      <c r="O289" s="2443"/>
      <c r="P289" s="2443"/>
      <c r="Q289" s="2443"/>
      <c r="R289" s="2443"/>
      <c r="S289" s="2443"/>
      <c r="T289" s="2443"/>
      <c r="U289" s="2443"/>
      <c r="V289" s="2443"/>
      <c r="W289" s="2443"/>
      <c r="X289" s="2443"/>
      <c r="Y289" s="2443"/>
      <c r="Z289" s="2443"/>
      <c r="AA289" s="2443"/>
      <c r="AB289" s="2443"/>
      <c r="AC289" s="2443"/>
      <c r="AD289" s="2443"/>
      <c r="AE289" s="2443"/>
      <c r="AF289" s="2443"/>
      <c r="AG289" s="2443"/>
      <c r="AH289" s="2443"/>
      <c r="AI289" s="2443"/>
      <c r="AJ289" s="2443"/>
      <c r="AK289" s="2443"/>
      <c r="AL289" s="2443"/>
      <c r="AM289" s="549"/>
      <c r="AN289" s="73"/>
    </row>
    <row r="290" spans="1:49">
      <c r="A290" s="549"/>
      <c r="B290" s="2443"/>
      <c r="C290" s="2443"/>
      <c r="D290" s="2443"/>
      <c r="E290" s="2443"/>
      <c r="F290" s="2443"/>
      <c r="G290" s="2443"/>
      <c r="H290" s="2443"/>
      <c r="I290" s="2443"/>
      <c r="J290" s="2443"/>
      <c r="K290" s="2443"/>
      <c r="L290" s="2443"/>
      <c r="M290" s="2443"/>
      <c r="N290" s="2443"/>
      <c r="O290" s="2443"/>
      <c r="P290" s="2443"/>
      <c r="Q290" s="2443"/>
      <c r="R290" s="2443"/>
      <c r="S290" s="2443"/>
      <c r="T290" s="2443"/>
      <c r="U290" s="2443"/>
      <c r="V290" s="2443"/>
      <c r="W290" s="2443"/>
      <c r="X290" s="2443"/>
      <c r="Y290" s="2443"/>
      <c r="Z290" s="2443"/>
      <c r="AA290" s="2443"/>
      <c r="AB290" s="2443"/>
      <c r="AC290" s="2443"/>
      <c r="AD290" s="2443"/>
      <c r="AE290" s="2443"/>
      <c r="AF290" s="2443"/>
      <c r="AG290" s="2443"/>
      <c r="AH290" s="2443"/>
      <c r="AI290" s="2443"/>
      <c r="AJ290" s="2443"/>
      <c r="AK290" s="2443"/>
      <c r="AL290" s="2443"/>
      <c r="AM290" s="549"/>
      <c r="AN290" s="73"/>
    </row>
    <row r="291" spans="1:49">
      <c r="A291" s="549"/>
      <c r="B291" s="2443"/>
      <c r="C291" s="2443"/>
      <c r="D291" s="2443"/>
      <c r="E291" s="2443"/>
      <c r="F291" s="2443"/>
      <c r="G291" s="2443"/>
      <c r="H291" s="2443"/>
      <c r="I291" s="2443"/>
      <c r="J291" s="2443"/>
      <c r="K291" s="2443"/>
      <c r="L291" s="2443"/>
      <c r="M291" s="2443"/>
      <c r="N291" s="2443"/>
      <c r="O291" s="2443"/>
      <c r="P291" s="2443"/>
      <c r="Q291" s="2443"/>
      <c r="R291" s="2443"/>
      <c r="S291" s="2443"/>
      <c r="T291" s="2443"/>
      <c r="U291" s="2443"/>
      <c r="V291" s="2443"/>
      <c r="W291" s="2443"/>
      <c r="X291" s="2443"/>
      <c r="Y291" s="2443"/>
      <c r="Z291" s="2443"/>
      <c r="AA291" s="2443"/>
      <c r="AB291" s="2443"/>
      <c r="AC291" s="2443"/>
      <c r="AD291" s="2443"/>
      <c r="AE291" s="2443"/>
      <c r="AF291" s="2443"/>
      <c r="AG291" s="2443"/>
      <c r="AH291" s="2443"/>
      <c r="AI291" s="2443"/>
      <c r="AJ291" s="2443"/>
      <c r="AK291" s="2443"/>
      <c r="AL291" s="2443"/>
      <c r="AM291" s="549"/>
      <c r="AN291" s="73"/>
    </row>
    <row r="292" spans="1:49">
      <c r="A292" s="549"/>
      <c r="B292" s="2443"/>
      <c r="C292" s="2443"/>
      <c r="D292" s="2443"/>
      <c r="E292" s="2443"/>
      <c r="F292" s="2443"/>
      <c r="G292" s="2443"/>
      <c r="H292" s="2443"/>
      <c r="I292" s="2443"/>
      <c r="J292" s="2443"/>
      <c r="K292" s="2443"/>
      <c r="L292" s="2443"/>
      <c r="M292" s="2443"/>
      <c r="N292" s="2443"/>
      <c r="O292" s="2443"/>
      <c r="P292" s="2443"/>
      <c r="Q292" s="2443"/>
      <c r="R292" s="2443"/>
      <c r="S292" s="2443"/>
      <c r="T292" s="2443"/>
      <c r="U292" s="2443"/>
      <c r="V292" s="2443"/>
      <c r="W292" s="2443"/>
      <c r="X292" s="2443"/>
      <c r="Y292" s="2443"/>
      <c r="Z292" s="2443"/>
      <c r="AA292" s="2443"/>
      <c r="AB292" s="2443"/>
      <c r="AC292" s="2443"/>
      <c r="AD292" s="2443"/>
      <c r="AE292" s="2443"/>
      <c r="AF292" s="2443"/>
      <c r="AG292" s="2443"/>
      <c r="AH292" s="2443"/>
      <c r="AI292" s="2443"/>
      <c r="AJ292" s="2443"/>
      <c r="AK292" s="2443"/>
      <c r="AL292" s="2443"/>
      <c r="AM292" s="549"/>
      <c r="AN292" s="73"/>
    </row>
    <row r="293" spans="1:49">
      <c r="A293" s="549"/>
      <c r="B293" s="2443"/>
      <c r="C293" s="2443"/>
      <c r="D293" s="2443"/>
      <c r="E293" s="2443"/>
      <c r="F293" s="2443"/>
      <c r="G293" s="2443"/>
      <c r="H293" s="2443"/>
      <c r="I293" s="2443"/>
      <c r="J293" s="2443"/>
      <c r="K293" s="2443"/>
      <c r="L293" s="2443"/>
      <c r="M293" s="2443"/>
      <c r="N293" s="2443"/>
      <c r="O293" s="2443"/>
      <c r="P293" s="2443"/>
      <c r="Q293" s="2443"/>
      <c r="R293" s="2443"/>
      <c r="S293" s="2443"/>
      <c r="T293" s="2443"/>
      <c r="U293" s="2443"/>
      <c r="V293" s="2443"/>
      <c r="W293" s="2443"/>
      <c r="X293" s="2443"/>
      <c r="Y293" s="2443"/>
      <c r="Z293" s="2443"/>
      <c r="AA293" s="2443"/>
      <c r="AB293" s="2443"/>
      <c r="AC293" s="2443"/>
      <c r="AD293" s="2443"/>
      <c r="AE293" s="2443"/>
      <c r="AF293" s="2443"/>
      <c r="AG293" s="2443"/>
      <c r="AH293" s="2443"/>
      <c r="AI293" s="2443"/>
      <c r="AJ293" s="2443"/>
      <c r="AK293" s="2443"/>
      <c r="AL293" s="2443"/>
      <c r="AM293" s="549"/>
      <c r="AN293" s="73"/>
    </row>
    <row r="294" spans="1:49">
      <c r="A294" s="549"/>
      <c r="B294" s="2443"/>
      <c r="C294" s="2443"/>
      <c r="D294" s="2443"/>
      <c r="E294" s="2443"/>
      <c r="F294" s="2443"/>
      <c r="G294" s="2443"/>
      <c r="H294" s="2443"/>
      <c r="I294" s="2443"/>
      <c r="J294" s="2443"/>
      <c r="K294" s="2443"/>
      <c r="L294" s="2443"/>
      <c r="M294" s="2443"/>
      <c r="N294" s="2443"/>
      <c r="O294" s="2443"/>
      <c r="P294" s="2443"/>
      <c r="Q294" s="2443"/>
      <c r="R294" s="2443"/>
      <c r="S294" s="2443"/>
      <c r="T294" s="2443"/>
      <c r="U294" s="2443"/>
      <c r="V294" s="2443"/>
      <c r="W294" s="2443"/>
      <c r="X294" s="2443"/>
      <c r="Y294" s="2443"/>
      <c r="Z294" s="2443"/>
      <c r="AA294" s="2443"/>
      <c r="AB294" s="2443"/>
      <c r="AC294" s="2443"/>
      <c r="AD294" s="2443"/>
      <c r="AE294" s="2443"/>
      <c r="AF294" s="2443"/>
      <c r="AG294" s="2443"/>
      <c r="AH294" s="2443"/>
      <c r="AI294" s="2443"/>
      <c r="AJ294" s="2443"/>
      <c r="AK294" s="2443"/>
      <c r="AL294" s="2443"/>
      <c r="AM294" s="549"/>
      <c r="AN294" s="73"/>
    </row>
    <row r="295" spans="1:49">
      <c r="A295" s="549"/>
      <c r="B295" s="2443"/>
      <c r="C295" s="2443"/>
      <c r="D295" s="2443"/>
      <c r="E295" s="2443"/>
      <c r="F295" s="2443"/>
      <c r="G295" s="2443"/>
      <c r="H295" s="2443"/>
      <c r="I295" s="2443"/>
      <c r="J295" s="2443"/>
      <c r="K295" s="2443"/>
      <c r="L295" s="2443"/>
      <c r="M295" s="2443"/>
      <c r="N295" s="2443"/>
      <c r="O295" s="2443"/>
      <c r="P295" s="2443"/>
      <c r="Q295" s="2443"/>
      <c r="R295" s="2443"/>
      <c r="S295" s="2443"/>
      <c r="T295" s="2443"/>
      <c r="U295" s="2443"/>
      <c r="V295" s="2443"/>
      <c r="W295" s="2443"/>
      <c r="X295" s="2443"/>
      <c r="Y295" s="2443"/>
      <c r="Z295" s="2443"/>
      <c r="AA295" s="2443"/>
      <c r="AB295" s="2443"/>
      <c r="AC295" s="2443"/>
      <c r="AD295" s="2443"/>
      <c r="AE295" s="2443"/>
      <c r="AF295" s="2443"/>
      <c r="AG295" s="2443"/>
      <c r="AH295" s="2443"/>
      <c r="AI295" s="2443"/>
      <c r="AJ295" s="2443"/>
      <c r="AK295" s="2443"/>
      <c r="AL295" s="2443"/>
      <c r="AM295" s="549"/>
      <c r="AN295" s="73"/>
    </row>
    <row r="296" spans="1:49">
      <c r="A296" s="549"/>
      <c r="B296" s="2443"/>
      <c r="C296" s="2443"/>
      <c r="D296" s="2443"/>
      <c r="E296" s="2443"/>
      <c r="F296" s="2443"/>
      <c r="G296" s="2443"/>
      <c r="H296" s="2443"/>
      <c r="I296" s="2443"/>
      <c r="J296" s="2443"/>
      <c r="K296" s="2443"/>
      <c r="L296" s="2443"/>
      <c r="M296" s="2443"/>
      <c r="N296" s="2443"/>
      <c r="O296" s="2443"/>
      <c r="P296" s="2443"/>
      <c r="Q296" s="2443"/>
      <c r="R296" s="2443"/>
      <c r="S296" s="2443"/>
      <c r="T296" s="2443"/>
      <c r="U296" s="2443"/>
      <c r="V296" s="2443"/>
      <c r="W296" s="2443"/>
      <c r="X296" s="2443"/>
      <c r="Y296" s="2443"/>
      <c r="Z296" s="2443"/>
      <c r="AA296" s="2443"/>
      <c r="AB296" s="2443"/>
      <c r="AC296" s="2443"/>
      <c r="AD296" s="2443"/>
      <c r="AE296" s="2443"/>
      <c r="AF296" s="2443"/>
      <c r="AG296" s="2443"/>
      <c r="AH296" s="2443"/>
      <c r="AI296" s="2443"/>
      <c r="AJ296" s="2443"/>
      <c r="AK296" s="2443"/>
      <c r="AL296" s="244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3">
        <f>IF($C$279="yes",10,0)</f>
        <v>10</v>
      </c>
      <c r="AL298" s="2563"/>
      <c r="AM298" s="2564"/>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52" t="s">
        <v>1373</v>
      </c>
      <c r="B305" s="1652"/>
      <c r="C305" s="2400" t="s">
        <v>544</v>
      </c>
      <c r="D305" s="2414"/>
      <c r="E305" s="546"/>
      <c r="F305" s="2565" t="s">
        <v>1374</v>
      </c>
      <c r="G305" s="2566"/>
      <c r="H305" s="2566"/>
      <c r="I305" s="2566"/>
      <c r="J305" s="2566"/>
      <c r="K305" s="2566"/>
      <c r="L305" s="2566"/>
      <c r="M305" s="2566"/>
      <c r="N305" s="2566"/>
      <c r="O305" s="2566"/>
      <c r="P305" s="2566"/>
      <c r="Q305" s="2566"/>
      <c r="R305" s="2566"/>
      <c r="S305" s="2566"/>
      <c r="T305" s="2566"/>
      <c r="U305" s="2566"/>
      <c r="V305" s="2566"/>
      <c r="W305" s="2566"/>
      <c r="X305" s="2566"/>
      <c r="Y305" s="2566"/>
      <c r="Z305" s="2566"/>
      <c r="AA305" s="2566"/>
      <c r="AB305" s="2566"/>
      <c r="AC305" s="2566"/>
      <c r="AD305" s="2567"/>
      <c r="AE305" s="640"/>
      <c r="AF305" s="549"/>
      <c r="AG305" s="2568" t="s">
        <v>1981</v>
      </c>
      <c r="AH305" s="2568"/>
      <c r="AI305" s="2568"/>
      <c r="AJ305" s="2568"/>
      <c r="AK305" s="2568"/>
      <c r="AL305" s="549"/>
      <c r="AM305" s="549"/>
      <c r="AN305" s="73"/>
      <c r="AO305" s="14"/>
      <c r="AP305" s="30"/>
      <c r="AS305" s="568"/>
      <c r="AT305" s="568"/>
      <c r="AU305" s="568"/>
      <c r="AV305" s="32"/>
      <c r="AW305" s="32"/>
    </row>
    <row r="306" spans="1:49">
      <c r="A306" s="638"/>
      <c r="B306" s="594"/>
      <c r="F306" s="2434"/>
      <c r="G306" s="2392"/>
      <c r="H306" s="2392"/>
      <c r="I306" s="2392"/>
      <c r="J306" s="2392"/>
      <c r="K306" s="2392"/>
      <c r="L306" s="2392"/>
      <c r="M306" s="2392"/>
      <c r="N306" s="2392"/>
      <c r="O306" s="2392"/>
      <c r="P306" s="2392"/>
      <c r="Q306" s="2392"/>
      <c r="R306" s="2392"/>
      <c r="S306" s="2392"/>
      <c r="T306" s="2392"/>
      <c r="U306" s="2392"/>
      <c r="V306" s="2392"/>
      <c r="W306" s="2392"/>
      <c r="X306" s="2392"/>
      <c r="Y306" s="2392"/>
      <c r="Z306" s="2392"/>
      <c r="AA306" s="2392"/>
      <c r="AB306" s="2392"/>
      <c r="AC306" s="2392"/>
      <c r="AD306" s="2435"/>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4"/>
      <c r="G307" s="2392"/>
      <c r="H307" s="2392"/>
      <c r="I307" s="2392"/>
      <c r="J307" s="2392"/>
      <c r="K307" s="2392"/>
      <c r="L307" s="2392"/>
      <c r="M307" s="2392"/>
      <c r="N307" s="2392"/>
      <c r="O307" s="2392"/>
      <c r="P307" s="2392"/>
      <c r="Q307" s="2392"/>
      <c r="R307" s="2392"/>
      <c r="S307" s="2392"/>
      <c r="T307" s="2392"/>
      <c r="U307" s="2392"/>
      <c r="V307" s="2392"/>
      <c r="W307" s="2392"/>
      <c r="X307" s="2392"/>
      <c r="Y307" s="2392"/>
      <c r="Z307" s="2392"/>
      <c r="AA307" s="2392"/>
      <c r="AB307" s="2392"/>
      <c r="AC307" s="2392"/>
      <c r="AD307" s="2435"/>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4" t="s">
        <v>1986</v>
      </c>
      <c r="G308" s="2392"/>
      <c r="H308" s="2392"/>
      <c r="I308" s="2392"/>
      <c r="J308" s="2392"/>
      <c r="K308" s="2392"/>
      <c r="L308" s="2392"/>
      <c r="M308" s="2392"/>
      <c r="N308" s="2392"/>
      <c r="O308" s="2392"/>
      <c r="P308" s="2392"/>
      <c r="Q308" s="2392"/>
      <c r="R308" s="2392"/>
      <c r="S308" s="2392"/>
      <c r="T308" s="2392"/>
      <c r="U308" s="2392"/>
      <c r="V308" s="2392"/>
      <c r="W308" s="2392"/>
      <c r="X308" s="2392"/>
      <c r="Y308" s="2392"/>
      <c r="Z308" s="2392"/>
      <c r="AA308" s="2392"/>
      <c r="AB308" s="2392"/>
      <c r="AC308" s="2392"/>
      <c r="AD308" s="2435"/>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34"/>
      <c r="G309" s="2392"/>
      <c r="H309" s="2392"/>
      <c r="I309" s="2392"/>
      <c r="J309" s="2392"/>
      <c r="K309" s="2392"/>
      <c r="L309" s="2392"/>
      <c r="M309" s="2392"/>
      <c r="N309" s="2392"/>
      <c r="O309" s="2392"/>
      <c r="P309" s="2392"/>
      <c r="Q309" s="2392"/>
      <c r="R309" s="2392"/>
      <c r="S309" s="2392"/>
      <c r="T309" s="2392"/>
      <c r="U309" s="2392"/>
      <c r="V309" s="2392"/>
      <c r="W309" s="2392"/>
      <c r="X309" s="2392"/>
      <c r="Y309" s="2392"/>
      <c r="Z309" s="2392"/>
      <c r="AA309" s="2392"/>
      <c r="AB309" s="2392"/>
      <c r="AC309" s="2392"/>
      <c r="AD309" s="243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4" t="s">
        <v>1375</v>
      </c>
      <c r="G310" s="2392"/>
      <c r="H310" s="2392"/>
      <c r="I310" s="2392"/>
      <c r="J310" s="2392"/>
      <c r="K310" s="2392"/>
      <c r="L310" s="2392"/>
      <c r="M310" s="2392"/>
      <c r="N310" s="2392"/>
      <c r="O310" s="2392"/>
      <c r="P310" s="2392"/>
      <c r="Q310" s="2392"/>
      <c r="R310" s="2392"/>
      <c r="S310" s="2392"/>
      <c r="T310" s="2392"/>
      <c r="U310" s="2392"/>
      <c r="V310" s="2392"/>
      <c r="W310" s="2392"/>
      <c r="X310" s="2392"/>
      <c r="Y310" s="2392"/>
      <c r="Z310" s="2392"/>
      <c r="AA310" s="2392"/>
      <c r="AB310" s="2392"/>
      <c r="AC310" s="2392"/>
      <c r="AD310" s="243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4"/>
      <c r="G311" s="2392"/>
      <c r="H311" s="2392"/>
      <c r="I311" s="2392"/>
      <c r="J311" s="2392"/>
      <c r="K311" s="2392"/>
      <c r="L311" s="2392"/>
      <c r="M311" s="2392"/>
      <c r="N311" s="2392"/>
      <c r="O311" s="2392"/>
      <c r="P311" s="2392"/>
      <c r="Q311" s="2392"/>
      <c r="R311" s="2392"/>
      <c r="S311" s="2392"/>
      <c r="T311" s="2392"/>
      <c r="U311" s="2392"/>
      <c r="V311" s="2392"/>
      <c r="W311" s="2392"/>
      <c r="X311" s="2392"/>
      <c r="Y311" s="2392"/>
      <c r="Z311" s="2392"/>
      <c r="AA311" s="2392"/>
      <c r="AB311" s="2392"/>
      <c r="AC311" s="2392"/>
      <c r="AD311" s="243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4" t="s">
        <v>1376</v>
      </c>
      <c r="G312" s="2392"/>
      <c r="H312" s="2392"/>
      <c r="I312" s="2392"/>
      <c r="J312" s="2392"/>
      <c r="K312" s="2392"/>
      <c r="L312" s="2392"/>
      <c r="M312" s="2392"/>
      <c r="N312" s="2392"/>
      <c r="O312" s="2392"/>
      <c r="P312" s="2392"/>
      <c r="Q312" s="2392"/>
      <c r="R312" s="2392"/>
      <c r="S312" s="2392"/>
      <c r="T312" s="2392"/>
      <c r="U312" s="2392"/>
      <c r="V312" s="2392"/>
      <c r="W312" s="2392"/>
      <c r="X312" s="2392"/>
      <c r="Y312" s="2392"/>
      <c r="Z312" s="2392"/>
      <c r="AA312" s="2392"/>
      <c r="AB312" s="2392"/>
      <c r="AC312" s="2392"/>
      <c r="AD312" s="243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6"/>
      <c r="G313" s="2437"/>
      <c r="H313" s="2437"/>
      <c r="I313" s="2437"/>
      <c r="J313" s="2437"/>
      <c r="K313" s="2437"/>
      <c r="L313" s="2437"/>
      <c r="M313" s="2437"/>
      <c r="N313" s="2437"/>
      <c r="O313" s="2437"/>
      <c r="P313" s="2437"/>
      <c r="Q313" s="2437"/>
      <c r="R313" s="2437"/>
      <c r="S313" s="2437"/>
      <c r="T313" s="2437"/>
      <c r="U313" s="2437"/>
      <c r="V313" s="2437"/>
      <c r="W313" s="2437"/>
      <c r="X313" s="2437"/>
      <c r="Y313" s="2437"/>
      <c r="Z313" s="2437"/>
      <c r="AA313" s="2437"/>
      <c r="AB313" s="2437"/>
      <c r="AC313" s="2437"/>
      <c r="AD313" s="256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52" t="s">
        <v>1377</v>
      </c>
      <c r="B315" s="1652"/>
      <c r="C315" s="2414" t="s">
        <v>590</v>
      </c>
      <c r="D315" s="2414"/>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4" t="s">
        <v>1982</v>
      </c>
      <c r="G316" s="2392"/>
      <c r="H316" s="2392"/>
      <c r="I316" s="2392"/>
      <c r="J316" s="2392"/>
      <c r="K316" s="2392"/>
      <c r="L316" s="2392"/>
      <c r="M316" s="2392"/>
      <c r="N316" s="2392"/>
      <c r="O316" s="2392"/>
      <c r="P316" s="2392"/>
      <c r="Q316" s="2392"/>
      <c r="R316" s="2392"/>
      <c r="S316" s="2392"/>
      <c r="T316" s="2392"/>
      <c r="U316" s="2392"/>
      <c r="V316" s="2392"/>
      <c r="W316" s="2392"/>
      <c r="X316" s="2392"/>
      <c r="Y316" s="2392"/>
      <c r="Z316" s="2392"/>
      <c r="AA316" s="2392"/>
      <c r="AB316" s="2392"/>
      <c r="AC316" s="2392"/>
      <c r="AD316" s="2435"/>
      <c r="AE316" s="550"/>
      <c r="AF316" s="550"/>
      <c r="AG316" s="550"/>
      <c r="AH316" s="550"/>
      <c r="AI316" s="550"/>
      <c r="AJ316" s="549"/>
      <c r="AK316" s="549"/>
      <c r="AL316" s="549"/>
      <c r="AM316" s="549"/>
      <c r="AR316" s="644"/>
    </row>
    <row r="317" spans="1:49" ht="15" customHeight="1">
      <c r="A317" s="549"/>
      <c r="B317" s="550"/>
      <c r="C317" s="549"/>
      <c r="D317" s="550"/>
      <c r="E317" s="549"/>
      <c r="F317" s="2434"/>
      <c r="G317" s="2392"/>
      <c r="H317" s="2392"/>
      <c r="I317" s="2392"/>
      <c r="J317" s="2392"/>
      <c r="K317" s="2392"/>
      <c r="L317" s="2392"/>
      <c r="M317" s="2392"/>
      <c r="N317" s="2392"/>
      <c r="O317" s="2392"/>
      <c r="P317" s="2392"/>
      <c r="Q317" s="2392"/>
      <c r="R317" s="2392"/>
      <c r="S317" s="2392"/>
      <c r="T317" s="2392"/>
      <c r="U317" s="2392"/>
      <c r="V317" s="2392"/>
      <c r="W317" s="2392"/>
      <c r="X317" s="2392"/>
      <c r="Y317" s="2392"/>
      <c r="Z317" s="2392"/>
      <c r="AA317" s="2392"/>
      <c r="AB317" s="2392"/>
      <c r="AC317" s="2392"/>
      <c r="AD317" s="2435"/>
      <c r="AE317" s="550"/>
      <c r="AF317" s="550"/>
      <c r="AG317" s="550"/>
      <c r="AH317" s="550"/>
      <c r="AI317" s="550"/>
      <c r="AJ317" s="549"/>
      <c r="AK317" s="549"/>
      <c r="AL317" s="549"/>
      <c r="AM317" s="549"/>
      <c r="AR317" s="644"/>
    </row>
    <row r="318" spans="1:49">
      <c r="A318" s="549"/>
      <c r="B318" s="550"/>
      <c r="C318" s="549"/>
      <c r="D318" s="550"/>
      <c r="E318" s="549"/>
      <c r="F318" s="2434"/>
      <c r="G318" s="2392"/>
      <c r="H318" s="2392"/>
      <c r="I318" s="2392"/>
      <c r="J318" s="2392"/>
      <c r="K318" s="2392"/>
      <c r="L318" s="2392"/>
      <c r="M318" s="2392"/>
      <c r="N318" s="2392"/>
      <c r="O318" s="2392"/>
      <c r="P318" s="2392"/>
      <c r="Q318" s="2392"/>
      <c r="R318" s="2392"/>
      <c r="S318" s="2392"/>
      <c r="T318" s="2392"/>
      <c r="U318" s="2392"/>
      <c r="V318" s="2392"/>
      <c r="W318" s="2392"/>
      <c r="X318" s="2392"/>
      <c r="Y318" s="2392"/>
      <c r="Z318" s="2392"/>
      <c r="AA318" s="2392"/>
      <c r="AB318" s="2392"/>
      <c r="AC318" s="2392"/>
      <c r="AD318" s="243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6"/>
      <c r="G319" s="2437"/>
      <c r="H319" s="2437"/>
      <c r="I319" s="2437"/>
      <c r="J319" s="2437"/>
      <c r="K319" s="2437"/>
      <c r="L319" s="2437"/>
      <c r="M319" s="2437"/>
      <c r="N319" s="2437"/>
      <c r="O319" s="2437"/>
      <c r="P319" s="2437"/>
      <c r="Q319" s="2437"/>
      <c r="R319" s="2437"/>
      <c r="S319" s="2437"/>
      <c r="T319" s="2437"/>
      <c r="U319" s="2437"/>
      <c r="V319" s="2437"/>
      <c r="W319" s="2437"/>
      <c r="X319" s="2437"/>
      <c r="Y319" s="2437"/>
      <c r="Z319" s="2437"/>
      <c r="AA319" s="2437"/>
      <c r="AB319" s="2437"/>
      <c r="AC319" s="2437"/>
      <c r="AD319" s="256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52" t="s">
        <v>1380</v>
      </c>
      <c r="B323" s="1652"/>
      <c r="C323" s="2414" t="s">
        <v>590</v>
      </c>
      <c r="D323" s="2414"/>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4" t="s">
        <v>1987</v>
      </c>
      <c r="G324" s="2392"/>
      <c r="H324" s="2392"/>
      <c r="I324" s="2392"/>
      <c r="J324" s="2392"/>
      <c r="K324" s="2392"/>
      <c r="L324" s="2392"/>
      <c r="M324" s="2392"/>
      <c r="N324" s="2392"/>
      <c r="O324" s="2392"/>
      <c r="P324" s="2392"/>
      <c r="Q324" s="2392"/>
      <c r="R324" s="2392"/>
      <c r="S324" s="2392"/>
      <c r="T324" s="2392"/>
      <c r="U324" s="2392"/>
      <c r="V324" s="2392"/>
      <c r="W324" s="2392"/>
      <c r="X324" s="2392"/>
      <c r="Y324" s="2392"/>
      <c r="Z324" s="2392"/>
      <c r="AA324" s="2392"/>
      <c r="AB324" s="2392"/>
      <c r="AC324" s="2392"/>
      <c r="AD324" s="2435"/>
      <c r="AE324" s="550"/>
      <c r="AF324" s="550"/>
      <c r="AG324" s="539"/>
      <c r="AH324" s="550"/>
      <c r="AI324" s="550"/>
      <c r="AJ324" s="549"/>
      <c r="AK324" s="549"/>
      <c r="AL324" s="549"/>
      <c r="AM324" s="549"/>
      <c r="AN324" s="73"/>
      <c r="AO324" s="14"/>
      <c r="AP324" s="555" t="s">
        <v>1183</v>
      </c>
    </row>
    <row r="325" spans="1:44" hidden="1">
      <c r="F325" s="2434"/>
      <c r="G325" s="2392"/>
      <c r="H325" s="2392"/>
      <c r="I325" s="2392"/>
      <c r="J325" s="2392"/>
      <c r="K325" s="2392"/>
      <c r="L325" s="2392"/>
      <c r="M325" s="2392"/>
      <c r="N325" s="2392"/>
      <c r="O325" s="2392"/>
      <c r="P325" s="2392"/>
      <c r="Q325" s="2392"/>
      <c r="R325" s="2392"/>
      <c r="S325" s="2392"/>
      <c r="T325" s="2392"/>
      <c r="U325" s="2392"/>
      <c r="V325" s="2392"/>
      <c r="W325" s="2392"/>
      <c r="X325" s="2392"/>
      <c r="Y325" s="2392"/>
      <c r="Z325" s="2392"/>
      <c r="AA325" s="2392"/>
      <c r="AB325" s="2392"/>
      <c r="AC325" s="2392"/>
      <c r="AD325" s="2435"/>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2" t="s">
        <v>1183</v>
      </c>
      <c r="G329" s="2543"/>
      <c r="H329" s="2543"/>
      <c r="I329" s="2543"/>
      <c r="J329" s="2543"/>
      <c r="K329" s="2543"/>
      <c r="L329" s="2543"/>
      <c r="M329" s="2543"/>
      <c r="N329" s="2543"/>
      <c r="O329" s="2543"/>
      <c r="P329" s="2543"/>
      <c r="Q329" s="2543"/>
      <c r="R329" s="2543"/>
      <c r="S329" s="2543"/>
      <c r="T329" s="2543"/>
      <c r="U329" s="2543"/>
      <c r="V329" s="2543"/>
      <c r="W329" s="2543"/>
      <c r="X329" s="2543"/>
      <c r="Y329" s="2543"/>
      <c r="Z329" s="2543"/>
      <c r="AA329" s="2543"/>
      <c r="AB329" s="2543"/>
      <c r="AC329" s="2543"/>
      <c r="AD329" s="2544"/>
      <c r="AE329" s="640"/>
      <c r="AF329" s="640"/>
      <c r="AG329" s="640"/>
      <c r="AH329" s="640"/>
      <c r="AI329" s="640"/>
      <c r="AJ329" s="640"/>
      <c r="AK329" s="640"/>
      <c r="AL329" s="549"/>
      <c r="AM329" s="549"/>
      <c r="AN329" s="73"/>
      <c r="AO329" s="14"/>
      <c r="AP329" s="30"/>
    </row>
    <row r="330" spans="1:44" hidden="1">
      <c r="A330" s="549"/>
      <c r="B330" s="550"/>
      <c r="C330" s="726"/>
      <c r="D330" s="726"/>
      <c r="E330" s="546"/>
      <c r="F330" s="2542"/>
      <c r="G330" s="2543"/>
      <c r="H330" s="2543"/>
      <c r="I330" s="2543"/>
      <c r="J330" s="2543"/>
      <c r="K330" s="2543"/>
      <c r="L330" s="2543"/>
      <c r="M330" s="2543"/>
      <c r="N330" s="2543"/>
      <c r="O330" s="2543"/>
      <c r="P330" s="2543"/>
      <c r="Q330" s="2543"/>
      <c r="R330" s="2543"/>
      <c r="S330" s="2543"/>
      <c r="T330" s="2543"/>
      <c r="U330" s="2543"/>
      <c r="V330" s="2543"/>
      <c r="W330" s="2543"/>
      <c r="X330" s="2543"/>
      <c r="Y330" s="2543"/>
      <c r="Z330" s="2543"/>
      <c r="AA330" s="2543"/>
      <c r="AB330" s="2543"/>
      <c r="AC330" s="2543"/>
      <c r="AD330" s="2544"/>
      <c r="AE330" s="550"/>
      <c r="AF330" s="550"/>
      <c r="AG330" s="539"/>
      <c r="AH330" s="550"/>
      <c r="AI330" s="550"/>
      <c r="AJ330" s="549"/>
      <c r="AK330" s="549"/>
      <c r="AL330" s="549"/>
      <c r="AM330" s="549"/>
      <c r="AN330" s="73"/>
      <c r="AO330" s="14"/>
      <c r="AP330" s="30"/>
    </row>
    <row r="331" spans="1:44" hidden="1">
      <c r="A331" s="549"/>
      <c r="B331" s="550"/>
      <c r="C331" s="726"/>
      <c r="D331" s="726"/>
      <c r="E331" s="546"/>
      <c r="F331" s="2542"/>
      <c r="G331" s="2543"/>
      <c r="H331" s="2543"/>
      <c r="I331" s="2543"/>
      <c r="J331" s="2543"/>
      <c r="K331" s="2543"/>
      <c r="L331" s="2543"/>
      <c r="M331" s="2543"/>
      <c r="N331" s="2543"/>
      <c r="O331" s="2543"/>
      <c r="P331" s="2543"/>
      <c r="Q331" s="2543"/>
      <c r="R331" s="2543"/>
      <c r="S331" s="2543"/>
      <c r="T331" s="2543"/>
      <c r="U331" s="2543"/>
      <c r="V331" s="2543"/>
      <c r="W331" s="2543"/>
      <c r="X331" s="2543"/>
      <c r="Y331" s="2543"/>
      <c r="Z331" s="2543"/>
      <c r="AA331" s="2543"/>
      <c r="AB331" s="2543"/>
      <c r="AC331" s="2543"/>
      <c r="AD331" s="2544"/>
      <c r="AE331" s="550"/>
      <c r="AF331" s="550"/>
      <c r="AG331" s="539"/>
      <c r="AH331" s="550"/>
      <c r="AI331" s="550"/>
      <c r="AJ331" s="549"/>
      <c r="AK331" s="549"/>
      <c r="AL331" s="549"/>
      <c r="AM331" s="549"/>
      <c r="AN331" s="73"/>
      <c r="AO331" s="14"/>
      <c r="AP331" s="30"/>
    </row>
    <row r="332" spans="1:44" hidden="1">
      <c r="A332" s="549"/>
      <c r="B332" s="550"/>
      <c r="C332" s="726"/>
      <c r="D332" s="726"/>
      <c r="E332" s="546"/>
      <c r="F332" s="2542"/>
      <c r="G332" s="2543"/>
      <c r="H332" s="2543"/>
      <c r="I332" s="2543"/>
      <c r="J332" s="2543"/>
      <c r="K332" s="2543"/>
      <c r="L332" s="2543"/>
      <c r="M332" s="2543"/>
      <c r="N332" s="2543"/>
      <c r="O332" s="2543"/>
      <c r="P332" s="2543"/>
      <c r="Q332" s="2543"/>
      <c r="R332" s="2543"/>
      <c r="S332" s="2543"/>
      <c r="T332" s="2543"/>
      <c r="U332" s="2543"/>
      <c r="V332" s="2543"/>
      <c r="W332" s="2543"/>
      <c r="X332" s="2543"/>
      <c r="Y332" s="2543"/>
      <c r="Z332" s="2543"/>
      <c r="AA332" s="2543"/>
      <c r="AB332" s="2543"/>
      <c r="AC332" s="2543"/>
      <c r="AD332" s="2544"/>
      <c r="AE332" s="550"/>
      <c r="AF332" s="550"/>
      <c r="AG332" s="539"/>
      <c r="AH332" s="550"/>
      <c r="AI332" s="550"/>
      <c r="AJ332" s="549"/>
      <c r="AK332" s="549"/>
      <c r="AL332" s="549"/>
      <c r="AM332" s="549"/>
      <c r="AN332" s="73"/>
      <c r="AO332" s="14"/>
      <c r="AP332" s="30"/>
    </row>
    <row r="333" spans="1:44" hidden="1">
      <c r="A333" s="549"/>
      <c r="B333" s="550"/>
      <c r="C333" s="726"/>
      <c r="D333" s="726"/>
      <c r="E333" s="546"/>
      <c r="F333" s="2545"/>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8" t="s">
        <v>1183</v>
      </c>
      <c r="J337" s="2548"/>
      <c r="K337" s="2548"/>
      <c r="L337" s="2548"/>
      <c r="M337" s="2548"/>
      <c r="N337" s="2548"/>
      <c r="O337" s="2548"/>
      <c r="P337" s="2548"/>
      <c r="Q337" s="2548"/>
      <c r="R337" s="2548"/>
      <c r="S337" s="2548"/>
      <c r="T337" s="2548"/>
      <c r="U337" s="2548"/>
      <c r="V337" s="2548"/>
      <c r="W337" s="2548"/>
      <c r="X337" s="2548"/>
      <c r="Y337" s="2548"/>
      <c r="Z337" s="2548"/>
      <c r="AA337" s="2548"/>
      <c r="AB337" s="2548"/>
      <c r="AC337" s="2548"/>
      <c r="AD337" s="2549"/>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8"/>
      <c r="J338" s="2548"/>
      <c r="K338" s="2548"/>
      <c r="L338" s="2548"/>
      <c r="M338" s="2548"/>
      <c r="N338" s="2548"/>
      <c r="O338" s="2548"/>
      <c r="P338" s="2548"/>
      <c r="Q338" s="2548"/>
      <c r="R338" s="2548"/>
      <c r="S338" s="2548"/>
      <c r="T338" s="2548"/>
      <c r="U338" s="2548"/>
      <c r="V338" s="2548"/>
      <c r="W338" s="2548"/>
      <c r="X338" s="2548"/>
      <c r="Y338" s="2548"/>
      <c r="Z338" s="2548"/>
      <c r="AA338" s="2548"/>
      <c r="AB338" s="2548"/>
      <c r="AC338" s="2548"/>
      <c r="AD338" s="2549"/>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8"/>
      <c r="J339" s="2548"/>
      <c r="K339" s="2548"/>
      <c r="L339" s="2548"/>
      <c r="M339" s="2548"/>
      <c r="N339" s="2548"/>
      <c r="O339" s="2548"/>
      <c r="P339" s="2548"/>
      <c r="Q339" s="2548"/>
      <c r="R339" s="2548"/>
      <c r="S339" s="2548"/>
      <c r="T339" s="2548"/>
      <c r="U339" s="2548"/>
      <c r="V339" s="2548"/>
      <c r="W339" s="2548"/>
      <c r="X339" s="2548"/>
      <c r="Y339" s="2548"/>
      <c r="Z339" s="2548"/>
      <c r="AA339" s="2548"/>
      <c r="AB339" s="2548"/>
      <c r="AC339" s="2548"/>
      <c r="AD339" s="2549"/>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50"/>
      <c r="J340" s="2550"/>
      <c r="K340" s="2550"/>
      <c r="L340" s="2550"/>
      <c r="M340" s="2550"/>
      <c r="N340" s="2550"/>
      <c r="O340" s="2550"/>
      <c r="P340" s="2550"/>
      <c r="Q340" s="2550"/>
      <c r="R340" s="2550"/>
      <c r="S340" s="2550"/>
      <c r="T340" s="2550"/>
      <c r="U340" s="2550"/>
      <c r="V340" s="2550"/>
      <c r="W340" s="2550"/>
      <c r="X340" s="2550"/>
      <c r="Y340" s="2550"/>
      <c r="Z340" s="2550"/>
      <c r="AA340" s="2550"/>
      <c r="AB340" s="2550"/>
      <c r="AC340" s="2550"/>
      <c r="AD340" s="2551"/>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8" t="s">
        <v>1183</v>
      </c>
      <c r="J342" s="2548"/>
      <c r="K342" s="2548"/>
      <c r="L342" s="2548"/>
      <c r="M342" s="2548"/>
      <c r="N342" s="2548"/>
      <c r="O342" s="2548"/>
      <c r="P342" s="2548"/>
      <c r="Q342" s="2548"/>
      <c r="R342" s="2548"/>
      <c r="S342" s="2548"/>
      <c r="T342" s="2548"/>
      <c r="U342" s="2548"/>
      <c r="V342" s="2548"/>
      <c r="W342" s="2548"/>
      <c r="X342" s="2548"/>
      <c r="Y342" s="2548"/>
      <c r="Z342" s="2548"/>
      <c r="AA342" s="2548"/>
      <c r="AB342" s="2548"/>
      <c r="AC342" s="2548"/>
      <c r="AD342" s="2549"/>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8"/>
      <c r="J343" s="2548"/>
      <c r="K343" s="2548"/>
      <c r="L343" s="2548"/>
      <c r="M343" s="2548"/>
      <c r="N343" s="2548"/>
      <c r="O343" s="2548"/>
      <c r="P343" s="2548"/>
      <c r="Q343" s="2548"/>
      <c r="R343" s="2548"/>
      <c r="S343" s="2548"/>
      <c r="T343" s="2548"/>
      <c r="U343" s="2548"/>
      <c r="V343" s="2548"/>
      <c r="W343" s="2548"/>
      <c r="X343" s="2548"/>
      <c r="Y343" s="2548"/>
      <c r="Z343" s="2548"/>
      <c r="AA343" s="2548"/>
      <c r="AB343" s="2548"/>
      <c r="AC343" s="2548"/>
      <c r="AD343" s="2549"/>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50"/>
      <c r="J344" s="2550"/>
      <c r="K344" s="2550"/>
      <c r="L344" s="2550"/>
      <c r="M344" s="2550"/>
      <c r="N344" s="2550"/>
      <c r="O344" s="2550"/>
      <c r="P344" s="2550"/>
      <c r="Q344" s="2550"/>
      <c r="R344" s="2550"/>
      <c r="S344" s="2550"/>
      <c r="T344" s="2550"/>
      <c r="U344" s="2550"/>
      <c r="V344" s="2550"/>
      <c r="W344" s="2550"/>
      <c r="X344" s="2550"/>
      <c r="Y344" s="2550"/>
      <c r="Z344" s="2550"/>
      <c r="AA344" s="2550"/>
      <c r="AB344" s="2550"/>
      <c r="AC344" s="2550"/>
      <c r="AD344" s="2551"/>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52" t="s">
        <v>1383</v>
      </c>
      <c r="B346" s="1652"/>
      <c r="C346" s="2414" t="s">
        <v>590</v>
      </c>
      <c r="D346" s="2414"/>
      <c r="E346" s="546"/>
      <c r="F346" s="2455" t="s">
        <v>1988</v>
      </c>
      <c r="G346" s="2456"/>
      <c r="H346" s="2456"/>
      <c r="I346" s="2456"/>
      <c r="J346" s="2456"/>
      <c r="K346" s="2456"/>
      <c r="L346" s="2456"/>
      <c r="M346" s="2456"/>
      <c r="N346" s="2456"/>
      <c r="O346" s="2456"/>
      <c r="P346" s="2456"/>
      <c r="Q346" s="2456"/>
      <c r="R346" s="2456"/>
      <c r="S346" s="2456"/>
      <c r="T346" s="2456"/>
      <c r="U346" s="2456"/>
      <c r="V346" s="2456"/>
      <c r="W346" s="2456"/>
      <c r="X346" s="2456"/>
      <c r="Y346" s="2456"/>
      <c r="Z346" s="2456"/>
      <c r="AA346" s="2456"/>
      <c r="AB346" s="2456"/>
      <c r="AC346" s="2456"/>
      <c r="AD346" s="2457"/>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8"/>
      <c r="G347" s="2459"/>
      <c r="H347" s="2459"/>
      <c r="I347" s="2459"/>
      <c r="J347" s="2459"/>
      <c r="K347" s="2459"/>
      <c r="L347" s="2459"/>
      <c r="M347" s="2459"/>
      <c r="N347" s="2459"/>
      <c r="O347" s="2459"/>
      <c r="P347" s="2459"/>
      <c r="Q347" s="2459"/>
      <c r="R347" s="2459"/>
      <c r="S347" s="2459"/>
      <c r="T347" s="2459"/>
      <c r="U347" s="2459"/>
      <c r="V347" s="2459"/>
      <c r="W347" s="2459"/>
      <c r="X347" s="2459"/>
      <c r="Y347" s="2459"/>
      <c r="Z347" s="2459"/>
      <c r="AA347" s="2459"/>
      <c r="AB347" s="2459"/>
      <c r="AC347" s="2459"/>
      <c r="AD347" s="2460"/>
      <c r="AE347" s="550"/>
      <c r="AF347" s="550"/>
      <c r="AG347" s="550"/>
      <c r="AH347" s="550"/>
      <c r="AI347" s="550"/>
      <c r="AJ347" s="549"/>
      <c r="AK347" s="549"/>
      <c r="AL347" s="549"/>
      <c r="AM347" s="549"/>
      <c r="AN347" s="73"/>
      <c r="AO347" s="14"/>
    </row>
    <row r="348" spans="1:42" ht="15" hidden="1" customHeight="1">
      <c r="A348" s="549"/>
      <c r="B348" s="550"/>
      <c r="C348" s="550"/>
      <c r="D348" s="550"/>
      <c r="E348" s="550"/>
      <c r="F348" s="2458"/>
      <c r="G348" s="2459"/>
      <c r="H348" s="2459"/>
      <c r="I348" s="2459"/>
      <c r="J348" s="2459"/>
      <c r="K348" s="2459"/>
      <c r="L348" s="2459"/>
      <c r="M348" s="2459"/>
      <c r="N348" s="2459"/>
      <c r="O348" s="2459"/>
      <c r="P348" s="2459"/>
      <c r="Q348" s="2459"/>
      <c r="R348" s="2459"/>
      <c r="S348" s="2459"/>
      <c r="T348" s="2459"/>
      <c r="U348" s="2459"/>
      <c r="V348" s="2459"/>
      <c r="W348" s="2459"/>
      <c r="X348" s="2459"/>
      <c r="Y348" s="2459"/>
      <c r="Z348" s="2459"/>
      <c r="AA348" s="2459"/>
      <c r="AB348" s="2459"/>
      <c r="AC348" s="2459"/>
      <c r="AD348" s="2460"/>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5">
        <f>IF(NOT(OR(Application!M364="Yes",Application!M365="Yes")),0,AP308)</f>
        <v>10</v>
      </c>
      <c r="AL351" s="2441"/>
      <c r="AM351" s="239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2" t="s">
        <v>1307</v>
      </c>
      <c r="AF354" s="2452"/>
      <c r="AG354" s="2452"/>
      <c r="AH354" s="2452"/>
      <c r="AI354" s="2452"/>
      <c r="AJ354" s="2452"/>
      <c r="AK354" s="245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3" t="s">
        <v>1444</v>
      </c>
      <c r="D356" s="2463"/>
      <c r="E356" s="2463"/>
      <c r="F356" s="2463"/>
      <c r="G356" s="2463"/>
      <c r="H356" s="2463"/>
      <c r="I356" s="2463"/>
      <c r="J356" s="2463"/>
      <c r="K356" s="2463"/>
      <c r="L356" s="2463"/>
      <c r="M356" s="2463"/>
      <c r="N356" s="2463"/>
      <c r="O356" s="2463"/>
      <c r="P356" s="2463"/>
      <c r="Q356" s="2463"/>
      <c r="R356" s="2463"/>
      <c r="S356" s="2463"/>
      <c r="T356" s="2463"/>
      <c r="U356" s="2463"/>
      <c r="V356" s="2463"/>
      <c r="W356" s="2463"/>
      <c r="X356" s="2463"/>
      <c r="Y356" s="2463"/>
      <c r="Z356" s="2463"/>
      <c r="AA356" s="2463"/>
      <c r="AB356" s="2463"/>
      <c r="AC356" s="2463"/>
      <c r="AD356" s="2463"/>
      <c r="AE356" s="2463"/>
      <c r="AF356" s="2463"/>
      <c r="AG356" s="2463"/>
      <c r="AH356" s="2463"/>
      <c r="AI356" s="2463"/>
      <c r="AJ356" s="2463"/>
      <c r="AK356" s="601"/>
      <c r="AL356" s="601"/>
      <c r="AM356" s="601"/>
      <c r="AN356" s="595"/>
    </row>
    <row r="357" spans="1:44" s="549" customFormat="1" ht="12.75" customHeight="1">
      <c r="A357" s="601"/>
      <c r="B357" s="609"/>
      <c r="C357" s="2463"/>
      <c r="D357" s="2463"/>
      <c r="E357" s="2463"/>
      <c r="F357" s="2463"/>
      <c r="G357" s="2463"/>
      <c r="H357" s="2463"/>
      <c r="I357" s="2463"/>
      <c r="J357" s="2463"/>
      <c r="K357" s="2463"/>
      <c r="L357" s="2463"/>
      <c r="M357" s="2463"/>
      <c r="N357" s="2463"/>
      <c r="O357" s="2463"/>
      <c r="P357" s="2463"/>
      <c r="Q357" s="2463"/>
      <c r="R357" s="2463"/>
      <c r="S357" s="2463"/>
      <c r="T357" s="2463"/>
      <c r="U357" s="2463"/>
      <c r="V357" s="2463"/>
      <c r="W357" s="2463"/>
      <c r="X357" s="2463"/>
      <c r="Y357" s="2463"/>
      <c r="Z357" s="2463"/>
      <c r="AA357" s="2463"/>
      <c r="AB357" s="2463"/>
      <c r="AC357" s="2463"/>
      <c r="AD357" s="2463"/>
      <c r="AE357" s="2463"/>
      <c r="AF357" s="2463"/>
      <c r="AG357" s="2463"/>
      <c r="AH357" s="2463"/>
      <c r="AI357" s="2463"/>
      <c r="AJ357" s="2463"/>
      <c r="AK357" s="601"/>
      <c r="AL357" s="601"/>
      <c r="AM357" s="601"/>
      <c r="AN357" s="595"/>
    </row>
    <row r="358" spans="1:44" s="549" customFormat="1" ht="12.75" customHeight="1">
      <c r="A358" s="601"/>
      <c r="B358" s="609"/>
      <c r="C358" s="2463"/>
      <c r="D358" s="2463"/>
      <c r="E358" s="2463"/>
      <c r="F358" s="2463"/>
      <c r="G358" s="2463"/>
      <c r="H358" s="2463"/>
      <c r="I358" s="2463"/>
      <c r="J358" s="2463"/>
      <c r="K358" s="2463"/>
      <c r="L358" s="2463"/>
      <c r="M358" s="2463"/>
      <c r="N358" s="2463"/>
      <c r="O358" s="2463"/>
      <c r="P358" s="2463"/>
      <c r="Q358" s="2463"/>
      <c r="R358" s="2463"/>
      <c r="S358" s="2463"/>
      <c r="T358" s="2463"/>
      <c r="U358" s="2463"/>
      <c r="V358" s="2463"/>
      <c r="W358" s="2463"/>
      <c r="X358" s="2463"/>
      <c r="Y358" s="2463"/>
      <c r="Z358" s="2463"/>
      <c r="AA358" s="2463"/>
      <c r="AB358" s="2463"/>
      <c r="AC358" s="2463"/>
      <c r="AD358" s="2463"/>
      <c r="AE358" s="2463"/>
      <c r="AF358" s="2463"/>
      <c r="AG358" s="2463"/>
      <c r="AH358" s="2463"/>
      <c r="AI358" s="2463"/>
      <c r="AJ358" s="2463"/>
      <c r="AK358" s="601"/>
      <c r="AL358" s="601"/>
      <c r="AM358" s="601"/>
      <c r="AN358" s="595"/>
      <c r="AQ358" s="568"/>
    </row>
    <row r="359" spans="1:44" s="549" customFormat="1" ht="12.75" customHeight="1">
      <c r="A359" s="601"/>
      <c r="B359" s="609"/>
      <c r="C359" s="2463"/>
      <c r="D359" s="2463"/>
      <c r="E359" s="2463"/>
      <c r="F359" s="2463"/>
      <c r="G359" s="2463"/>
      <c r="H359" s="2463"/>
      <c r="I359" s="2463"/>
      <c r="J359" s="2463"/>
      <c r="K359" s="2463"/>
      <c r="L359" s="2463"/>
      <c r="M359" s="2463"/>
      <c r="N359" s="2463"/>
      <c r="O359" s="2463"/>
      <c r="P359" s="2463"/>
      <c r="Q359" s="2463"/>
      <c r="R359" s="2463"/>
      <c r="S359" s="2463"/>
      <c r="T359" s="2463"/>
      <c r="U359" s="2463"/>
      <c r="V359" s="2463"/>
      <c r="W359" s="2463"/>
      <c r="X359" s="2463"/>
      <c r="Y359" s="2463"/>
      <c r="Z359" s="2463"/>
      <c r="AA359" s="2463"/>
      <c r="AB359" s="2463"/>
      <c r="AC359" s="2463"/>
      <c r="AD359" s="2463"/>
      <c r="AE359" s="2463"/>
      <c r="AF359" s="2463"/>
      <c r="AG359" s="2463"/>
      <c r="AH359" s="2463"/>
      <c r="AI359" s="2463"/>
      <c r="AJ359" s="2463"/>
      <c r="AK359" s="601"/>
      <c r="AL359" s="601"/>
      <c r="AM359" s="601"/>
      <c r="AN359" s="595"/>
      <c r="AQ359" s="568"/>
    </row>
    <row r="360" spans="1:44" s="549" customFormat="1" ht="12.45" customHeight="1">
      <c r="A360" s="601"/>
      <c r="B360" s="609"/>
      <c r="C360" s="2463"/>
      <c r="D360" s="2463"/>
      <c r="E360" s="2463"/>
      <c r="F360" s="2463"/>
      <c r="G360" s="2463"/>
      <c r="H360" s="2463"/>
      <c r="I360" s="2463"/>
      <c r="J360" s="2463"/>
      <c r="K360" s="2463"/>
      <c r="L360" s="2463"/>
      <c r="M360" s="2463"/>
      <c r="N360" s="2463"/>
      <c r="O360" s="2463"/>
      <c r="P360" s="2463"/>
      <c r="Q360" s="2463"/>
      <c r="R360" s="2463"/>
      <c r="S360" s="2463"/>
      <c r="T360" s="2463"/>
      <c r="U360" s="2463"/>
      <c r="V360" s="2463"/>
      <c r="W360" s="2463"/>
      <c r="X360" s="2463"/>
      <c r="Y360" s="2463"/>
      <c r="Z360" s="2463"/>
      <c r="AA360" s="2463"/>
      <c r="AB360" s="2463"/>
      <c r="AC360" s="2463"/>
      <c r="AD360" s="2463"/>
      <c r="AE360" s="2463"/>
      <c r="AF360" s="2463"/>
      <c r="AG360" s="2463"/>
      <c r="AH360" s="2463"/>
      <c r="AI360" s="2463"/>
      <c r="AJ360" s="2463"/>
      <c r="AK360" s="601"/>
      <c r="AL360" s="601"/>
      <c r="AM360" s="601"/>
      <c r="AN360" s="595"/>
      <c r="AQ360" s="568"/>
      <c r="AR360" s="568"/>
    </row>
    <row r="361" spans="1:44" s="549" customFormat="1" ht="45.75" customHeight="1">
      <c r="A361" s="601"/>
      <c r="B361" s="609"/>
      <c r="C361" s="2463" t="s">
        <v>2048</v>
      </c>
      <c r="D361" s="2463"/>
      <c r="E361" s="2463"/>
      <c r="F361" s="2463"/>
      <c r="G361" s="2463"/>
      <c r="H361" s="2463"/>
      <c r="I361" s="2463"/>
      <c r="J361" s="2463"/>
      <c r="K361" s="2463"/>
      <c r="L361" s="2463"/>
      <c r="M361" s="2463"/>
      <c r="N361" s="2463"/>
      <c r="O361" s="2463"/>
      <c r="P361" s="2463"/>
      <c r="Q361" s="2463"/>
      <c r="R361" s="2463"/>
      <c r="S361" s="2463"/>
      <c r="T361" s="2463"/>
      <c r="U361" s="2463"/>
      <c r="V361" s="2463"/>
      <c r="W361" s="2463"/>
      <c r="X361" s="2463"/>
      <c r="Y361" s="2463"/>
      <c r="Z361" s="2463"/>
      <c r="AA361" s="2463"/>
      <c r="AB361" s="2463"/>
      <c r="AC361" s="2463"/>
      <c r="AD361" s="2463"/>
      <c r="AE361" s="2463"/>
      <c r="AF361" s="2463"/>
      <c r="AG361" s="2463"/>
      <c r="AH361" s="2463"/>
      <c r="AI361" s="2463"/>
      <c r="AJ361" s="2463"/>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3" t="s">
        <v>2162</v>
      </c>
      <c r="D363" s="2463"/>
      <c r="E363" s="2463"/>
      <c r="F363" s="2463"/>
      <c r="G363" s="2463"/>
      <c r="H363" s="2463"/>
      <c r="I363" s="2463"/>
      <c r="J363" s="2463"/>
      <c r="K363" s="2463"/>
      <c r="L363" s="2463"/>
      <c r="M363" s="2463"/>
      <c r="N363" s="2463"/>
      <c r="O363" s="2463"/>
      <c r="P363" s="2463"/>
      <c r="Q363" s="2463"/>
      <c r="R363" s="2463"/>
      <c r="S363" s="2463"/>
      <c r="T363" s="2463"/>
      <c r="U363" s="2463"/>
      <c r="V363" s="2463"/>
      <c r="W363" s="2463"/>
      <c r="X363" s="2463"/>
      <c r="Y363" s="2463"/>
      <c r="Z363" s="2463"/>
      <c r="AA363" s="2463"/>
      <c r="AB363" s="2463"/>
      <c r="AC363" s="2463"/>
      <c r="AD363" s="2463"/>
      <c r="AE363" s="2463"/>
      <c r="AF363" s="2463"/>
      <c r="AG363" s="2463"/>
      <c r="AH363" s="2463"/>
      <c r="AI363" s="2463"/>
      <c r="AJ363" s="2463"/>
      <c r="AK363" s="601"/>
      <c r="AL363" s="601"/>
      <c r="AM363" s="601"/>
      <c r="AN363" s="595"/>
      <c r="AQ363" s="568"/>
      <c r="AR363" s="568"/>
    </row>
    <row r="364" spans="1:44" s="549" customFormat="1" ht="30" customHeight="1">
      <c r="A364" s="601"/>
      <c r="B364" s="609"/>
      <c r="C364" s="2463"/>
      <c r="D364" s="2463"/>
      <c r="E364" s="2463"/>
      <c r="F364" s="2463"/>
      <c r="G364" s="2463"/>
      <c r="H364" s="2463"/>
      <c r="I364" s="2463"/>
      <c r="J364" s="2463"/>
      <c r="K364" s="2463"/>
      <c r="L364" s="2463"/>
      <c r="M364" s="2463"/>
      <c r="N364" s="2463"/>
      <c r="O364" s="2463"/>
      <c r="P364" s="2463"/>
      <c r="Q364" s="2463"/>
      <c r="R364" s="2463"/>
      <c r="S364" s="2463"/>
      <c r="T364" s="2463"/>
      <c r="U364" s="2463"/>
      <c r="V364" s="2463"/>
      <c r="W364" s="2463"/>
      <c r="X364" s="2463"/>
      <c r="Y364" s="2463"/>
      <c r="Z364" s="2463"/>
      <c r="AA364" s="2463"/>
      <c r="AB364" s="2463"/>
      <c r="AC364" s="2463"/>
      <c r="AD364" s="2463"/>
      <c r="AE364" s="2463"/>
      <c r="AF364" s="2463"/>
      <c r="AG364" s="2463"/>
      <c r="AH364" s="2463"/>
      <c r="AI364" s="2463"/>
      <c r="AJ364" s="2463"/>
      <c r="AK364" s="601"/>
      <c r="AL364" s="601"/>
      <c r="AM364" s="601"/>
      <c r="AN364" s="595"/>
      <c r="AR364" s="568"/>
    </row>
    <row r="365" spans="1:44" s="549" customFormat="1" ht="12.75" customHeight="1">
      <c r="A365" s="601"/>
      <c r="B365" s="609"/>
      <c r="C365" s="2463"/>
      <c r="D365" s="2463"/>
      <c r="E365" s="2463"/>
      <c r="F365" s="2463"/>
      <c r="G365" s="2463"/>
      <c r="H365" s="2463"/>
      <c r="I365" s="2463"/>
      <c r="J365" s="2463"/>
      <c r="K365" s="2463"/>
      <c r="L365" s="2463"/>
      <c r="M365" s="2463"/>
      <c r="N365" s="2463"/>
      <c r="O365" s="2463"/>
      <c r="P365" s="2463"/>
      <c r="Q365" s="2463"/>
      <c r="R365" s="2463"/>
      <c r="S365" s="2463"/>
      <c r="T365" s="2463"/>
      <c r="U365" s="2463"/>
      <c r="V365" s="2463"/>
      <c r="W365" s="2463"/>
      <c r="X365" s="2463"/>
      <c r="Y365" s="2463"/>
      <c r="Z365" s="2463"/>
      <c r="AA365" s="2463"/>
      <c r="AB365" s="2463"/>
      <c r="AC365" s="2463"/>
      <c r="AD365" s="2463"/>
      <c r="AE365" s="2463"/>
      <c r="AF365" s="2463"/>
      <c r="AG365" s="2463"/>
      <c r="AH365" s="2463"/>
      <c r="AI365" s="2463"/>
      <c r="AJ365" s="2463"/>
      <c r="AK365" s="601"/>
      <c r="AL365" s="601"/>
      <c r="AM365" s="601"/>
      <c r="AN365" s="595"/>
      <c r="AR365" s="568"/>
    </row>
    <row r="366" spans="1:44" s="549" customFormat="1" ht="12.75" customHeight="1">
      <c r="A366" s="601"/>
      <c r="B366" s="609"/>
      <c r="C366" s="2463" t="s">
        <v>1445</v>
      </c>
      <c r="D366" s="2463"/>
      <c r="E366" s="2463"/>
      <c r="F366" s="2463"/>
      <c r="G366" s="2463"/>
      <c r="H366" s="2463"/>
      <c r="I366" s="2463"/>
      <c r="J366" s="2463"/>
      <c r="K366" s="2463"/>
      <c r="L366" s="2463"/>
      <c r="M366" s="2463"/>
      <c r="N366" s="2463"/>
      <c r="O366" s="2463"/>
      <c r="P366" s="2463"/>
      <c r="Q366" s="2463"/>
      <c r="R366" s="2463"/>
      <c r="S366" s="2463"/>
      <c r="T366" s="2463"/>
      <c r="U366" s="2463"/>
      <c r="V366" s="2463"/>
      <c r="W366" s="2463"/>
      <c r="X366" s="2463"/>
      <c r="Y366" s="2463"/>
      <c r="Z366" s="2463"/>
      <c r="AA366" s="2463"/>
      <c r="AB366" s="2463"/>
      <c r="AC366" s="2463"/>
      <c r="AD366" s="2463"/>
      <c r="AE366" s="2463"/>
      <c r="AF366" s="2463"/>
      <c r="AG366" s="2463"/>
      <c r="AH366" s="2463"/>
      <c r="AI366" s="2463"/>
      <c r="AJ366" s="2463"/>
      <c r="AK366" s="601"/>
      <c r="AL366" s="601"/>
      <c r="AM366" s="601"/>
      <c r="AN366" s="595"/>
      <c r="AQ366" s="568"/>
      <c r="AR366" s="568"/>
    </row>
    <row r="367" spans="1:44" s="549" customFormat="1" ht="12.75" customHeight="1">
      <c r="A367" s="601"/>
      <c r="B367" s="609"/>
      <c r="C367" s="2463"/>
      <c r="D367" s="2463"/>
      <c r="E367" s="2463"/>
      <c r="F367" s="2463"/>
      <c r="G367" s="2463"/>
      <c r="H367" s="2463"/>
      <c r="I367" s="2463"/>
      <c r="J367" s="2463"/>
      <c r="K367" s="2463"/>
      <c r="L367" s="2463"/>
      <c r="M367" s="2463"/>
      <c r="N367" s="2463"/>
      <c r="O367" s="2463"/>
      <c r="P367" s="2463"/>
      <c r="Q367" s="2463"/>
      <c r="R367" s="2463"/>
      <c r="S367" s="2463"/>
      <c r="T367" s="2463"/>
      <c r="U367" s="2463"/>
      <c r="V367" s="2463"/>
      <c r="W367" s="2463"/>
      <c r="X367" s="2463"/>
      <c r="Y367" s="2463"/>
      <c r="Z367" s="2463"/>
      <c r="AA367" s="2463"/>
      <c r="AB367" s="2463"/>
      <c r="AC367" s="2463"/>
      <c r="AD367" s="2463"/>
      <c r="AE367" s="2463"/>
      <c r="AF367" s="2463"/>
      <c r="AG367" s="2463"/>
      <c r="AH367" s="2463"/>
      <c r="AI367" s="2463"/>
      <c r="AJ367" s="2463"/>
      <c r="AK367" s="601"/>
      <c r="AL367" s="601"/>
      <c r="AM367" s="601"/>
      <c r="AN367" s="595"/>
      <c r="AQ367" s="568"/>
      <c r="AR367" s="568"/>
    </row>
    <row r="368" spans="1:44" s="549" customFormat="1" ht="13.2" customHeight="1">
      <c r="A368" s="601"/>
      <c r="B368" s="609"/>
      <c r="C368" s="2463"/>
      <c r="D368" s="2463"/>
      <c r="E368" s="2463"/>
      <c r="F368" s="2463"/>
      <c r="G368" s="2463"/>
      <c r="H368" s="2463"/>
      <c r="I368" s="2463"/>
      <c r="J368" s="2463"/>
      <c r="K368" s="2463"/>
      <c r="L368" s="2463"/>
      <c r="M368" s="2463"/>
      <c r="N368" s="2463"/>
      <c r="O368" s="2463"/>
      <c r="P368" s="2463"/>
      <c r="Q368" s="2463"/>
      <c r="R368" s="2463"/>
      <c r="S368" s="2463"/>
      <c r="T368" s="2463"/>
      <c r="U368" s="2463"/>
      <c r="V368" s="2463"/>
      <c r="W368" s="2463"/>
      <c r="X368" s="2463"/>
      <c r="Y368" s="2463"/>
      <c r="Z368" s="2463"/>
      <c r="AA368" s="2463"/>
      <c r="AB368" s="2463"/>
      <c r="AC368" s="2463"/>
      <c r="AD368" s="2463"/>
      <c r="AE368" s="2463"/>
      <c r="AF368" s="2463"/>
      <c r="AG368" s="2463"/>
      <c r="AH368" s="2463"/>
      <c r="AI368" s="2463"/>
      <c r="AJ368" s="2463"/>
      <c r="AK368" s="601"/>
      <c r="AL368" s="601"/>
      <c r="AM368" s="601"/>
      <c r="AN368" s="595"/>
      <c r="AQ368" s="568"/>
      <c r="AR368" s="568"/>
    </row>
    <row r="369" spans="1:46" s="549" customFormat="1" ht="12.75" customHeight="1">
      <c r="A369" s="601"/>
      <c r="B369" s="609"/>
      <c r="C369" s="2463"/>
      <c r="D369" s="2463"/>
      <c r="E369" s="2463"/>
      <c r="F369" s="2463"/>
      <c r="G369" s="2463"/>
      <c r="H369" s="2463"/>
      <c r="I369" s="2463"/>
      <c r="J369" s="2463"/>
      <c r="K369" s="2463"/>
      <c r="L369" s="2463"/>
      <c r="M369" s="2463"/>
      <c r="N369" s="2463"/>
      <c r="O369" s="2463"/>
      <c r="P369" s="2463"/>
      <c r="Q369" s="2463"/>
      <c r="R369" s="2463"/>
      <c r="S369" s="2463"/>
      <c r="T369" s="2463"/>
      <c r="U369" s="2463"/>
      <c r="V369" s="2463"/>
      <c r="W369" s="2463"/>
      <c r="X369" s="2463"/>
      <c r="Y369" s="2463"/>
      <c r="Z369" s="2463"/>
      <c r="AA369" s="2463"/>
      <c r="AB369" s="2463"/>
      <c r="AC369" s="2463"/>
      <c r="AD369" s="2463"/>
      <c r="AE369" s="2463"/>
      <c r="AF369" s="2463"/>
      <c r="AG369" s="2463"/>
      <c r="AH369" s="2463"/>
      <c r="AI369" s="2463"/>
      <c r="AJ369" s="2463"/>
      <c r="AK369" s="601"/>
      <c r="AL369" s="601"/>
      <c r="AM369" s="601"/>
      <c r="AN369" s="595"/>
      <c r="AO369" s="690"/>
      <c r="AP369" s="690"/>
      <c r="AQ369" s="568"/>
    </row>
    <row r="370" spans="1:46" s="549" customFormat="1" ht="11.85" customHeight="1">
      <c r="A370" s="601"/>
      <c r="B370" s="609"/>
      <c r="C370" s="2463"/>
      <c r="D370" s="2463"/>
      <c r="E370" s="2463"/>
      <c r="F370" s="2463"/>
      <c r="G370" s="2463"/>
      <c r="H370" s="2463"/>
      <c r="I370" s="2463"/>
      <c r="J370" s="2463"/>
      <c r="K370" s="2463"/>
      <c r="L370" s="2463"/>
      <c r="M370" s="2463"/>
      <c r="N370" s="2463"/>
      <c r="O370" s="2463"/>
      <c r="P370" s="2463"/>
      <c r="Q370" s="2463"/>
      <c r="R370" s="2463"/>
      <c r="S370" s="2463"/>
      <c r="T370" s="2463"/>
      <c r="U370" s="2463"/>
      <c r="V370" s="2463"/>
      <c r="W370" s="2463"/>
      <c r="X370" s="2463"/>
      <c r="Y370" s="2463"/>
      <c r="Z370" s="2463"/>
      <c r="AA370" s="2463"/>
      <c r="AB370" s="2463"/>
      <c r="AC370" s="2463"/>
      <c r="AD370" s="2463"/>
      <c r="AE370" s="2463"/>
      <c r="AF370" s="2463"/>
      <c r="AG370" s="2463"/>
      <c r="AH370" s="2463"/>
      <c r="AI370" s="2463"/>
      <c r="AJ370" s="2463"/>
      <c r="AK370" s="601"/>
      <c r="AL370" s="601"/>
      <c r="AM370" s="601"/>
      <c r="AN370" s="595"/>
      <c r="AO370" s="691" t="s">
        <v>112</v>
      </c>
      <c r="AP370" s="692">
        <f>IF(C394="Yes",5,0)</f>
        <v>5</v>
      </c>
      <c r="AS370" s="539" t="s">
        <v>1446</v>
      </c>
    </row>
    <row r="371" spans="1:46" s="549" customFormat="1" ht="12.75" customHeight="1">
      <c r="A371" s="601"/>
      <c r="B371" s="609"/>
      <c r="C371" s="2463"/>
      <c r="D371" s="2463"/>
      <c r="E371" s="2463"/>
      <c r="F371" s="2463"/>
      <c r="G371" s="2463"/>
      <c r="H371" s="2463"/>
      <c r="I371" s="2463"/>
      <c r="J371" s="2463"/>
      <c r="K371" s="2463"/>
      <c r="L371" s="2463"/>
      <c r="M371" s="2463"/>
      <c r="N371" s="2463"/>
      <c r="O371" s="2463"/>
      <c r="P371" s="2463"/>
      <c r="Q371" s="2463"/>
      <c r="R371" s="2463"/>
      <c r="S371" s="2463"/>
      <c r="T371" s="2463"/>
      <c r="U371" s="2463"/>
      <c r="V371" s="2463"/>
      <c r="W371" s="2463"/>
      <c r="X371" s="2463"/>
      <c r="Y371" s="2463"/>
      <c r="Z371" s="2463"/>
      <c r="AA371" s="2463"/>
      <c r="AB371" s="2463"/>
      <c r="AC371" s="2463"/>
      <c r="AD371" s="2463"/>
      <c r="AE371" s="2463"/>
      <c r="AF371" s="2463"/>
      <c r="AG371" s="2463"/>
      <c r="AH371" s="2463"/>
      <c r="AI371" s="2463"/>
      <c r="AJ371" s="2463"/>
      <c r="AK371" s="601"/>
      <c r="AL371" s="601"/>
      <c r="AM371" s="601"/>
      <c r="AN371" s="595"/>
      <c r="AO371" s="691" t="s">
        <v>113</v>
      </c>
      <c r="AP371" s="692">
        <f>IF(C402="Yes",5,0)</f>
        <v>0</v>
      </c>
      <c r="AS371" s="2531">
        <f>IF(Application!D211="Non-Targeted",(SUM(AQ379+AQ388)),AS375)</f>
        <v>10</v>
      </c>
      <c r="AT371" s="2531"/>
    </row>
    <row r="372" spans="1:46" s="549" customFormat="1" ht="12.75" customHeight="1">
      <c r="A372" s="601"/>
      <c r="B372" s="609"/>
      <c r="C372" s="2463"/>
      <c r="D372" s="2463"/>
      <c r="E372" s="2463"/>
      <c r="F372" s="2463"/>
      <c r="G372" s="2463"/>
      <c r="H372" s="2463"/>
      <c r="I372" s="2463"/>
      <c r="J372" s="2463"/>
      <c r="K372" s="2463"/>
      <c r="L372" s="2463"/>
      <c r="M372" s="2463"/>
      <c r="N372" s="2463"/>
      <c r="O372" s="2463"/>
      <c r="P372" s="2463"/>
      <c r="Q372" s="2463"/>
      <c r="R372" s="2463"/>
      <c r="S372" s="2463"/>
      <c r="T372" s="2463"/>
      <c r="U372" s="2463"/>
      <c r="V372" s="2463"/>
      <c r="W372" s="2463"/>
      <c r="X372" s="2463"/>
      <c r="Y372" s="2463"/>
      <c r="Z372" s="2463"/>
      <c r="AA372" s="2463"/>
      <c r="AB372" s="2463"/>
      <c r="AC372" s="2463"/>
      <c r="AD372" s="2463"/>
      <c r="AE372" s="2463"/>
      <c r="AF372" s="2463"/>
      <c r="AG372" s="2463"/>
      <c r="AH372" s="2463"/>
      <c r="AI372" s="2463"/>
      <c r="AJ372" s="2463"/>
      <c r="AK372" s="601"/>
      <c r="AL372" s="601"/>
      <c r="AM372" s="601"/>
      <c r="AN372" s="595"/>
      <c r="AO372" s="691" t="s">
        <v>119</v>
      </c>
      <c r="AP372" s="692">
        <f>IF(C410="Yes",7,0)</f>
        <v>0</v>
      </c>
      <c r="AS372" s="539" t="s">
        <v>1447</v>
      </c>
    </row>
    <row r="373" spans="1:46" s="549" customFormat="1" ht="12.75" customHeight="1">
      <c r="B373" s="609"/>
      <c r="C373" s="2463"/>
      <c r="D373" s="2463"/>
      <c r="E373" s="2463"/>
      <c r="F373" s="2463"/>
      <c r="G373" s="2463"/>
      <c r="H373" s="2463"/>
      <c r="I373" s="2463"/>
      <c r="J373" s="2463"/>
      <c r="K373" s="2463"/>
      <c r="L373" s="2463"/>
      <c r="M373" s="2463"/>
      <c r="N373" s="2463"/>
      <c r="O373" s="2463"/>
      <c r="P373" s="2463"/>
      <c r="Q373" s="2463"/>
      <c r="R373" s="2463"/>
      <c r="S373" s="2463"/>
      <c r="T373" s="2463"/>
      <c r="U373" s="2463"/>
      <c r="V373" s="2463"/>
      <c r="W373" s="2463"/>
      <c r="X373" s="2463"/>
      <c r="Y373" s="2463"/>
      <c r="Z373" s="2463"/>
      <c r="AA373" s="2463"/>
      <c r="AB373" s="2463"/>
      <c r="AC373" s="2463"/>
      <c r="AD373" s="2463"/>
      <c r="AE373" s="2463"/>
      <c r="AF373" s="2463"/>
      <c r="AG373" s="2463"/>
      <c r="AH373" s="2463"/>
      <c r="AI373" s="2463"/>
      <c r="AJ373" s="2463"/>
      <c r="AK373" s="601"/>
      <c r="AL373" s="601"/>
      <c r="AM373" s="601"/>
      <c r="AN373" s="595"/>
      <c r="AO373" s="595"/>
      <c r="AP373" s="692">
        <f>IF(C412="Yes",5,0)</f>
        <v>5</v>
      </c>
      <c r="AS373" s="2531">
        <f>IF(AND(AQ379&gt;0,AQ388&gt;0),(AQ379+AQ388)/2,0)</f>
        <v>0</v>
      </c>
      <c r="AT373" s="2531"/>
    </row>
    <row r="374" spans="1:46" s="549" customFormat="1" ht="12.75" customHeight="1">
      <c r="A374" s="601"/>
      <c r="B374" s="609"/>
      <c r="C374" s="2463"/>
      <c r="D374" s="2463"/>
      <c r="E374" s="2463"/>
      <c r="F374" s="2463"/>
      <c r="G374" s="2463"/>
      <c r="H374" s="2463"/>
      <c r="I374" s="2463"/>
      <c r="J374" s="2463"/>
      <c r="K374" s="2463"/>
      <c r="L374" s="2463"/>
      <c r="M374" s="2463"/>
      <c r="N374" s="2463"/>
      <c r="O374" s="2463"/>
      <c r="P374" s="2463"/>
      <c r="Q374" s="2463"/>
      <c r="R374" s="2463"/>
      <c r="S374" s="2463"/>
      <c r="T374" s="2463"/>
      <c r="U374" s="2463"/>
      <c r="V374" s="2463"/>
      <c r="W374" s="2463"/>
      <c r="X374" s="2463"/>
      <c r="Y374" s="2463"/>
      <c r="Z374" s="2463"/>
      <c r="AA374" s="2463"/>
      <c r="AB374" s="2463"/>
      <c r="AC374" s="2463"/>
      <c r="AD374" s="2463"/>
      <c r="AE374" s="2463"/>
      <c r="AF374" s="2463"/>
      <c r="AG374" s="2463"/>
      <c r="AH374" s="2463"/>
      <c r="AI374" s="2463"/>
      <c r="AJ374" s="2463"/>
      <c r="AK374" s="601"/>
      <c r="AL374" s="601"/>
      <c r="AM374" s="601"/>
      <c r="AN374" s="595"/>
      <c r="AO374" s="691" t="s">
        <v>580</v>
      </c>
      <c r="AP374" s="692">
        <f>IF(C420="Yes",5,0)</f>
        <v>0</v>
      </c>
      <c r="AS374" s="539" t="s">
        <v>1852</v>
      </c>
    </row>
    <row r="375" spans="1:46" s="549" customFormat="1" ht="12.75" customHeight="1">
      <c r="A375" s="601"/>
      <c r="B375" s="609"/>
      <c r="C375" s="2532" t="s">
        <v>2186</v>
      </c>
      <c r="D375" s="2532"/>
      <c r="E375" s="2532"/>
      <c r="F375" s="2532"/>
      <c r="G375" s="2532"/>
      <c r="H375" s="2532"/>
      <c r="I375" s="2532"/>
      <c r="J375" s="2532"/>
      <c r="K375" s="2532"/>
      <c r="L375" s="2532"/>
      <c r="M375" s="2532"/>
      <c r="N375" s="2532"/>
      <c r="O375" s="2532"/>
      <c r="P375" s="2532"/>
      <c r="Q375" s="2532"/>
      <c r="R375" s="2532"/>
      <c r="S375" s="2532"/>
      <c r="T375" s="2532"/>
      <c r="U375" s="2532"/>
      <c r="V375" s="2532"/>
      <c r="W375" s="2532"/>
      <c r="X375" s="2532"/>
      <c r="Y375" s="2532"/>
      <c r="Z375" s="2532"/>
      <c r="AA375" s="2532"/>
      <c r="AB375" s="2532"/>
      <c r="AC375" s="2532"/>
      <c r="AD375" s="2532"/>
      <c r="AE375" s="2532"/>
      <c r="AF375" s="2532"/>
      <c r="AG375" s="2532"/>
      <c r="AH375" s="2532"/>
      <c r="AI375" s="2532"/>
      <c r="AJ375" s="2532"/>
      <c r="AK375" s="601"/>
      <c r="AL375" s="601"/>
      <c r="AM375" s="601"/>
      <c r="AN375" s="595"/>
      <c r="AO375" s="595"/>
      <c r="AP375" s="692">
        <f>IF(C422="Yes",3,0)</f>
        <v>0</v>
      </c>
      <c r="AS375" s="2531">
        <f>IF(AQ379=0,AQ388,AQ379)</f>
        <v>10</v>
      </c>
      <c r="AT375" s="2531"/>
    </row>
    <row r="376" spans="1:46" s="549" customFormat="1" ht="12.75" customHeight="1">
      <c r="A376" s="601"/>
      <c r="B376" s="609"/>
      <c r="C376" s="2532"/>
      <c r="D376" s="2532"/>
      <c r="E376" s="2532"/>
      <c r="F376" s="2532"/>
      <c r="G376" s="2532"/>
      <c r="H376" s="2532"/>
      <c r="I376" s="2532"/>
      <c r="J376" s="2532"/>
      <c r="K376" s="2532"/>
      <c r="L376" s="2532"/>
      <c r="M376" s="2532"/>
      <c r="N376" s="2532"/>
      <c r="O376" s="2532"/>
      <c r="P376" s="2532"/>
      <c r="Q376" s="2532"/>
      <c r="R376" s="2532"/>
      <c r="S376" s="2532"/>
      <c r="T376" s="2532"/>
      <c r="U376" s="2532"/>
      <c r="V376" s="2532"/>
      <c r="W376" s="2532"/>
      <c r="X376" s="2532"/>
      <c r="Y376" s="2532"/>
      <c r="Z376" s="2532"/>
      <c r="AA376" s="2532"/>
      <c r="AB376" s="2532"/>
      <c r="AC376" s="2532"/>
      <c r="AD376" s="2532"/>
      <c r="AE376" s="2532"/>
      <c r="AF376" s="2532"/>
      <c r="AG376" s="2532"/>
      <c r="AH376" s="2532"/>
      <c r="AI376" s="2532"/>
      <c r="AJ376" s="2532"/>
      <c r="AK376" s="601"/>
      <c r="AL376" s="601"/>
      <c r="AM376" s="601"/>
      <c r="AN376" s="595"/>
      <c r="AO376" s="691" t="s">
        <v>762</v>
      </c>
      <c r="AP376" s="692">
        <f>IF(C425="Yes",5,0)</f>
        <v>0</v>
      </c>
    </row>
    <row r="377" spans="1:46" s="549" customFormat="1" ht="12.75" customHeight="1">
      <c r="A377" s="601"/>
      <c r="B377" s="609"/>
      <c r="C377" s="2532"/>
      <c r="D377" s="2532"/>
      <c r="E377" s="2532"/>
      <c r="F377" s="2532"/>
      <c r="G377" s="2532"/>
      <c r="H377" s="2532"/>
      <c r="I377" s="2532"/>
      <c r="J377" s="2532"/>
      <c r="K377" s="2532"/>
      <c r="L377" s="2532"/>
      <c r="M377" s="2532"/>
      <c r="N377" s="2532"/>
      <c r="O377" s="2532"/>
      <c r="P377" s="2532"/>
      <c r="Q377" s="2532"/>
      <c r="R377" s="2532"/>
      <c r="S377" s="2532"/>
      <c r="T377" s="2532"/>
      <c r="U377" s="2532"/>
      <c r="V377" s="2532"/>
      <c r="W377" s="2532"/>
      <c r="X377" s="2532"/>
      <c r="Y377" s="2532"/>
      <c r="Z377" s="2532"/>
      <c r="AA377" s="2532"/>
      <c r="AB377" s="2532"/>
      <c r="AC377" s="2532"/>
      <c r="AD377" s="2532"/>
      <c r="AE377" s="2532"/>
      <c r="AF377" s="2532"/>
      <c r="AG377" s="2532"/>
      <c r="AH377" s="2532"/>
      <c r="AI377" s="2532"/>
      <c r="AJ377" s="2532"/>
      <c r="AK377" s="601"/>
      <c r="AL377" s="601"/>
      <c r="AM377" s="601"/>
      <c r="AN377" s="595"/>
      <c r="AO377" s="691" t="s">
        <v>583</v>
      </c>
      <c r="AP377" s="692">
        <f>IF(C434="Yes",5,0)</f>
        <v>0</v>
      </c>
    </row>
    <row r="378" spans="1:46" s="549" customFormat="1" ht="11.85" customHeight="1">
      <c r="A378" s="601"/>
      <c r="B378" s="609"/>
      <c r="C378" s="2532"/>
      <c r="D378" s="2532"/>
      <c r="E378" s="2532"/>
      <c r="F378" s="2532"/>
      <c r="G378" s="2532"/>
      <c r="H378" s="2532"/>
      <c r="I378" s="2532"/>
      <c r="J378" s="2532"/>
      <c r="K378" s="2532"/>
      <c r="L378" s="2532"/>
      <c r="M378" s="2532"/>
      <c r="N378" s="2532"/>
      <c r="O378" s="2532"/>
      <c r="P378" s="2532"/>
      <c r="Q378" s="2532"/>
      <c r="R378" s="2532"/>
      <c r="S378" s="2532"/>
      <c r="T378" s="2532"/>
      <c r="U378" s="2532"/>
      <c r="V378" s="2532"/>
      <c r="W378" s="2532"/>
      <c r="X378" s="2532"/>
      <c r="Y378" s="2532"/>
      <c r="Z378" s="2532"/>
      <c r="AA378" s="2532"/>
      <c r="AB378" s="2532"/>
      <c r="AC378" s="2532"/>
      <c r="AD378" s="2532"/>
      <c r="AE378" s="2532"/>
      <c r="AF378" s="2532"/>
      <c r="AG378" s="2532"/>
      <c r="AH378" s="2532"/>
      <c r="AI378" s="2532"/>
      <c r="AJ378" s="2532"/>
      <c r="AK378" s="601"/>
      <c r="AL378" s="601"/>
      <c r="AM378" s="601"/>
      <c r="AN378" s="595"/>
      <c r="AO378" s="693"/>
      <c r="AP378" s="694">
        <f>IF(C436="Yes",3,0)</f>
        <v>0</v>
      </c>
    </row>
    <row r="379" spans="1:46" s="549" customFormat="1" ht="12.45" customHeight="1">
      <c r="A379" s="601"/>
      <c r="B379" s="609"/>
      <c r="C379" s="2532"/>
      <c r="D379" s="2532"/>
      <c r="E379" s="2532"/>
      <c r="F379" s="2532"/>
      <c r="G379" s="2532"/>
      <c r="H379" s="2532"/>
      <c r="I379" s="2532"/>
      <c r="J379" s="2532"/>
      <c r="K379" s="2532"/>
      <c r="L379" s="2532"/>
      <c r="M379" s="2532"/>
      <c r="N379" s="2532"/>
      <c r="O379" s="2532"/>
      <c r="P379" s="2532"/>
      <c r="Q379" s="2532"/>
      <c r="R379" s="2532"/>
      <c r="S379" s="2532"/>
      <c r="T379" s="2532"/>
      <c r="U379" s="2532"/>
      <c r="V379" s="2532"/>
      <c r="W379" s="2532"/>
      <c r="X379" s="2532"/>
      <c r="Y379" s="2532"/>
      <c r="Z379" s="2532"/>
      <c r="AA379" s="2532"/>
      <c r="AB379" s="2532"/>
      <c r="AC379" s="2532"/>
      <c r="AD379" s="2532"/>
      <c r="AE379" s="2532"/>
      <c r="AF379" s="2532"/>
      <c r="AG379" s="2532"/>
      <c r="AH379" s="2532"/>
      <c r="AI379" s="2532"/>
      <c r="AJ379" s="2532"/>
      <c r="AK379" s="601"/>
      <c r="AL379" s="601"/>
      <c r="AM379" s="601"/>
      <c r="AN379" s="595"/>
      <c r="AO379" s="695" t="s">
        <v>226</v>
      </c>
      <c r="AP379" s="696">
        <f>SUM(AP370:AP378)</f>
        <v>10</v>
      </c>
      <c r="AQ379" s="2466">
        <f>IF(AP379&gt;0,AP379,0)</f>
        <v>10</v>
      </c>
      <c r="AR379" s="2466"/>
    </row>
    <row r="380" spans="1:46" s="549" customFormat="1" ht="12.75" customHeight="1">
      <c r="A380" s="601"/>
      <c r="B380" s="609"/>
      <c r="C380" s="2532"/>
      <c r="D380" s="2532"/>
      <c r="E380" s="2532"/>
      <c r="F380" s="2532"/>
      <c r="G380" s="2532"/>
      <c r="H380" s="2532"/>
      <c r="I380" s="2532"/>
      <c r="J380" s="2532"/>
      <c r="K380" s="2532"/>
      <c r="L380" s="2532"/>
      <c r="M380" s="2532"/>
      <c r="N380" s="2532"/>
      <c r="O380" s="2532"/>
      <c r="P380" s="2532"/>
      <c r="Q380" s="2532"/>
      <c r="R380" s="2532"/>
      <c r="S380" s="2532"/>
      <c r="T380" s="2532"/>
      <c r="U380" s="2532"/>
      <c r="V380" s="2532"/>
      <c r="W380" s="2532"/>
      <c r="X380" s="2532"/>
      <c r="Y380" s="2532"/>
      <c r="Z380" s="2532"/>
      <c r="AA380" s="2532"/>
      <c r="AB380" s="2532"/>
      <c r="AC380" s="2532"/>
      <c r="AD380" s="2532"/>
      <c r="AE380" s="2532"/>
      <c r="AF380" s="2532"/>
      <c r="AG380" s="2532"/>
      <c r="AH380" s="2532"/>
      <c r="AI380" s="2532"/>
      <c r="AJ380" s="253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3" t="s">
        <v>1448</v>
      </c>
      <c r="D382" s="2463"/>
      <c r="E382" s="2463"/>
      <c r="F382" s="2463"/>
      <c r="G382" s="2463"/>
      <c r="H382" s="2463"/>
      <c r="I382" s="2463"/>
      <c r="J382" s="2463"/>
      <c r="K382" s="2463"/>
      <c r="L382" s="2463"/>
      <c r="M382" s="2463"/>
      <c r="N382" s="2463"/>
      <c r="O382" s="2463"/>
      <c r="P382" s="2463"/>
      <c r="Q382" s="2463"/>
      <c r="R382" s="2463"/>
      <c r="S382" s="2463"/>
      <c r="T382" s="2463"/>
      <c r="U382" s="2463"/>
      <c r="V382" s="2463"/>
      <c r="W382" s="2463"/>
      <c r="X382" s="2463"/>
      <c r="Y382" s="2463"/>
      <c r="Z382" s="2463"/>
      <c r="AA382" s="2463"/>
      <c r="AB382" s="2463"/>
      <c r="AC382" s="2463"/>
      <c r="AD382" s="2463"/>
      <c r="AE382" s="2463"/>
      <c r="AF382" s="2463"/>
      <c r="AG382" s="2463"/>
      <c r="AH382" s="2463"/>
      <c r="AI382" s="2463"/>
      <c r="AJ382" s="2463"/>
      <c r="AK382" s="601"/>
      <c r="AL382" s="601"/>
      <c r="AM382" s="601"/>
      <c r="AN382" s="595"/>
      <c r="AO382" s="691" t="s">
        <v>455</v>
      </c>
      <c r="AP382" s="692">
        <f>IF(C455="Yes",5,0)</f>
        <v>0</v>
      </c>
    </row>
    <row r="383" spans="1:46" s="549" customFormat="1" ht="12.75" customHeight="1">
      <c r="A383" s="601"/>
      <c r="B383" s="609"/>
      <c r="C383" s="2463"/>
      <c r="D383" s="2463"/>
      <c r="E383" s="2463"/>
      <c r="F383" s="2463"/>
      <c r="G383" s="2463"/>
      <c r="H383" s="2463"/>
      <c r="I383" s="2463"/>
      <c r="J383" s="2463"/>
      <c r="K383" s="2463"/>
      <c r="L383" s="2463"/>
      <c r="M383" s="2463"/>
      <c r="N383" s="2463"/>
      <c r="O383" s="2463"/>
      <c r="P383" s="2463"/>
      <c r="Q383" s="2463"/>
      <c r="R383" s="2463"/>
      <c r="S383" s="2463"/>
      <c r="T383" s="2463"/>
      <c r="U383" s="2463"/>
      <c r="V383" s="2463"/>
      <c r="W383" s="2463"/>
      <c r="X383" s="2463"/>
      <c r="Y383" s="2463"/>
      <c r="Z383" s="2463"/>
      <c r="AA383" s="2463"/>
      <c r="AB383" s="2463"/>
      <c r="AC383" s="2463"/>
      <c r="AD383" s="2463"/>
      <c r="AE383" s="2463"/>
      <c r="AF383" s="2463"/>
      <c r="AG383" s="2463"/>
      <c r="AH383" s="2463"/>
      <c r="AI383" s="2463"/>
      <c r="AJ383" s="2463"/>
      <c r="AK383" s="601"/>
      <c r="AL383" s="601"/>
      <c r="AM383" s="601"/>
      <c r="AN383" s="595"/>
      <c r="AO383" s="691" t="s">
        <v>460</v>
      </c>
      <c r="AP383" s="692">
        <f>IF(C462="Yes",5,0)</f>
        <v>0</v>
      </c>
    </row>
    <row r="384" spans="1:46" s="549" customFormat="1" ht="68.099999999999994" customHeight="1">
      <c r="A384" s="601"/>
      <c r="B384" s="609"/>
      <c r="C384" s="2463"/>
      <c r="D384" s="2463"/>
      <c r="E384" s="2463"/>
      <c r="F384" s="2463"/>
      <c r="G384" s="2463"/>
      <c r="H384" s="2463"/>
      <c r="I384" s="2463"/>
      <c r="J384" s="2463"/>
      <c r="K384" s="2463"/>
      <c r="L384" s="2463"/>
      <c r="M384" s="2463"/>
      <c r="N384" s="2463"/>
      <c r="O384" s="2463"/>
      <c r="P384" s="2463"/>
      <c r="Q384" s="2463"/>
      <c r="R384" s="2463"/>
      <c r="S384" s="2463"/>
      <c r="T384" s="2463"/>
      <c r="U384" s="2463"/>
      <c r="V384" s="2463"/>
      <c r="W384" s="2463"/>
      <c r="X384" s="2463"/>
      <c r="Y384" s="2463"/>
      <c r="Z384" s="2463"/>
      <c r="AA384" s="2463"/>
      <c r="AB384" s="2463"/>
      <c r="AC384" s="2463"/>
      <c r="AD384" s="2463"/>
      <c r="AE384" s="2463"/>
      <c r="AF384" s="2463"/>
      <c r="AG384" s="2463"/>
      <c r="AH384" s="2463"/>
      <c r="AI384" s="2463"/>
      <c r="AJ384" s="2463"/>
      <c r="AK384" s="601"/>
      <c r="AL384" s="601"/>
      <c r="AM384" s="601"/>
      <c r="AN384" s="595"/>
      <c r="AO384" s="691" t="s">
        <v>645</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4">
        <f>Application!DU810-U387</f>
        <v>411</v>
      </c>
      <c r="V386" s="2464"/>
      <c r="W386" s="2464"/>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5">
        <f>IF(Application!D211="SRO",Application!DU763,Application!AG764)</f>
        <v>0</v>
      </c>
      <c r="V387" s="2465"/>
      <c r="W387" s="246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6">
        <f>IF(AP388&gt;0,AP388,0)</f>
        <v>0</v>
      </c>
      <c r="AR388" s="2466"/>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2" t="s">
        <v>1450</v>
      </c>
      <c r="G390" s="2442"/>
      <c r="H390" s="2442"/>
      <c r="I390" s="2442"/>
      <c r="J390" s="2442"/>
      <c r="K390" s="2442"/>
      <c r="L390" s="2442"/>
      <c r="M390" s="2442"/>
      <c r="N390" s="2442"/>
      <c r="O390" s="2442"/>
      <c r="P390" s="2442"/>
      <c r="Q390" s="2442"/>
      <c r="R390" s="2442"/>
      <c r="S390" s="2442"/>
      <c r="T390" s="2442"/>
      <c r="U390" s="2442"/>
      <c r="V390" s="2442"/>
      <c r="W390" s="2442"/>
      <c r="X390" s="2442"/>
      <c r="Y390" s="2442"/>
      <c r="Z390" s="2442"/>
      <c r="AA390" s="2442"/>
      <c r="AB390" s="2442"/>
      <c r="AC390" s="2442"/>
      <c r="AD390" s="2442"/>
      <c r="AE390" s="2442"/>
      <c r="AF390" s="244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3"/>
      <c r="G391" s="2443"/>
      <c r="H391" s="2443"/>
      <c r="I391" s="2443"/>
      <c r="J391" s="2443"/>
      <c r="K391" s="2443"/>
      <c r="L391" s="2443"/>
      <c r="M391" s="2443"/>
      <c r="N391" s="2443"/>
      <c r="O391" s="2443"/>
      <c r="P391" s="2443"/>
      <c r="Q391" s="2443"/>
      <c r="R391" s="2443"/>
      <c r="S391" s="2443"/>
      <c r="T391" s="2443"/>
      <c r="U391" s="2443"/>
      <c r="V391" s="2443"/>
      <c r="W391" s="2443"/>
      <c r="X391" s="2443"/>
      <c r="Y391" s="2443"/>
      <c r="Z391" s="2443"/>
      <c r="AA391" s="2443"/>
      <c r="AB391" s="2443"/>
      <c r="AC391" s="2443"/>
      <c r="AD391" s="2443"/>
      <c r="AE391" s="2443"/>
      <c r="AF391" s="244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3"/>
      <c r="G392" s="2443"/>
      <c r="H392" s="2443"/>
      <c r="I392" s="2443"/>
      <c r="J392" s="2443"/>
      <c r="K392" s="2443"/>
      <c r="L392" s="2443"/>
      <c r="M392" s="2443"/>
      <c r="N392" s="2443"/>
      <c r="O392" s="2443"/>
      <c r="P392" s="2443"/>
      <c r="Q392" s="2443"/>
      <c r="R392" s="2443"/>
      <c r="S392" s="2443"/>
      <c r="T392" s="2443"/>
      <c r="U392" s="2443"/>
      <c r="V392" s="2443"/>
      <c r="W392" s="2443"/>
      <c r="X392" s="2443"/>
      <c r="Y392" s="2443"/>
      <c r="Z392" s="2443"/>
      <c r="AA392" s="2443"/>
      <c r="AB392" s="2443"/>
      <c r="AC392" s="2443"/>
      <c r="AD392" s="2443"/>
      <c r="AE392" s="2443"/>
      <c r="AF392" s="244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3"/>
      <c r="G393" s="2443"/>
      <c r="H393" s="2443"/>
      <c r="I393" s="2443"/>
      <c r="J393" s="2443"/>
      <c r="K393" s="2443"/>
      <c r="L393" s="2443"/>
      <c r="M393" s="2443"/>
      <c r="N393" s="2443"/>
      <c r="O393" s="2443"/>
      <c r="P393" s="2443"/>
      <c r="Q393" s="2443"/>
      <c r="R393" s="2443"/>
      <c r="S393" s="2443"/>
      <c r="T393" s="2443"/>
      <c r="U393" s="2443"/>
      <c r="V393" s="2443"/>
      <c r="W393" s="2443"/>
      <c r="X393" s="2443"/>
      <c r="Y393" s="2443"/>
      <c r="Z393" s="2443"/>
      <c r="AA393" s="2443"/>
      <c r="AB393" s="2443"/>
      <c r="AC393" s="2443"/>
      <c r="AD393" s="2443"/>
      <c r="AE393" s="2443"/>
      <c r="AF393" s="244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7" t="s">
        <v>544</v>
      </c>
      <c r="D394" s="2414"/>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8" t="s">
        <v>1452</v>
      </c>
      <c r="AG394" s="2468"/>
      <c r="AH394" s="2468"/>
      <c r="AI394" s="2468"/>
      <c r="AJ394" s="2468"/>
      <c r="AK394" s="2468"/>
      <c r="AL394" s="246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2" t="s">
        <v>1453</v>
      </c>
      <c r="G397" s="2442"/>
      <c r="H397" s="2442"/>
      <c r="I397" s="2442"/>
      <c r="J397" s="2442"/>
      <c r="K397" s="2442"/>
      <c r="L397" s="2442"/>
      <c r="M397" s="2442"/>
      <c r="N397" s="2442"/>
      <c r="O397" s="2442"/>
      <c r="P397" s="2442"/>
      <c r="Q397" s="2442"/>
      <c r="R397" s="2442"/>
      <c r="S397" s="2442"/>
      <c r="T397" s="2442"/>
      <c r="U397" s="2442"/>
      <c r="V397" s="2442"/>
      <c r="W397" s="2442"/>
      <c r="X397" s="2442"/>
      <c r="Y397" s="2442"/>
      <c r="Z397" s="2442"/>
      <c r="AA397" s="2442"/>
      <c r="AB397" s="2442"/>
      <c r="AC397" s="2442"/>
      <c r="AD397" s="2442"/>
      <c r="AE397" s="2442"/>
      <c r="AF397" s="244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3"/>
      <c r="G398" s="2443"/>
      <c r="H398" s="2443"/>
      <c r="I398" s="2443"/>
      <c r="J398" s="2443"/>
      <c r="K398" s="2443"/>
      <c r="L398" s="2443"/>
      <c r="M398" s="2443"/>
      <c r="N398" s="2443"/>
      <c r="O398" s="2443"/>
      <c r="P398" s="2443"/>
      <c r="Q398" s="2443"/>
      <c r="R398" s="2443"/>
      <c r="S398" s="2443"/>
      <c r="T398" s="2443"/>
      <c r="U398" s="2443"/>
      <c r="V398" s="2443"/>
      <c r="W398" s="2443"/>
      <c r="X398" s="2443"/>
      <c r="Y398" s="2443"/>
      <c r="Z398" s="2443"/>
      <c r="AA398" s="2443"/>
      <c r="AB398" s="2443"/>
      <c r="AC398" s="2443"/>
      <c r="AD398" s="2443"/>
      <c r="AE398" s="2443"/>
      <c r="AF398" s="244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3"/>
      <c r="G399" s="2443"/>
      <c r="H399" s="2443"/>
      <c r="I399" s="2443"/>
      <c r="J399" s="2443"/>
      <c r="K399" s="2443"/>
      <c r="L399" s="2443"/>
      <c r="M399" s="2443"/>
      <c r="N399" s="2443"/>
      <c r="O399" s="2443"/>
      <c r="P399" s="2443"/>
      <c r="Q399" s="2443"/>
      <c r="R399" s="2443"/>
      <c r="S399" s="2443"/>
      <c r="T399" s="2443"/>
      <c r="U399" s="2443"/>
      <c r="V399" s="2443"/>
      <c r="W399" s="2443"/>
      <c r="X399" s="2443"/>
      <c r="Y399" s="2443"/>
      <c r="Z399" s="2443"/>
      <c r="AA399" s="2443"/>
      <c r="AB399" s="2443"/>
      <c r="AC399" s="2443"/>
      <c r="AD399" s="2443"/>
      <c r="AE399" s="2443"/>
      <c r="AF399" s="244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3"/>
      <c r="G400" s="2443"/>
      <c r="H400" s="2443"/>
      <c r="I400" s="2443"/>
      <c r="J400" s="2443"/>
      <c r="K400" s="2443"/>
      <c r="L400" s="2443"/>
      <c r="M400" s="2443"/>
      <c r="N400" s="2443"/>
      <c r="O400" s="2443"/>
      <c r="P400" s="2443"/>
      <c r="Q400" s="2443"/>
      <c r="R400" s="2443"/>
      <c r="S400" s="2443"/>
      <c r="T400" s="2443"/>
      <c r="U400" s="2443"/>
      <c r="V400" s="2443"/>
      <c r="W400" s="2443"/>
      <c r="X400" s="2443"/>
      <c r="Y400" s="2443"/>
      <c r="Z400" s="2443"/>
      <c r="AA400" s="2443"/>
      <c r="AB400" s="2443"/>
      <c r="AC400" s="2443"/>
      <c r="AD400" s="2443"/>
      <c r="AE400" s="2443"/>
      <c r="AF400" s="244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3"/>
      <c r="G401" s="2443"/>
      <c r="H401" s="2443"/>
      <c r="I401" s="2443"/>
      <c r="J401" s="2443"/>
      <c r="K401" s="2443"/>
      <c r="L401" s="2443"/>
      <c r="M401" s="2443"/>
      <c r="N401" s="2443"/>
      <c r="O401" s="2443"/>
      <c r="P401" s="2443"/>
      <c r="Q401" s="2443"/>
      <c r="R401" s="2443"/>
      <c r="S401" s="2443"/>
      <c r="T401" s="2443"/>
      <c r="U401" s="2443"/>
      <c r="V401" s="2443"/>
      <c r="W401" s="2443"/>
      <c r="X401" s="2443"/>
      <c r="Y401" s="2443"/>
      <c r="Z401" s="2443"/>
      <c r="AA401" s="2443"/>
      <c r="AB401" s="2443"/>
      <c r="AC401" s="2443"/>
      <c r="AD401" s="2443"/>
      <c r="AE401" s="2443"/>
      <c r="AF401" s="2443"/>
      <c r="AL401" s="728"/>
      <c r="AN401" s="595"/>
      <c r="BS401" s="30"/>
      <c r="BT401" s="30"/>
      <c r="BU401" s="14"/>
      <c r="BV401" s="14"/>
      <c r="BW401" s="14"/>
      <c r="BX401" s="14"/>
      <c r="BY401" s="14"/>
      <c r="BZ401" s="14"/>
      <c r="CA401" s="14"/>
      <c r="CB401" s="14"/>
      <c r="CC401" s="14"/>
    </row>
    <row r="402" spans="1:81" s="549" customFormat="1" ht="12.75" customHeight="1">
      <c r="A402" s="536"/>
      <c r="B402" s="14"/>
      <c r="C402" s="2467" t="s">
        <v>590</v>
      </c>
      <c r="D402" s="2414"/>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8" t="s">
        <v>1452</v>
      </c>
      <c r="AG402" s="2468"/>
      <c r="AH402" s="2468"/>
      <c r="AI402" s="2468"/>
      <c r="AJ402" s="2468"/>
      <c r="AK402" s="2468"/>
      <c r="AL402" s="246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2" t="s">
        <v>1455</v>
      </c>
      <c r="G405" s="2442"/>
      <c r="H405" s="2442"/>
      <c r="I405" s="2442"/>
      <c r="J405" s="2442"/>
      <c r="K405" s="2442"/>
      <c r="L405" s="2442"/>
      <c r="M405" s="2442"/>
      <c r="N405" s="2442"/>
      <c r="O405" s="2442"/>
      <c r="P405" s="2442"/>
      <c r="Q405" s="2442"/>
      <c r="R405" s="2442"/>
      <c r="S405" s="2442"/>
      <c r="T405" s="2442"/>
      <c r="U405" s="2442"/>
      <c r="V405" s="2442"/>
      <c r="W405" s="2442"/>
      <c r="X405" s="2442"/>
      <c r="Y405" s="2442"/>
      <c r="Z405" s="2442"/>
      <c r="AA405" s="2442"/>
      <c r="AB405" s="2442"/>
      <c r="AC405" s="2442"/>
      <c r="AD405" s="2442"/>
      <c r="AE405" s="2442"/>
      <c r="AF405" s="244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3"/>
      <c r="G406" s="2443"/>
      <c r="H406" s="2443"/>
      <c r="I406" s="2443"/>
      <c r="J406" s="2443"/>
      <c r="K406" s="2443"/>
      <c r="L406" s="2443"/>
      <c r="M406" s="2443"/>
      <c r="N406" s="2443"/>
      <c r="O406" s="2443"/>
      <c r="P406" s="2443"/>
      <c r="Q406" s="2443"/>
      <c r="R406" s="2443"/>
      <c r="S406" s="2443"/>
      <c r="T406" s="2443"/>
      <c r="U406" s="2443"/>
      <c r="V406" s="2443"/>
      <c r="W406" s="2443"/>
      <c r="X406" s="2443"/>
      <c r="Y406" s="2443"/>
      <c r="Z406" s="2443"/>
      <c r="AA406" s="2443"/>
      <c r="AB406" s="2443"/>
      <c r="AC406" s="2443"/>
      <c r="AD406" s="2443"/>
      <c r="AE406" s="2443"/>
      <c r="AF406" s="244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3"/>
      <c r="G407" s="2443"/>
      <c r="H407" s="2443"/>
      <c r="I407" s="2443"/>
      <c r="J407" s="2443"/>
      <c r="K407" s="2443"/>
      <c r="L407" s="2443"/>
      <c r="M407" s="2443"/>
      <c r="N407" s="2443"/>
      <c r="O407" s="2443"/>
      <c r="P407" s="2443"/>
      <c r="Q407" s="2443"/>
      <c r="R407" s="2443"/>
      <c r="S407" s="2443"/>
      <c r="T407" s="2443"/>
      <c r="U407" s="2443"/>
      <c r="V407" s="2443"/>
      <c r="W407" s="2443"/>
      <c r="X407" s="2443"/>
      <c r="Y407" s="2443"/>
      <c r="Z407" s="2443"/>
      <c r="AA407" s="2443"/>
      <c r="AB407" s="2443"/>
      <c r="AC407" s="2443"/>
      <c r="AD407" s="2443"/>
      <c r="AE407" s="2443"/>
      <c r="AF407" s="244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3"/>
      <c r="G408" s="2443"/>
      <c r="H408" s="2443"/>
      <c r="I408" s="2443"/>
      <c r="J408" s="2443"/>
      <c r="K408" s="2443"/>
      <c r="L408" s="2443"/>
      <c r="M408" s="2443"/>
      <c r="N408" s="2443"/>
      <c r="O408" s="2443"/>
      <c r="P408" s="2443"/>
      <c r="Q408" s="2443"/>
      <c r="R408" s="2443"/>
      <c r="S408" s="2443"/>
      <c r="T408" s="2443"/>
      <c r="U408" s="2443"/>
      <c r="V408" s="2443"/>
      <c r="W408" s="2443"/>
      <c r="X408" s="2443"/>
      <c r="Y408" s="2443"/>
      <c r="Z408" s="2443"/>
      <c r="AA408" s="2443"/>
      <c r="AB408" s="2443"/>
      <c r="AC408" s="2443"/>
      <c r="AD408" s="2443"/>
      <c r="AE408" s="2443"/>
      <c r="AF408" s="244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3"/>
      <c r="G409" s="2443"/>
      <c r="H409" s="2443"/>
      <c r="I409" s="2443"/>
      <c r="J409" s="2443"/>
      <c r="K409" s="2443"/>
      <c r="L409" s="2443"/>
      <c r="M409" s="2443"/>
      <c r="N409" s="2443"/>
      <c r="O409" s="2443"/>
      <c r="P409" s="2443"/>
      <c r="Q409" s="2443"/>
      <c r="R409" s="2443"/>
      <c r="S409" s="2443"/>
      <c r="T409" s="2443"/>
      <c r="U409" s="2443"/>
      <c r="V409" s="2443"/>
      <c r="W409" s="2443"/>
      <c r="X409" s="2443"/>
      <c r="Y409" s="2443"/>
      <c r="Z409" s="2443"/>
      <c r="AA409" s="2443"/>
      <c r="AB409" s="2443"/>
      <c r="AC409" s="2443"/>
      <c r="AD409" s="2443"/>
      <c r="AE409" s="2443"/>
      <c r="AF409" s="244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7" t="s">
        <v>590</v>
      </c>
      <c r="D410" s="2414"/>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8" t="s">
        <v>1457</v>
      </c>
      <c r="AG410" s="2468"/>
      <c r="AH410" s="2468"/>
      <c r="AI410" s="2468"/>
      <c r="AJ410" s="2468"/>
      <c r="AK410" s="2468"/>
      <c r="AL410" s="246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7" t="s">
        <v>544</v>
      </c>
      <c r="D412" s="2414"/>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8" t="s">
        <v>1452</v>
      </c>
      <c r="AG412" s="2468"/>
      <c r="AH412" s="2468"/>
      <c r="AI412" s="2468"/>
      <c r="AJ412" s="2468"/>
      <c r="AK412" s="2468"/>
      <c r="AL412" s="246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2" t="s">
        <v>1461</v>
      </c>
      <c r="G416" s="2442"/>
      <c r="H416" s="2442"/>
      <c r="I416" s="2442"/>
      <c r="J416" s="2442"/>
      <c r="K416" s="2442"/>
      <c r="L416" s="2442"/>
      <c r="M416" s="2442"/>
      <c r="N416" s="2442"/>
      <c r="O416" s="2442"/>
      <c r="P416" s="2442"/>
      <c r="Q416" s="2442"/>
      <c r="R416" s="2442"/>
      <c r="S416" s="2442"/>
      <c r="T416" s="2442"/>
      <c r="U416" s="2442"/>
      <c r="V416" s="2442"/>
      <c r="W416" s="2442"/>
      <c r="X416" s="2442"/>
      <c r="Y416" s="2442"/>
      <c r="Z416" s="2442"/>
      <c r="AA416" s="2442"/>
      <c r="AB416" s="2442"/>
      <c r="AC416" s="2442"/>
      <c r="AD416" s="2442"/>
      <c r="AE416" s="2442"/>
      <c r="AF416" s="244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3"/>
      <c r="G417" s="2443"/>
      <c r="H417" s="2443"/>
      <c r="I417" s="2443"/>
      <c r="J417" s="2443"/>
      <c r="K417" s="2443"/>
      <c r="L417" s="2443"/>
      <c r="M417" s="2443"/>
      <c r="N417" s="2443"/>
      <c r="O417" s="2443"/>
      <c r="P417" s="2443"/>
      <c r="Q417" s="2443"/>
      <c r="R417" s="2443"/>
      <c r="S417" s="2443"/>
      <c r="T417" s="2443"/>
      <c r="U417" s="2443"/>
      <c r="V417" s="2443"/>
      <c r="W417" s="2443"/>
      <c r="X417" s="2443"/>
      <c r="Y417" s="2443"/>
      <c r="Z417" s="2443"/>
      <c r="AA417" s="2443"/>
      <c r="AB417" s="2443"/>
      <c r="AC417" s="2443"/>
      <c r="AD417" s="2443"/>
      <c r="AE417" s="2443"/>
      <c r="AF417" s="244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3"/>
      <c r="G418" s="2443"/>
      <c r="H418" s="2443"/>
      <c r="I418" s="2443"/>
      <c r="J418" s="2443"/>
      <c r="K418" s="2443"/>
      <c r="L418" s="2443"/>
      <c r="M418" s="2443"/>
      <c r="N418" s="2443"/>
      <c r="O418" s="2443"/>
      <c r="P418" s="2443"/>
      <c r="Q418" s="2443"/>
      <c r="R418" s="2443"/>
      <c r="S418" s="2443"/>
      <c r="T418" s="2443"/>
      <c r="U418" s="2443"/>
      <c r="V418" s="2443"/>
      <c r="W418" s="2443"/>
      <c r="X418" s="2443"/>
      <c r="Y418" s="2443"/>
      <c r="Z418" s="2443"/>
      <c r="AA418" s="2443"/>
      <c r="AB418" s="2443"/>
      <c r="AC418" s="2443"/>
      <c r="AD418" s="2443"/>
      <c r="AE418" s="2443"/>
      <c r="AF418" s="244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3"/>
      <c r="G419" s="2443"/>
      <c r="H419" s="2443"/>
      <c r="I419" s="2443"/>
      <c r="J419" s="2443"/>
      <c r="K419" s="2443"/>
      <c r="L419" s="2443"/>
      <c r="M419" s="2443"/>
      <c r="N419" s="2443"/>
      <c r="O419" s="2443"/>
      <c r="P419" s="2443"/>
      <c r="Q419" s="2443"/>
      <c r="R419" s="2443"/>
      <c r="S419" s="2443"/>
      <c r="T419" s="2443"/>
      <c r="U419" s="2443"/>
      <c r="V419" s="2443"/>
      <c r="W419" s="2443"/>
      <c r="X419" s="2443"/>
      <c r="Y419" s="2443"/>
      <c r="Z419" s="2443"/>
      <c r="AA419" s="2443"/>
      <c r="AB419" s="2443"/>
      <c r="AC419" s="2443"/>
      <c r="AD419" s="2443"/>
      <c r="AE419" s="2443"/>
      <c r="AF419" s="244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7" t="s">
        <v>590</v>
      </c>
      <c r="D420" s="2414"/>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8" t="s">
        <v>1452</v>
      </c>
      <c r="AG420" s="2468"/>
      <c r="AH420" s="2468"/>
      <c r="AI420" s="2468"/>
      <c r="AJ420" s="2468"/>
      <c r="AK420" s="2468"/>
      <c r="AL420" s="246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7" t="s">
        <v>590</v>
      </c>
      <c r="D422" s="2414"/>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8" t="s">
        <v>1464</v>
      </c>
      <c r="AG422" s="2468"/>
      <c r="AH422" s="2468"/>
      <c r="AI422" s="2468"/>
      <c r="AJ422" s="2468"/>
      <c r="AK422" s="2468"/>
      <c r="AL422" s="246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7" t="s">
        <v>590</v>
      </c>
      <c r="D425" s="2414"/>
      <c r="E425" s="711" t="s">
        <v>1465</v>
      </c>
      <c r="F425" s="2442" t="s">
        <v>1466</v>
      </c>
      <c r="G425" s="2442"/>
      <c r="H425" s="2442"/>
      <c r="I425" s="2442"/>
      <c r="J425" s="2442"/>
      <c r="K425" s="2442"/>
      <c r="L425" s="2442"/>
      <c r="M425" s="2442"/>
      <c r="N425" s="2442"/>
      <c r="O425" s="2442"/>
      <c r="P425" s="2442"/>
      <c r="Q425" s="2442"/>
      <c r="R425" s="2442"/>
      <c r="S425" s="2442"/>
      <c r="T425" s="2442"/>
      <c r="U425" s="2442"/>
      <c r="V425" s="2442"/>
      <c r="W425" s="2442"/>
      <c r="X425" s="2442"/>
      <c r="Y425" s="2442"/>
      <c r="Z425" s="2442"/>
      <c r="AA425" s="2442"/>
      <c r="AB425" s="2442"/>
      <c r="AC425" s="2442"/>
      <c r="AD425" s="2442"/>
      <c r="AE425" s="244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3"/>
      <c r="G426" s="2443"/>
      <c r="H426" s="2443"/>
      <c r="I426" s="2443"/>
      <c r="J426" s="2443"/>
      <c r="K426" s="2443"/>
      <c r="L426" s="2443"/>
      <c r="M426" s="2443"/>
      <c r="N426" s="2443"/>
      <c r="O426" s="2443"/>
      <c r="P426" s="2443"/>
      <c r="Q426" s="2443"/>
      <c r="R426" s="2443"/>
      <c r="S426" s="2443"/>
      <c r="T426" s="2443"/>
      <c r="U426" s="2443"/>
      <c r="V426" s="2443"/>
      <c r="W426" s="2443"/>
      <c r="X426" s="2443"/>
      <c r="Y426" s="2443"/>
      <c r="Z426" s="2443"/>
      <c r="AA426" s="2443"/>
      <c r="AB426" s="2443"/>
      <c r="AC426" s="2443"/>
      <c r="AD426" s="2443"/>
      <c r="AE426" s="2443"/>
      <c r="AF426" s="2393" t="s">
        <v>1452</v>
      </c>
      <c r="AG426" s="2393"/>
      <c r="AH426" s="2393"/>
      <c r="AI426" s="2393"/>
      <c r="AJ426" s="2393"/>
      <c r="AK426" s="2393"/>
      <c r="AL426" s="2474"/>
      <c r="AM426" s="568"/>
      <c r="AN426" s="595"/>
      <c r="BS426" s="568"/>
      <c r="BT426" s="568"/>
      <c r="BY426" s="568"/>
      <c r="BZ426" s="568"/>
      <c r="CA426" s="568"/>
      <c r="CB426" s="568"/>
      <c r="CC426" s="568"/>
    </row>
    <row r="427" spans="1:81" s="549" customFormat="1" ht="12.75" customHeight="1">
      <c r="A427" s="536"/>
      <c r="B427" s="14"/>
      <c r="C427" s="727"/>
      <c r="D427" s="14"/>
      <c r="E427" s="687"/>
      <c r="F427" s="2443"/>
      <c r="G427" s="2443"/>
      <c r="H427" s="2443"/>
      <c r="I427" s="2443"/>
      <c r="J427" s="2443"/>
      <c r="K427" s="2443"/>
      <c r="L427" s="2443"/>
      <c r="M427" s="2443"/>
      <c r="N427" s="2443"/>
      <c r="O427" s="2443"/>
      <c r="P427" s="2443"/>
      <c r="Q427" s="2443"/>
      <c r="R427" s="2443"/>
      <c r="S427" s="2443"/>
      <c r="T427" s="2443"/>
      <c r="U427" s="2443"/>
      <c r="V427" s="2443"/>
      <c r="W427" s="2443"/>
      <c r="X427" s="2443"/>
      <c r="Y427" s="2443"/>
      <c r="Z427" s="2443"/>
      <c r="AA427" s="2443"/>
      <c r="AB427" s="2443"/>
      <c r="AC427" s="2443"/>
      <c r="AD427" s="2443"/>
      <c r="AE427" s="244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4"/>
      <c r="G428" s="2444"/>
      <c r="H428" s="2444"/>
      <c r="I428" s="2444"/>
      <c r="J428" s="2444"/>
      <c r="K428" s="2444"/>
      <c r="L428" s="2444"/>
      <c r="M428" s="2444"/>
      <c r="N428" s="2444"/>
      <c r="O428" s="2444"/>
      <c r="P428" s="2444"/>
      <c r="Q428" s="2444"/>
      <c r="R428" s="2444"/>
      <c r="S428" s="2444"/>
      <c r="T428" s="2444"/>
      <c r="U428" s="2444"/>
      <c r="V428" s="2444"/>
      <c r="W428" s="2444"/>
      <c r="X428" s="2444"/>
      <c r="Y428" s="2444"/>
      <c r="Z428" s="2444"/>
      <c r="AA428" s="2444"/>
      <c r="AB428" s="2444"/>
      <c r="AC428" s="2444"/>
      <c r="AD428" s="2444"/>
      <c r="AE428" s="244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2" t="s">
        <v>1468</v>
      </c>
      <c r="G430" s="2442"/>
      <c r="H430" s="2442"/>
      <c r="I430" s="2442"/>
      <c r="J430" s="2442"/>
      <c r="K430" s="2442"/>
      <c r="L430" s="2442"/>
      <c r="M430" s="2442"/>
      <c r="N430" s="2442"/>
      <c r="O430" s="2442"/>
      <c r="P430" s="2442"/>
      <c r="Q430" s="2442"/>
      <c r="R430" s="2442"/>
      <c r="S430" s="2442"/>
      <c r="T430" s="2442"/>
      <c r="U430" s="2442"/>
      <c r="V430" s="2442"/>
      <c r="W430" s="2442"/>
      <c r="X430" s="2442"/>
      <c r="Y430" s="2442"/>
      <c r="Z430" s="2442"/>
      <c r="AA430" s="2442"/>
      <c r="AB430" s="2442"/>
      <c r="AC430" s="2442"/>
      <c r="AD430" s="2442"/>
      <c r="AE430" s="2442"/>
      <c r="AF430" s="743"/>
      <c r="AG430" s="743"/>
      <c r="AH430" s="743"/>
      <c r="AI430" s="743"/>
      <c r="AJ430" s="743"/>
      <c r="AK430" s="743"/>
      <c r="AL430" s="744"/>
      <c r="AM430" s="568"/>
    </row>
    <row r="431" spans="1:81">
      <c r="A431" s="536"/>
      <c r="C431" s="727"/>
      <c r="E431" s="687"/>
      <c r="F431" s="2443"/>
      <c r="G431" s="2443"/>
      <c r="H431" s="2443"/>
      <c r="I431" s="2443"/>
      <c r="J431" s="2443"/>
      <c r="K431" s="2443"/>
      <c r="L431" s="2443"/>
      <c r="M431" s="2443"/>
      <c r="N431" s="2443"/>
      <c r="O431" s="2443"/>
      <c r="P431" s="2443"/>
      <c r="Q431" s="2443"/>
      <c r="R431" s="2443"/>
      <c r="S431" s="2443"/>
      <c r="T431" s="2443"/>
      <c r="U431" s="2443"/>
      <c r="V431" s="2443"/>
      <c r="W431" s="2443"/>
      <c r="X431" s="2443"/>
      <c r="Y431" s="2443"/>
      <c r="Z431" s="2443"/>
      <c r="AA431" s="2443"/>
      <c r="AB431" s="2443"/>
      <c r="AC431" s="2443"/>
      <c r="AD431" s="2443"/>
      <c r="AE431" s="2443"/>
      <c r="AF431" s="539"/>
      <c r="AG431" s="536"/>
      <c r="AH431" s="549"/>
      <c r="AI431" s="549"/>
      <c r="AJ431" s="549"/>
      <c r="AK431" s="549"/>
      <c r="AL431" s="728"/>
      <c r="AM431" s="568"/>
    </row>
    <row r="432" spans="1:81" s="549" customFormat="1" ht="12.75" customHeight="1">
      <c r="A432" s="536"/>
      <c r="B432" s="14"/>
      <c r="C432" s="727"/>
      <c r="D432" s="14"/>
      <c r="E432" s="687"/>
      <c r="F432" s="2443"/>
      <c r="G432" s="2443"/>
      <c r="H432" s="2443"/>
      <c r="I432" s="2443"/>
      <c r="J432" s="2443"/>
      <c r="K432" s="2443"/>
      <c r="L432" s="2443"/>
      <c r="M432" s="2443"/>
      <c r="N432" s="2443"/>
      <c r="O432" s="2443"/>
      <c r="P432" s="2443"/>
      <c r="Q432" s="2443"/>
      <c r="R432" s="2443"/>
      <c r="S432" s="2443"/>
      <c r="T432" s="2443"/>
      <c r="U432" s="2443"/>
      <c r="V432" s="2443"/>
      <c r="W432" s="2443"/>
      <c r="X432" s="2443"/>
      <c r="Y432" s="2443"/>
      <c r="Z432" s="2443"/>
      <c r="AA432" s="2443"/>
      <c r="AB432" s="2443"/>
      <c r="AC432" s="2443"/>
      <c r="AD432" s="2443"/>
      <c r="AE432" s="2443"/>
      <c r="AL432" s="728"/>
      <c r="AM432" s="568"/>
      <c r="AN432" s="595"/>
    </row>
    <row r="433" spans="1:60" s="549" customFormat="1" ht="12.75" customHeight="1">
      <c r="A433" s="536"/>
      <c r="B433" s="14"/>
      <c r="C433" s="735"/>
      <c r="F433" s="2443"/>
      <c r="G433" s="2443"/>
      <c r="H433" s="2443"/>
      <c r="I433" s="2443"/>
      <c r="J433" s="2443"/>
      <c r="K433" s="2443"/>
      <c r="L433" s="2443"/>
      <c r="M433" s="2443"/>
      <c r="N433" s="2443"/>
      <c r="O433" s="2443"/>
      <c r="P433" s="2443"/>
      <c r="Q433" s="2443"/>
      <c r="R433" s="2443"/>
      <c r="S433" s="2443"/>
      <c r="T433" s="2443"/>
      <c r="U433" s="2443"/>
      <c r="V433" s="2443"/>
      <c r="W433" s="2443"/>
      <c r="X433" s="2443"/>
      <c r="Y433" s="2443"/>
      <c r="Z433" s="2443"/>
      <c r="AA433" s="2443"/>
      <c r="AB433" s="2443"/>
      <c r="AC433" s="2443"/>
      <c r="AD433" s="2443"/>
      <c r="AE433" s="2443"/>
      <c r="AL433" s="728"/>
      <c r="AM433" s="568"/>
      <c r="AN433" s="595"/>
    </row>
    <row r="434" spans="1:60" s="549" customFormat="1" ht="12.75" customHeight="1">
      <c r="A434" s="536"/>
      <c r="B434" s="14"/>
      <c r="C434" s="2467" t="s">
        <v>590</v>
      </c>
      <c r="D434" s="2414"/>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3" t="s">
        <v>1452</v>
      </c>
      <c r="AG434" s="2393"/>
      <c r="AH434" s="2393"/>
      <c r="AI434" s="2393"/>
      <c r="AJ434" s="2393"/>
      <c r="AK434" s="2393"/>
      <c r="AL434" s="2474"/>
      <c r="AM434" s="568"/>
      <c r="AN434" s="595"/>
    </row>
    <row r="435" spans="1:60" s="549" customFormat="1" ht="12.75" customHeight="1">
      <c r="A435" s="536"/>
      <c r="B435" s="14"/>
      <c r="C435" s="735"/>
      <c r="AL435" s="728"/>
      <c r="AM435" s="568"/>
      <c r="AN435" s="595"/>
    </row>
    <row r="436" spans="1:60" s="549" customFormat="1" ht="12.75" customHeight="1">
      <c r="A436" s="536"/>
      <c r="B436" s="14"/>
      <c r="C436" s="2467" t="s">
        <v>590</v>
      </c>
      <c r="D436" s="2414"/>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3" t="s">
        <v>1464</v>
      </c>
      <c r="AG436" s="2393"/>
      <c r="AH436" s="2393"/>
      <c r="AI436" s="2393"/>
      <c r="AJ436" s="2393"/>
      <c r="AK436" s="2393"/>
      <c r="AL436" s="247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2" t="s">
        <v>1472</v>
      </c>
      <c r="G440" s="2442"/>
      <c r="H440" s="2442"/>
      <c r="I440" s="2442"/>
      <c r="J440" s="2442"/>
      <c r="K440" s="2442"/>
      <c r="L440" s="2442"/>
      <c r="M440" s="2442"/>
      <c r="N440" s="2442"/>
      <c r="O440" s="2442"/>
      <c r="P440" s="2442"/>
      <c r="Q440" s="2442"/>
      <c r="R440" s="2442"/>
      <c r="S440" s="2442"/>
      <c r="T440" s="2442"/>
      <c r="U440" s="2442"/>
      <c r="V440" s="2442"/>
      <c r="W440" s="2442"/>
      <c r="X440" s="2442"/>
      <c r="Y440" s="2442"/>
      <c r="Z440" s="2442"/>
      <c r="AA440" s="2442"/>
      <c r="AB440" s="2442"/>
      <c r="AC440" s="2442"/>
      <c r="AD440" s="2442"/>
      <c r="AE440" s="2442"/>
      <c r="AF440" s="710"/>
      <c r="AG440" s="710"/>
      <c r="AH440" s="710"/>
      <c r="AI440" s="710"/>
      <c r="AJ440" s="710"/>
      <c r="AK440" s="710"/>
      <c r="AL440" s="741"/>
      <c r="AM440" s="568"/>
      <c r="AN440" s="595"/>
    </row>
    <row r="441" spans="1:60" s="549" customFormat="1" ht="12.75" customHeight="1">
      <c r="A441" s="536"/>
      <c r="B441" s="14"/>
      <c r="C441" s="727"/>
      <c r="D441" s="14"/>
      <c r="E441" s="687"/>
      <c r="F441" s="2443"/>
      <c r="G441" s="2443"/>
      <c r="H441" s="2443"/>
      <c r="I441" s="2443"/>
      <c r="J441" s="2443"/>
      <c r="K441" s="2443"/>
      <c r="L441" s="2443"/>
      <c r="M441" s="2443"/>
      <c r="N441" s="2443"/>
      <c r="O441" s="2443"/>
      <c r="P441" s="2443"/>
      <c r="Q441" s="2443"/>
      <c r="R441" s="2443"/>
      <c r="S441" s="2443"/>
      <c r="T441" s="2443"/>
      <c r="U441" s="2443"/>
      <c r="V441" s="2443"/>
      <c r="W441" s="2443"/>
      <c r="X441" s="2443"/>
      <c r="Y441" s="2443"/>
      <c r="Z441" s="2443"/>
      <c r="AA441" s="2443"/>
      <c r="AB441" s="2443"/>
      <c r="AC441" s="2443"/>
      <c r="AD441" s="2443"/>
      <c r="AE441" s="2443"/>
      <c r="AF441" s="539"/>
      <c r="AG441" s="536"/>
      <c r="AL441" s="728"/>
      <c r="AM441" s="568"/>
      <c r="AN441" s="595"/>
    </row>
    <row r="442" spans="1:60" s="549" customFormat="1" ht="12.45" customHeight="1">
      <c r="A442" s="536"/>
      <c r="B442" s="14"/>
      <c r="C442" s="727"/>
      <c r="D442" s="14"/>
      <c r="E442" s="687"/>
      <c r="F442" s="2443"/>
      <c r="G442" s="2443"/>
      <c r="H442" s="2443"/>
      <c r="I442" s="2443"/>
      <c r="J442" s="2443"/>
      <c r="K442" s="2443"/>
      <c r="L442" s="2443"/>
      <c r="M442" s="2443"/>
      <c r="N442" s="2443"/>
      <c r="O442" s="2443"/>
      <c r="P442" s="2443"/>
      <c r="Q442" s="2443"/>
      <c r="R442" s="2443"/>
      <c r="S442" s="2443"/>
      <c r="T442" s="2443"/>
      <c r="U442" s="2443"/>
      <c r="V442" s="2443"/>
      <c r="W442" s="2443"/>
      <c r="X442" s="2443"/>
      <c r="Y442" s="2443"/>
      <c r="Z442" s="2443"/>
      <c r="AA442" s="2443"/>
      <c r="AB442" s="2443"/>
      <c r="AC442" s="2443"/>
      <c r="AD442" s="2443"/>
      <c r="AE442" s="2443"/>
      <c r="AL442" s="728"/>
      <c r="AM442" s="568"/>
      <c r="AN442" s="595"/>
    </row>
    <row r="443" spans="1:60" s="549" customFormat="1" ht="12.75" customHeight="1">
      <c r="A443" s="536"/>
      <c r="B443" s="14"/>
      <c r="C443" s="2467" t="s">
        <v>590</v>
      </c>
      <c r="D443" s="2414"/>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3" t="s">
        <v>1452</v>
      </c>
      <c r="AG443" s="2393"/>
      <c r="AH443" s="2393"/>
      <c r="AI443" s="2393"/>
      <c r="AJ443" s="2393"/>
      <c r="AK443" s="2393"/>
      <c r="AL443" s="247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2442" t="s">
        <v>1475</v>
      </c>
      <c r="G446" s="2442"/>
      <c r="H446" s="2442"/>
      <c r="I446" s="2442"/>
      <c r="J446" s="2442"/>
      <c r="K446" s="2442"/>
      <c r="L446" s="2442"/>
      <c r="M446" s="2442"/>
      <c r="N446" s="2442"/>
      <c r="O446" s="2442"/>
      <c r="P446" s="2442"/>
      <c r="Q446" s="2442"/>
      <c r="R446" s="2442"/>
      <c r="S446" s="2442"/>
      <c r="T446" s="2442"/>
      <c r="U446" s="2442"/>
      <c r="V446" s="2442"/>
      <c r="W446" s="2442"/>
      <c r="X446" s="2442"/>
      <c r="Y446" s="2442"/>
      <c r="Z446" s="2442"/>
      <c r="AA446" s="2442"/>
      <c r="AB446" s="2442"/>
      <c r="AC446" s="2442"/>
      <c r="AD446" s="2442"/>
      <c r="AE446" s="2442"/>
      <c r="AF446" s="743"/>
      <c r="AG446" s="743"/>
      <c r="AH446" s="743"/>
      <c r="AI446" s="743"/>
      <c r="AJ446" s="743"/>
      <c r="AK446" s="743"/>
      <c r="AL446" s="744"/>
      <c r="AM446" s="568"/>
      <c r="AO446" s="549"/>
      <c r="AP446" s="549"/>
      <c r="BD446" s="14"/>
      <c r="BE446" s="14"/>
      <c r="BF446" s="14"/>
      <c r="BG446" s="14"/>
      <c r="BH446" s="14"/>
    </row>
    <row r="447" spans="1:60">
      <c r="A447" s="536"/>
      <c r="C447" s="727"/>
      <c r="E447" s="687"/>
      <c r="F447" s="2443"/>
      <c r="G447" s="2443"/>
      <c r="H447" s="2443"/>
      <c r="I447" s="2443"/>
      <c r="J447" s="2443"/>
      <c r="K447" s="2443"/>
      <c r="L447" s="2443"/>
      <c r="M447" s="2443"/>
      <c r="N447" s="2443"/>
      <c r="O447" s="2443"/>
      <c r="P447" s="2443"/>
      <c r="Q447" s="2443"/>
      <c r="R447" s="2443"/>
      <c r="S447" s="2443"/>
      <c r="T447" s="2443"/>
      <c r="U447" s="2443"/>
      <c r="V447" s="2443"/>
      <c r="W447" s="2443"/>
      <c r="X447" s="2443"/>
      <c r="Y447" s="2443"/>
      <c r="Z447" s="2443"/>
      <c r="AA447" s="2443"/>
      <c r="AB447" s="2443"/>
      <c r="AC447" s="2443"/>
      <c r="AD447" s="2443"/>
      <c r="AE447" s="2443"/>
      <c r="AF447" s="592"/>
      <c r="AG447" s="592"/>
      <c r="AH447" s="592"/>
      <c r="AI447" s="592"/>
      <c r="AJ447" s="592"/>
      <c r="AK447" s="592"/>
      <c r="AL447" s="746"/>
      <c r="AM447" s="568"/>
      <c r="AO447" s="549"/>
      <c r="AP447" s="549"/>
    </row>
    <row r="448" spans="1:60" s="549" customFormat="1" ht="12.75" customHeight="1">
      <c r="A448" s="536"/>
      <c r="B448" s="14"/>
      <c r="C448" s="727"/>
      <c r="D448" s="14"/>
      <c r="E448" s="687"/>
      <c r="F448" s="2443"/>
      <c r="G448" s="2443"/>
      <c r="H448" s="2443"/>
      <c r="I448" s="2443"/>
      <c r="J448" s="2443"/>
      <c r="K448" s="2443"/>
      <c r="L448" s="2443"/>
      <c r="M448" s="2443"/>
      <c r="N448" s="2443"/>
      <c r="O448" s="2443"/>
      <c r="P448" s="2443"/>
      <c r="Q448" s="2443"/>
      <c r="R448" s="2443"/>
      <c r="S448" s="2443"/>
      <c r="T448" s="2443"/>
      <c r="U448" s="2443"/>
      <c r="V448" s="2443"/>
      <c r="W448" s="2443"/>
      <c r="X448" s="2443"/>
      <c r="Y448" s="2443"/>
      <c r="Z448" s="2443"/>
      <c r="AA448" s="2443"/>
      <c r="AB448" s="2443"/>
      <c r="AC448" s="2443"/>
      <c r="AD448" s="2443"/>
      <c r="AE448" s="2443"/>
      <c r="AF448" s="592"/>
      <c r="AG448" s="592"/>
      <c r="AH448" s="592"/>
      <c r="AI448" s="592"/>
      <c r="AJ448" s="592"/>
      <c r="AK448" s="592"/>
      <c r="AL448" s="746"/>
      <c r="AM448" s="568"/>
      <c r="AN448" s="595"/>
    </row>
    <row r="449" spans="1:42" s="549" customFormat="1" ht="12.75" customHeight="1">
      <c r="A449" s="536"/>
      <c r="B449" s="14"/>
      <c r="C449" s="747"/>
      <c r="D449" s="726"/>
      <c r="E449" s="715"/>
      <c r="F449" s="2443"/>
      <c r="G449" s="2443"/>
      <c r="H449" s="2443"/>
      <c r="I449" s="2443"/>
      <c r="J449" s="2443"/>
      <c r="K449" s="2443"/>
      <c r="L449" s="2443"/>
      <c r="M449" s="2443"/>
      <c r="N449" s="2443"/>
      <c r="O449" s="2443"/>
      <c r="P449" s="2443"/>
      <c r="Q449" s="2443"/>
      <c r="R449" s="2443"/>
      <c r="S449" s="2443"/>
      <c r="T449" s="2443"/>
      <c r="U449" s="2443"/>
      <c r="V449" s="2443"/>
      <c r="W449" s="2443"/>
      <c r="X449" s="2443"/>
      <c r="Y449" s="2443"/>
      <c r="Z449" s="2443"/>
      <c r="AA449" s="2443"/>
      <c r="AB449" s="2443"/>
      <c r="AC449" s="2443"/>
      <c r="AD449" s="2443"/>
      <c r="AE449" s="244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3"/>
      <c r="G450" s="2443"/>
      <c r="H450" s="2443"/>
      <c r="I450" s="2443"/>
      <c r="J450" s="2443"/>
      <c r="K450" s="2443"/>
      <c r="L450" s="2443"/>
      <c r="M450" s="2443"/>
      <c r="N450" s="2443"/>
      <c r="O450" s="2443"/>
      <c r="P450" s="2443"/>
      <c r="Q450" s="2443"/>
      <c r="R450" s="2443"/>
      <c r="S450" s="2443"/>
      <c r="T450" s="2443"/>
      <c r="U450" s="2443"/>
      <c r="V450" s="2443"/>
      <c r="W450" s="2443"/>
      <c r="X450" s="2443"/>
      <c r="Y450" s="2443"/>
      <c r="Z450" s="2443"/>
      <c r="AA450" s="2443"/>
      <c r="AB450" s="2443"/>
      <c r="AC450" s="2443"/>
      <c r="AD450" s="2443"/>
      <c r="AE450" s="2443"/>
      <c r="AF450" s="592"/>
      <c r="AG450" s="592"/>
      <c r="AH450" s="592"/>
      <c r="AI450" s="592"/>
      <c r="AJ450" s="592"/>
      <c r="AK450" s="592"/>
      <c r="AL450" s="746"/>
      <c r="AM450" s="568"/>
      <c r="AN450" s="595"/>
    </row>
    <row r="451" spans="1:42" s="549" customFormat="1" ht="12.75" customHeight="1">
      <c r="A451" s="536"/>
      <c r="B451" s="14"/>
      <c r="C451" s="747"/>
      <c r="D451" s="726"/>
      <c r="E451" s="715"/>
      <c r="F451" s="2443"/>
      <c r="G451" s="2443"/>
      <c r="H451" s="2443"/>
      <c r="I451" s="2443"/>
      <c r="J451" s="2443"/>
      <c r="K451" s="2443"/>
      <c r="L451" s="2443"/>
      <c r="M451" s="2443"/>
      <c r="N451" s="2443"/>
      <c r="O451" s="2443"/>
      <c r="P451" s="2443"/>
      <c r="Q451" s="2443"/>
      <c r="R451" s="2443"/>
      <c r="S451" s="2443"/>
      <c r="T451" s="2443"/>
      <c r="U451" s="2443"/>
      <c r="V451" s="2443"/>
      <c r="W451" s="2443"/>
      <c r="X451" s="2443"/>
      <c r="Y451" s="2443"/>
      <c r="Z451" s="2443"/>
      <c r="AA451" s="2443"/>
      <c r="AB451" s="2443"/>
      <c r="AC451" s="2443"/>
      <c r="AD451" s="2443"/>
      <c r="AE451" s="2443"/>
      <c r="AF451" s="592"/>
      <c r="AG451" s="592"/>
      <c r="AH451" s="592"/>
      <c r="AI451" s="592"/>
      <c r="AJ451" s="592"/>
      <c r="AK451" s="592"/>
      <c r="AL451" s="746"/>
      <c r="AM451" s="568"/>
      <c r="AN451" s="595"/>
    </row>
    <row r="452" spans="1:42" s="549" customFormat="1" ht="12.75" customHeight="1">
      <c r="A452" s="536"/>
      <c r="B452" s="14"/>
      <c r="C452" s="747"/>
      <c r="D452" s="726"/>
      <c r="E452" s="715"/>
      <c r="F452" s="2443"/>
      <c r="G452" s="2443"/>
      <c r="H452" s="2443"/>
      <c r="I452" s="2443"/>
      <c r="J452" s="2443"/>
      <c r="K452" s="2443"/>
      <c r="L452" s="2443"/>
      <c r="M452" s="2443"/>
      <c r="N452" s="2443"/>
      <c r="O452" s="2443"/>
      <c r="P452" s="2443"/>
      <c r="Q452" s="2443"/>
      <c r="R452" s="2443"/>
      <c r="S452" s="2443"/>
      <c r="T452" s="2443"/>
      <c r="U452" s="2443"/>
      <c r="V452" s="2443"/>
      <c r="W452" s="2443"/>
      <c r="X452" s="2443"/>
      <c r="Y452" s="2443"/>
      <c r="Z452" s="2443"/>
      <c r="AA452" s="2443"/>
      <c r="AB452" s="2443"/>
      <c r="AC452" s="2443"/>
      <c r="AD452" s="2443"/>
      <c r="AE452" s="2443"/>
      <c r="AF452" s="592"/>
      <c r="AG452" s="592"/>
      <c r="AH452" s="592"/>
      <c r="AI452" s="592"/>
      <c r="AJ452" s="592"/>
      <c r="AK452" s="592"/>
      <c r="AL452" s="746"/>
      <c r="AM452" s="568"/>
      <c r="AN452" s="595"/>
    </row>
    <row r="453" spans="1:42" s="549" customFormat="1" ht="12.75" customHeight="1">
      <c r="A453" s="536"/>
      <c r="B453" s="14"/>
      <c r="C453" s="747"/>
      <c r="D453" s="726"/>
      <c r="E453" s="715"/>
      <c r="F453" s="2443"/>
      <c r="G453" s="2443"/>
      <c r="H453" s="2443"/>
      <c r="I453" s="2443"/>
      <c r="J453" s="2443"/>
      <c r="K453" s="2443"/>
      <c r="L453" s="2443"/>
      <c r="M453" s="2443"/>
      <c r="N453" s="2443"/>
      <c r="O453" s="2443"/>
      <c r="P453" s="2443"/>
      <c r="Q453" s="2443"/>
      <c r="R453" s="2443"/>
      <c r="S453" s="2443"/>
      <c r="T453" s="2443"/>
      <c r="U453" s="2443"/>
      <c r="V453" s="2443"/>
      <c r="W453" s="2443"/>
      <c r="X453" s="2443"/>
      <c r="Y453" s="2443"/>
      <c r="Z453" s="2443"/>
      <c r="AA453" s="2443"/>
      <c r="AB453" s="2443"/>
      <c r="AC453" s="2443"/>
      <c r="AD453" s="2443"/>
      <c r="AE453" s="2443"/>
      <c r="AF453" s="592"/>
      <c r="AG453" s="592"/>
      <c r="AH453" s="592"/>
      <c r="AI453" s="592"/>
      <c r="AJ453" s="592"/>
      <c r="AK453" s="592"/>
      <c r="AL453" s="746"/>
      <c r="AM453" s="568"/>
      <c r="AN453" s="595"/>
    </row>
    <row r="454" spans="1:42" s="549" customFormat="1" ht="17.25" customHeight="1">
      <c r="A454" s="536"/>
      <c r="B454" s="14"/>
      <c r="C454" s="747"/>
      <c r="D454" s="726"/>
      <c r="E454" s="715"/>
      <c r="F454" s="2443"/>
      <c r="G454" s="2443"/>
      <c r="H454" s="2443"/>
      <c r="I454" s="2443"/>
      <c r="J454" s="2443"/>
      <c r="K454" s="2443"/>
      <c r="L454" s="2443"/>
      <c r="M454" s="2443"/>
      <c r="N454" s="2443"/>
      <c r="O454" s="2443"/>
      <c r="P454" s="2443"/>
      <c r="Q454" s="2443"/>
      <c r="R454" s="2443"/>
      <c r="S454" s="2443"/>
      <c r="T454" s="2443"/>
      <c r="U454" s="2443"/>
      <c r="V454" s="2443"/>
      <c r="W454" s="2443"/>
      <c r="X454" s="2443"/>
      <c r="Y454" s="2443"/>
      <c r="Z454" s="2443"/>
      <c r="AA454" s="2443"/>
      <c r="AB454" s="2443"/>
      <c r="AC454" s="2443"/>
      <c r="AD454" s="2443"/>
      <c r="AE454" s="2443"/>
      <c r="AL454" s="728"/>
      <c r="AM454" s="568"/>
      <c r="AN454" s="595"/>
    </row>
    <row r="455" spans="1:42" s="549" customFormat="1" ht="12.75" customHeight="1">
      <c r="A455" s="536"/>
      <c r="B455" s="14"/>
      <c r="C455" s="2467" t="s">
        <v>590</v>
      </c>
      <c r="D455" s="2414"/>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3" t="s">
        <v>1452</v>
      </c>
      <c r="AG455" s="2393"/>
      <c r="AH455" s="2393"/>
      <c r="AI455" s="2393"/>
      <c r="AJ455" s="2393"/>
      <c r="AK455" s="2393"/>
      <c r="AL455" s="247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2" t="s">
        <v>1478</v>
      </c>
      <c r="G458" s="2442"/>
      <c r="H458" s="2442"/>
      <c r="I458" s="2442"/>
      <c r="J458" s="2442"/>
      <c r="K458" s="2442"/>
      <c r="L458" s="2442"/>
      <c r="M458" s="2442"/>
      <c r="N458" s="2442"/>
      <c r="O458" s="2442"/>
      <c r="P458" s="2442"/>
      <c r="Q458" s="2442"/>
      <c r="R458" s="2442"/>
      <c r="S458" s="2442"/>
      <c r="T458" s="2442"/>
      <c r="U458" s="2442"/>
      <c r="V458" s="2442"/>
      <c r="W458" s="2442"/>
      <c r="X458" s="2442"/>
      <c r="Y458" s="2442"/>
      <c r="Z458" s="2442"/>
      <c r="AA458" s="2442"/>
      <c r="AB458" s="2442"/>
      <c r="AC458" s="2442"/>
      <c r="AD458" s="2442"/>
      <c r="AE458" s="2442"/>
      <c r="AF458" s="710"/>
      <c r="AG458" s="710"/>
      <c r="AH458" s="710"/>
      <c r="AI458" s="710"/>
      <c r="AJ458" s="710"/>
      <c r="AK458" s="710"/>
      <c r="AL458" s="741"/>
      <c r="AM458" s="568"/>
      <c r="AN458" s="595"/>
    </row>
    <row r="459" spans="1:42" s="549" customFormat="1" ht="12.75" customHeight="1">
      <c r="A459" s="536"/>
      <c r="B459" s="14"/>
      <c r="C459" s="747"/>
      <c r="D459" s="726"/>
      <c r="E459" s="715"/>
      <c r="F459" s="2443"/>
      <c r="G459" s="2443"/>
      <c r="H459" s="2443"/>
      <c r="I459" s="2443"/>
      <c r="J459" s="2443"/>
      <c r="K459" s="2443"/>
      <c r="L459" s="2443"/>
      <c r="M459" s="2443"/>
      <c r="N459" s="2443"/>
      <c r="O459" s="2443"/>
      <c r="P459" s="2443"/>
      <c r="Q459" s="2443"/>
      <c r="R459" s="2443"/>
      <c r="S459" s="2443"/>
      <c r="T459" s="2443"/>
      <c r="U459" s="2443"/>
      <c r="V459" s="2443"/>
      <c r="W459" s="2443"/>
      <c r="X459" s="2443"/>
      <c r="Y459" s="2443"/>
      <c r="Z459" s="2443"/>
      <c r="AA459" s="2443"/>
      <c r="AB459" s="2443"/>
      <c r="AC459" s="2443"/>
      <c r="AD459" s="2443"/>
      <c r="AE459" s="2443"/>
      <c r="AF459" s="589"/>
      <c r="AG459" s="589"/>
      <c r="AH459" s="589"/>
      <c r="AI459" s="589"/>
      <c r="AJ459" s="589"/>
      <c r="AK459" s="589"/>
      <c r="AL459" s="716"/>
      <c r="AM459" s="568"/>
      <c r="AN459" s="595"/>
    </row>
    <row r="460" spans="1:42" s="549" customFormat="1" ht="12.75" customHeight="1">
      <c r="A460" s="536"/>
      <c r="B460" s="14"/>
      <c r="C460" s="747"/>
      <c r="D460" s="726"/>
      <c r="E460" s="715"/>
      <c r="F460" s="2443"/>
      <c r="G460" s="2443"/>
      <c r="H460" s="2443"/>
      <c r="I460" s="2443"/>
      <c r="J460" s="2443"/>
      <c r="K460" s="2443"/>
      <c r="L460" s="2443"/>
      <c r="M460" s="2443"/>
      <c r="N460" s="2443"/>
      <c r="O460" s="2443"/>
      <c r="P460" s="2443"/>
      <c r="Q460" s="2443"/>
      <c r="R460" s="2443"/>
      <c r="S460" s="2443"/>
      <c r="T460" s="2443"/>
      <c r="U460" s="2443"/>
      <c r="V460" s="2443"/>
      <c r="W460" s="2443"/>
      <c r="X460" s="2443"/>
      <c r="Y460" s="2443"/>
      <c r="Z460" s="2443"/>
      <c r="AA460" s="2443"/>
      <c r="AB460" s="2443"/>
      <c r="AC460" s="2443"/>
      <c r="AD460" s="2443"/>
      <c r="AE460" s="2443"/>
      <c r="AF460" s="589"/>
      <c r="AG460" s="589"/>
      <c r="AH460" s="589"/>
      <c r="AI460" s="589"/>
      <c r="AJ460" s="589"/>
      <c r="AK460" s="589"/>
      <c r="AL460" s="716"/>
      <c r="AM460" s="568"/>
      <c r="AN460" s="595"/>
    </row>
    <row r="461" spans="1:42" s="549" customFormat="1" ht="12.75" customHeight="1">
      <c r="A461" s="536"/>
      <c r="B461" s="14"/>
      <c r="C461" s="747"/>
      <c r="D461" s="726"/>
      <c r="E461" s="715"/>
      <c r="F461" s="2443"/>
      <c r="G461" s="2443"/>
      <c r="H461" s="2443"/>
      <c r="I461" s="2443"/>
      <c r="J461" s="2443"/>
      <c r="K461" s="2443"/>
      <c r="L461" s="2443"/>
      <c r="M461" s="2443"/>
      <c r="N461" s="2443"/>
      <c r="O461" s="2443"/>
      <c r="P461" s="2443"/>
      <c r="Q461" s="2443"/>
      <c r="R461" s="2443"/>
      <c r="S461" s="2443"/>
      <c r="T461" s="2443"/>
      <c r="U461" s="2443"/>
      <c r="V461" s="2443"/>
      <c r="W461" s="2443"/>
      <c r="X461" s="2443"/>
      <c r="Y461" s="2443"/>
      <c r="Z461" s="2443"/>
      <c r="AA461" s="2443"/>
      <c r="AB461" s="2443"/>
      <c r="AC461" s="2443"/>
      <c r="AD461" s="2443"/>
      <c r="AE461" s="2443"/>
      <c r="AL461" s="728"/>
      <c r="AM461" s="568"/>
      <c r="AN461" s="595"/>
    </row>
    <row r="462" spans="1:42" s="549" customFormat="1" ht="12.75" customHeight="1">
      <c r="A462" s="536"/>
      <c r="B462" s="14"/>
      <c r="C462" s="2467" t="s">
        <v>590</v>
      </c>
      <c r="D462" s="2414"/>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3" t="s">
        <v>1452</v>
      </c>
      <c r="AG462" s="2393"/>
      <c r="AH462" s="2393"/>
      <c r="AI462" s="2393"/>
      <c r="AJ462" s="2393"/>
      <c r="AK462" s="2393"/>
      <c r="AL462" s="247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2" t="s">
        <v>590</v>
      </c>
      <c r="D466" s="2553"/>
      <c r="E466" s="711" t="s">
        <v>1487</v>
      </c>
      <c r="F466" s="2442" t="s">
        <v>1488</v>
      </c>
      <c r="G466" s="2442"/>
      <c r="H466" s="2442"/>
      <c r="I466" s="2442"/>
      <c r="J466" s="2442"/>
      <c r="K466" s="2442"/>
      <c r="L466" s="2442"/>
      <c r="M466" s="2442"/>
      <c r="N466" s="2442"/>
      <c r="O466" s="2442"/>
      <c r="P466" s="2442"/>
      <c r="Q466" s="2442"/>
      <c r="R466" s="2442"/>
      <c r="S466" s="2442"/>
      <c r="T466" s="2442"/>
      <c r="U466" s="2442"/>
      <c r="V466" s="2442"/>
      <c r="W466" s="2442"/>
      <c r="X466" s="2442"/>
      <c r="Y466" s="2442"/>
      <c r="Z466" s="2442"/>
      <c r="AA466" s="2442"/>
      <c r="AB466" s="2442"/>
      <c r="AC466" s="2442"/>
      <c r="AD466" s="2442"/>
      <c r="AE466" s="2442"/>
      <c r="AF466" s="2470" t="s">
        <v>1452</v>
      </c>
      <c r="AG466" s="2470"/>
      <c r="AH466" s="2470"/>
      <c r="AI466" s="2470"/>
      <c r="AJ466" s="2470"/>
      <c r="AK466" s="2470"/>
      <c r="AL466" s="2471"/>
      <c r="AM466" s="568"/>
      <c r="AN466" s="749"/>
    </row>
    <row r="467" spans="1:40" s="549" customFormat="1" ht="12.75" customHeight="1">
      <c r="A467" s="536"/>
      <c r="B467" s="14"/>
      <c r="C467" s="747"/>
      <c r="D467" s="726"/>
      <c r="E467" s="715"/>
      <c r="F467" s="2443"/>
      <c r="G467" s="2443"/>
      <c r="H467" s="2443"/>
      <c r="I467" s="2443"/>
      <c r="J467" s="2443"/>
      <c r="K467" s="2443"/>
      <c r="L467" s="2443"/>
      <c r="M467" s="2443"/>
      <c r="N467" s="2443"/>
      <c r="O467" s="2443"/>
      <c r="P467" s="2443"/>
      <c r="Q467" s="2443"/>
      <c r="R467" s="2443"/>
      <c r="S467" s="2443"/>
      <c r="T467" s="2443"/>
      <c r="U467" s="2443"/>
      <c r="V467" s="2443"/>
      <c r="W467" s="2443"/>
      <c r="X467" s="2443"/>
      <c r="Y467" s="2443"/>
      <c r="Z467" s="2443"/>
      <c r="AA467" s="2443"/>
      <c r="AB467" s="2443"/>
      <c r="AC467" s="2443"/>
      <c r="AD467" s="2443"/>
      <c r="AE467" s="2443"/>
      <c r="AF467" s="589"/>
      <c r="AG467" s="589"/>
      <c r="AH467" s="589"/>
      <c r="AI467" s="589"/>
      <c r="AJ467" s="589"/>
      <c r="AK467" s="589"/>
      <c r="AL467" s="716"/>
      <c r="AM467" s="568"/>
      <c r="AN467" s="750"/>
    </row>
    <row r="468" spans="1:40" s="549" customFormat="1" ht="17.7" customHeight="1">
      <c r="A468" s="536"/>
      <c r="B468" s="14"/>
      <c r="C468" s="752"/>
      <c r="D468" s="719"/>
      <c r="E468" s="720"/>
      <c r="F468" s="2444"/>
      <c r="G468" s="2444"/>
      <c r="H468" s="2444"/>
      <c r="I468" s="2444"/>
      <c r="J468" s="2444"/>
      <c r="K468" s="2444"/>
      <c r="L468" s="2444"/>
      <c r="M468" s="2444"/>
      <c r="N468" s="2444"/>
      <c r="O468" s="2444"/>
      <c r="P468" s="2444"/>
      <c r="Q468" s="2444"/>
      <c r="R468" s="2444"/>
      <c r="S468" s="2444"/>
      <c r="T468" s="2444"/>
      <c r="U468" s="2444"/>
      <c r="V468" s="2444"/>
      <c r="W468" s="2444"/>
      <c r="X468" s="2444"/>
      <c r="Y468" s="2444"/>
      <c r="Z468" s="2444"/>
      <c r="AA468" s="2444"/>
      <c r="AB468" s="2444"/>
      <c r="AC468" s="2444"/>
      <c r="AD468" s="2444"/>
      <c r="AE468" s="24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7" t="s">
        <v>590</v>
      </c>
      <c r="D470" s="2414"/>
      <c r="E470" s="711" t="s">
        <v>1493</v>
      </c>
      <c r="F470" s="2442" t="s">
        <v>1494</v>
      </c>
      <c r="G470" s="2442"/>
      <c r="H470" s="2442"/>
      <c r="I470" s="2442"/>
      <c r="J470" s="2442"/>
      <c r="K470" s="2442"/>
      <c r="L470" s="2442"/>
      <c r="M470" s="2442"/>
      <c r="N470" s="2442"/>
      <c r="O470" s="2442"/>
      <c r="P470" s="2442"/>
      <c r="Q470" s="2442"/>
      <c r="R470" s="2442"/>
      <c r="S470" s="2442"/>
      <c r="T470" s="2442"/>
      <c r="U470" s="2442"/>
      <c r="V470" s="2442"/>
      <c r="W470" s="2442"/>
      <c r="X470" s="2442"/>
      <c r="Y470" s="2442"/>
      <c r="Z470" s="2442"/>
      <c r="AA470" s="2442"/>
      <c r="AB470" s="2442"/>
      <c r="AC470" s="2442"/>
      <c r="AD470" s="2442"/>
      <c r="AE470" s="2442"/>
      <c r="AF470" s="2470" t="s">
        <v>1452</v>
      </c>
      <c r="AG470" s="2470"/>
      <c r="AH470" s="2470"/>
      <c r="AI470" s="2470"/>
      <c r="AJ470" s="2470"/>
      <c r="AK470" s="2470"/>
      <c r="AL470" s="2471"/>
      <c r="AM470" s="568"/>
      <c r="AN470" s="535"/>
    </row>
    <row r="471" spans="1:40" s="549" customFormat="1" ht="12.75" customHeight="1">
      <c r="A471" s="536"/>
      <c r="B471" s="14"/>
      <c r="C471" s="727"/>
      <c r="D471" s="14"/>
      <c r="E471" s="687"/>
      <c r="F471" s="2443"/>
      <c r="G471" s="2443"/>
      <c r="H471" s="2443"/>
      <c r="I471" s="2443"/>
      <c r="J471" s="2443"/>
      <c r="K471" s="2443"/>
      <c r="L471" s="2443"/>
      <c r="M471" s="2443"/>
      <c r="N471" s="2443"/>
      <c r="O471" s="2443"/>
      <c r="P471" s="2443"/>
      <c r="Q471" s="2443"/>
      <c r="R471" s="2443"/>
      <c r="S471" s="2443"/>
      <c r="T471" s="2443"/>
      <c r="U471" s="2443"/>
      <c r="V471" s="2443"/>
      <c r="W471" s="2443"/>
      <c r="X471" s="2443"/>
      <c r="Y471" s="2443"/>
      <c r="Z471" s="2443"/>
      <c r="AA471" s="2443"/>
      <c r="AB471" s="2443"/>
      <c r="AC471" s="2443"/>
      <c r="AD471" s="2443"/>
      <c r="AE471" s="2443"/>
      <c r="AF471" s="539"/>
      <c r="AG471" s="536"/>
      <c r="AL471" s="728"/>
      <c r="AM471" s="568"/>
      <c r="AN471" s="535"/>
    </row>
    <row r="472" spans="1:40" s="549" customFormat="1" ht="12.75" customHeight="1">
      <c r="A472" s="536"/>
      <c r="B472" s="14"/>
      <c r="C472" s="727"/>
      <c r="D472" s="14"/>
      <c r="E472" s="687"/>
      <c r="F472" s="2443"/>
      <c r="G472" s="2443"/>
      <c r="H472" s="2443"/>
      <c r="I472" s="2443"/>
      <c r="J472" s="2443"/>
      <c r="K472" s="2443"/>
      <c r="L472" s="2443"/>
      <c r="M472" s="2443"/>
      <c r="N472" s="2443"/>
      <c r="O472" s="2443"/>
      <c r="P472" s="2443"/>
      <c r="Q472" s="2443"/>
      <c r="R472" s="2443"/>
      <c r="S472" s="2443"/>
      <c r="T472" s="2443"/>
      <c r="U472" s="2443"/>
      <c r="V472" s="2443"/>
      <c r="W472" s="2443"/>
      <c r="X472" s="2443"/>
      <c r="Y472" s="2443"/>
      <c r="Z472" s="2443"/>
      <c r="AA472" s="2443"/>
      <c r="AB472" s="2443"/>
      <c r="AC472" s="2443"/>
      <c r="AD472" s="2443"/>
      <c r="AE472" s="2443"/>
      <c r="AF472" s="539"/>
      <c r="AG472" s="536"/>
      <c r="AL472" s="728"/>
      <c r="AM472" s="568"/>
      <c r="AN472" s="535"/>
    </row>
    <row r="473" spans="1:40" s="549" customFormat="1" ht="12.75" customHeight="1">
      <c r="A473" s="536"/>
      <c r="B473" s="14"/>
      <c r="C473" s="752"/>
      <c r="D473" s="719"/>
      <c r="E473" s="720"/>
      <c r="F473" s="2444"/>
      <c r="G473" s="2444"/>
      <c r="H473" s="2444"/>
      <c r="I473" s="2444"/>
      <c r="J473" s="2444"/>
      <c r="K473" s="2444"/>
      <c r="L473" s="2444"/>
      <c r="M473" s="2444"/>
      <c r="N473" s="2444"/>
      <c r="O473" s="2444"/>
      <c r="P473" s="2444"/>
      <c r="Q473" s="2444"/>
      <c r="R473" s="2444"/>
      <c r="S473" s="2444"/>
      <c r="T473" s="2444"/>
      <c r="U473" s="2444"/>
      <c r="V473" s="2444"/>
      <c r="W473" s="2444"/>
      <c r="X473" s="2444"/>
      <c r="Y473" s="2444"/>
      <c r="Z473" s="2444"/>
      <c r="AA473" s="2444"/>
      <c r="AB473" s="2444"/>
      <c r="AC473" s="2444"/>
      <c r="AD473" s="2444"/>
      <c r="AE473" s="24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2" t="s">
        <v>1497</v>
      </c>
      <c r="G475" s="2442"/>
      <c r="H475" s="2442"/>
      <c r="I475" s="2442"/>
      <c r="J475" s="2442"/>
      <c r="K475" s="2442"/>
      <c r="L475" s="2442"/>
      <c r="M475" s="2442"/>
      <c r="N475" s="2442"/>
      <c r="O475" s="2442"/>
      <c r="P475" s="2442"/>
      <c r="Q475" s="2442"/>
      <c r="R475" s="2442"/>
      <c r="S475" s="2442"/>
      <c r="T475" s="2442"/>
      <c r="U475" s="2442"/>
      <c r="V475" s="2442"/>
      <c r="W475" s="2442"/>
      <c r="X475" s="2442"/>
      <c r="Y475" s="2442"/>
      <c r="Z475" s="2442"/>
      <c r="AA475" s="2442"/>
      <c r="AB475" s="2442"/>
      <c r="AC475" s="2442"/>
      <c r="AD475" s="2442"/>
      <c r="AE475" s="2442"/>
      <c r="AF475" s="2442"/>
      <c r="AG475" s="740"/>
      <c r="AH475" s="710"/>
      <c r="AI475" s="710"/>
      <c r="AJ475" s="710"/>
      <c r="AK475" s="710"/>
      <c r="AL475" s="741"/>
      <c r="AM475" s="568"/>
      <c r="AN475" s="595"/>
    </row>
    <row r="476" spans="1:40" s="549" customFormat="1" ht="12.75" customHeight="1">
      <c r="A476" s="536"/>
      <c r="B476" s="14"/>
      <c r="C476" s="727"/>
      <c r="D476" s="14"/>
      <c r="E476" s="687"/>
      <c r="F476" s="2443"/>
      <c r="G476" s="2443"/>
      <c r="H476" s="2443"/>
      <c r="I476" s="2443"/>
      <c r="J476" s="2443"/>
      <c r="K476" s="2443"/>
      <c r="L476" s="2443"/>
      <c r="M476" s="2443"/>
      <c r="N476" s="2443"/>
      <c r="O476" s="2443"/>
      <c r="P476" s="2443"/>
      <c r="Q476" s="2443"/>
      <c r="R476" s="2443"/>
      <c r="S476" s="2443"/>
      <c r="T476" s="2443"/>
      <c r="U476" s="2443"/>
      <c r="V476" s="2443"/>
      <c r="W476" s="2443"/>
      <c r="X476" s="2443"/>
      <c r="Y476" s="2443"/>
      <c r="Z476" s="2443"/>
      <c r="AA476" s="2443"/>
      <c r="AB476" s="2443"/>
      <c r="AC476" s="2443"/>
      <c r="AD476" s="2443"/>
      <c r="AE476" s="2443"/>
      <c r="AF476" s="2443"/>
      <c r="AL476" s="728"/>
      <c r="AM476" s="568"/>
      <c r="AN476" s="595"/>
    </row>
    <row r="477" spans="1:40" s="549" customFormat="1" ht="12.75" customHeight="1">
      <c r="A477" s="536"/>
      <c r="B477" s="14"/>
      <c r="C477" s="735"/>
      <c r="F477" s="2443"/>
      <c r="G477" s="2443"/>
      <c r="H477" s="2443"/>
      <c r="I477" s="2443"/>
      <c r="J477" s="2443"/>
      <c r="K477" s="2443"/>
      <c r="L477" s="2443"/>
      <c r="M477" s="2443"/>
      <c r="N477" s="2443"/>
      <c r="O477" s="2443"/>
      <c r="P477" s="2443"/>
      <c r="Q477" s="2443"/>
      <c r="R477" s="2443"/>
      <c r="S477" s="2443"/>
      <c r="T477" s="2443"/>
      <c r="U477" s="2443"/>
      <c r="V477" s="2443"/>
      <c r="W477" s="2443"/>
      <c r="X477" s="2443"/>
      <c r="Y477" s="2443"/>
      <c r="Z477" s="2443"/>
      <c r="AA477" s="2443"/>
      <c r="AB477" s="2443"/>
      <c r="AC477" s="2443"/>
      <c r="AD477" s="2443"/>
      <c r="AE477" s="2443"/>
      <c r="AF477" s="2443"/>
      <c r="AL477" s="728"/>
      <c r="AM477" s="568"/>
      <c r="AN477" s="595"/>
    </row>
    <row r="478" spans="1:40" s="549" customFormat="1" ht="12.75" customHeight="1">
      <c r="A478" s="536"/>
      <c r="B478" s="14"/>
      <c r="C478" s="735"/>
      <c r="F478" s="2443"/>
      <c r="G478" s="2443"/>
      <c r="H478" s="2443"/>
      <c r="I478" s="2443"/>
      <c r="J478" s="2443"/>
      <c r="K478" s="2443"/>
      <c r="L478" s="2443"/>
      <c r="M478" s="2443"/>
      <c r="N478" s="2443"/>
      <c r="O478" s="2443"/>
      <c r="P478" s="2443"/>
      <c r="Q478" s="2443"/>
      <c r="R478" s="2443"/>
      <c r="S478" s="2443"/>
      <c r="T478" s="2443"/>
      <c r="U478" s="2443"/>
      <c r="V478" s="2443"/>
      <c r="W478" s="2443"/>
      <c r="X478" s="2443"/>
      <c r="Y478" s="2443"/>
      <c r="Z478" s="2443"/>
      <c r="AA478" s="2443"/>
      <c r="AB478" s="2443"/>
      <c r="AC478" s="2443"/>
      <c r="AD478" s="2443"/>
      <c r="AE478" s="2443"/>
      <c r="AF478" s="2443"/>
      <c r="AL478" s="728"/>
      <c r="AM478" s="568"/>
      <c r="AN478" s="595"/>
    </row>
    <row r="479" spans="1:40" s="549" customFormat="1" ht="12.75" customHeight="1">
      <c r="A479" s="536"/>
      <c r="B479" s="14"/>
      <c r="C479" s="2467" t="s">
        <v>590</v>
      </c>
      <c r="D479" s="2414"/>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8" t="s">
        <v>1452</v>
      </c>
      <c r="AG479" s="2468"/>
      <c r="AH479" s="2468"/>
      <c r="AI479" s="2468"/>
      <c r="AJ479" s="2468"/>
      <c r="AK479" s="2468"/>
      <c r="AL479" s="246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5">
        <f>IF(Application!D214="N/A",AS371,AS373)</f>
        <v>10</v>
      </c>
      <c r="AL482" s="2441"/>
      <c r="AM482" s="239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8" t="s">
        <v>1501</v>
      </c>
      <c r="AF485" s="2468"/>
      <c r="AG485" s="2468"/>
      <c r="AH485" s="2468"/>
      <c r="AI485" s="2468"/>
      <c r="AJ485" s="2468"/>
      <c r="AK485" s="2468"/>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7" t="s">
        <v>590</v>
      </c>
      <c r="D491" s="2418"/>
      <c r="E491" s="757" t="s">
        <v>506</v>
      </c>
      <c r="F491" s="2453" t="s">
        <v>1507</v>
      </c>
      <c r="G491" s="2453"/>
      <c r="H491" s="2453"/>
      <c r="I491" s="2453"/>
      <c r="J491" s="2453"/>
      <c r="K491" s="2453"/>
      <c r="L491" s="2453"/>
      <c r="M491" s="2453"/>
      <c r="N491" s="2453"/>
      <c r="O491" s="2453"/>
      <c r="P491" s="2453"/>
      <c r="Q491" s="2453"/>
      <c r="R491" s="2453"/>
      <c r="S491" s="2453"/>
      <c r="T491" s="2453"/>
      <c r="U491" s="2453"/>
      <c r="V491" s="2453"/>
      <c r="W491" s="2453"/>
      <c r="X491" s="2453"/>
      <c r="Y491" s="2453"/>
      <c r="Z491" s="2453"/>
      <c r="AA491" s="2453"/>
      <c r="AB491" s="2453"/>
      <c r="AC491" s="2453"/>
      <c r="AD491" s="2453"/>
      <c r="AE491" s="2453"/>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4"/>
      <c r="G492" s="2454"/>
      <c r="H492" s="2454"/>
      <c r="I492" s="2454"/>
      <c r="J492" s="2454"/>
      <c r="K492" s="2454"/>
      <c r="L492" s="2454"/>
      <c r="M492" s="2454"/>
      <c r="N492" s="2454"/>
      <c r="O492" s="2454"/>
      <c r="P492" s="2454"/>
      <c r="Q492" s="2454"/>
      <c r="R492" s="2454"/>
      <c r="S492" s="2454"/>
      <c r="T492" s="2454"/>
      <c r="U492" s="2454"/>
      <c r="V492" s="2454"/>
      <c r="W492" s="2454"/>
      <c r="X492" s="2454"/>
      <c r="Y492" s="2454"/>
      <c r="Z492" s="2454"/>
      <c r="AA492" s="2454"/>
      <c r="AB492" s="2454"/>
      <c r="AC492" s="2454"/>
      <c r="AD492" s="2454"/>
      <c r="AE492" s="2454"/>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1" t="s">
        <v>590</v>
      </c>
      <c r="G493" s="2451"/>
      <c r="H493" s="2451"/>
      <c r="I493" s="2451"/>
      <c r="J493" s="2451"/>
      <c r="K493" s="2451"/>
      <c r="L493" s="2451"/>
      <c r="M493" s="2451"/>
      <c r="N493" s="2451"/>
      <c r="O493" s="2451"/>
      <c r="P493" s="2451"/>
      <c r="Q493" s="2451"/>
      <c r="R493" s="2451"/>
      <c r="S493" s="2451"/>
      <c r="T493" s="2451"/>
      <c r="U493" s="2451"/>
      <c r="V493" s="2451"/>
      <c r="W493" s="2451"/>
      <c r="X493" s="2451"/>
      <c r="Y493" s="2451"/>
      <c r="Z493" s="2451"/>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0" t="s">
        <v>544</v>
      </c>
      <c r="D495" s="2421"/>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50" t="s">
        <v>590</v>
      </c>
      <c r="W498" s="2450"/>
      <c r="X498" s="2450"/>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50" t="s">
        <v>590</v>
      </c>
      <c r="W500" s="2450"/>
      <c r="X500" s="2450"/>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50" t="s">
        <v>590</v>
      </c>
      <c r="W505" s="2450"/>
      <c r="X505" s="2450"/>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9"/>
      <c r="E508" s="2419"/>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50" t="s">
        <v>590</v>
      </c>
      <c r="W509" s="2450"/>
      <c r="X509" s="2450"/>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50" t="s">
        <v>590</v>
      </c>
      <c r="W511" s="2450"/>
      <c r="X511" s="2450"/>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7" t="s">
        <v>590</v>
      </c>
      <c r="D514" s="2418"/>
      <c r="E514" s="757" t="s">
        <v>506</v>
      </c>
      <c r="F514" s="2453" t="s">
        <v>1507</v>
      </c>
      <c r="G514" s="2453"/>
      <c r="H514" s="2453"/>
      <c r="I514" s="2453"/>
      <c r="J514" s="2453"/>
      <c r="K514" s="2453"/>
      <c r="L514" s="2453"/>
      <c r="M514" s="2453"/>
      <c r="N514" s="2453"/>
      <c r="O514" s="2453"/>
      <c r="P514" s="2453"/>
      <c r="Q514" s="2453"/>
      <c r="R514" s="2453"/>
      <c r="S514" s="2453"/>
      <c r="T514" s="2453"/>
      <c r="U514" s="2453"/>
      <c r="V514" s="2453"/>
      <c r="W514" s="2453"/>
      <c r="X514" s="2453"/>
      <c r="Y514" s="2453"/>
      <c r="Z514" s="2453"/>
      <c r="AA514" s="2453"/>
      <c r="AB514" s="2453"/>
      <c r="AC514" s="2453"/>
      <c r="AD514" s="2453"/>
      <c r="AE514" s="245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4"/>
      <c r="G515" s="2454"/>
      <c r="H515" s="2454"/>
      <c r="I515" s="2454"/>
      <c r="J515" s="2454"/>
      <c r="K515" s="2454"/>
      <c r="L515" s="2454"/>
      <c r="M515" s="2454"/>
      <c r="N515" s="2454"/>
      <c r="O515" s="2454"/>
      <c r="P515" s="2454"/>
      <c r="Q515" s="2454"/>
      <c r="R515" s="2454"/>
      <c r="S515" s="2454"/>
      <c r="T515" s="2454"/>
      <c r="U515" s="2454"/>
      <c r="V515" s="2454"/>
      <c r="W515" s="2454"/>
      <c r="X515" s="2454"/>
      <c r="Y515" s="2454"/>
      <c r="Z515" s="2454"/>
      <c r="AA515" s="2454"/>
      <c r="AB515" s="2454"/>
      <c r="AC515" s="2454"/>
      <c r="AD515" s="2454"/>
      <c r="AE515" s="245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6" t="s">
        <v>590</v>
      </c>
      <c r="G516" s="2446"/>
      <c r="H516" s="2446"/>
      <c r="I516" s="2446"/>
      <c r="J516" s="2446"/>
      <c r="K516" s="2446"/>
      <c r="L516" s="2446"/>
      <c r="M516" s="2446"/>
      <c r="N516" s="2446"/>
      <c r="O516" s="2446"/>
      <c r="P516" s="2446"/>
      <c r="Q516" s="2446"/>
      <c r="R516" s="2446"/>
      <c r="S516" s="2446"/>
      <c r="T516" s="2446"/>
      <c r="U516" s="2446"/>
      <c r="V516" s="2446"/>
      <c r="W516" s="2446"/>
      <c r="X516" s="2446"/>
      <c r="Y516" s="2446"/>
      <c r="Z516" s="2446"/>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7" t="s">
        <v>590</v>
      </c>
      <c r="D518" s="2418"/>
      <c r="E518" s="757" t="s">
        <v>756</v>
      </c>
      <c r="F518" s="2447" t="s">
        <v>1529</v>
      </c>
      <c r="G518" s="2447"/>
      <c r="H518" s="2447"/>
      <c r="I518" s="2447"/>
      <c r="J518" s="2447"/>
      <c r="K518" s="2447"/>
      <c r="L518" s="2447"/>
      <c r="M518" s="2447"/>
      <c r="N518" s="2447"/>
      <c r="O518" s="2447"/>
      <c r="P518" s="2447"/>
      <c r="Q518" s="2447"/>
      <c r="R518" s="2447"/>
      <c r="S518" s="2447"/>
      <c r="T518" s="2447"/>
      <c r="U518" s="2447"/>
      <c r="V518" s="2447"/>
      <c r="W518" s="2447"/>
      <c r="X518" s="2447"/>
      <c r="Y518" s="2447"/>
      <c r="Z518" s="2447"/>
      <c r="AA518" s="2447"/>
      <c r="AB518" s="2447"/>
      <c r="AC518" s="2447"/>
      <c r="AD518" s="2447"/>
      <c r="AE518" s="2447"/>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8"/>
      <c r="G519" s="2448"/>
      <c r="H519" s="2448"/>
      <c r="I519" s="2448"/>
      <c r="J519" s="2448"/>
      <c r="K519" s="2448"/>
      <c r="L519" s="2448"/>
      <c r="M519" s="2448"/>
      <c r="N519" s="2448"/>
      <c r="O519" s="2448"/>
      <c r="P519" s="2448"/>
      <c r="Q519" s="2448"/>
      <c r="R519" s="2448"/>
      <c r="S519" s="2448"/>
      <c r="T519" s="2448"/>
      <c r="U519" s="2448"/>
      <c r="V519" s="2448"/>
      <c r="W519" s="2448"/>
      <c r="X519" s="2448"/>
      <c r="Y519" s="2448"/>
      <c r="Z519" s="2448"/>
      <c r="AA519" s="2448"/>
      <c r="AB519" s="2448"/>
      <c r="AC519" s="2448"/>
      <c r="AD519" s="2448"/>
      <c r="AE519" s="2448"/>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9" t="s">
        <v>590</v>
      </c>
      <c r="G521" s="2449"/>
      <c r="H521" s="2449"/>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7" t="s">
        <v>590</v>
      </c>
      <c r="D523" s="2418"/>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5"/>
      <c r="D525" s="2419"/>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6" t="s">
        <v>590</v>
      </c>
      <c r="H526" s="2476"/>
      <c r="I526" s="2476"/>
      <c r="J526" s="2476"/>
      <c r="K526" s="2476"/>
      <c r="L526" s="2476"/>
      <c r="M526" s="2476"/>
      <c r="N526" s="2476"/>
      <c r="O526" s="2476"/>
      <c r="P526" s="2476"/>
      <c r="Q526" s="2476"/>
      <c r="R526" s="2476"/>
      <c r="S526" s="2476"/>
      <c r="T526" s="2476"/>
      <c r="U526" s="2476"/>
      <c r="V526" s="2476"/>
      <c r="W526" s="2476"/>
      <c r="X526" s="2476"/>
      <c r="Y526" s="2476"/>
      <c r="Z526" s="2476"/>
      <c r="AA526" s="2476"/>
      <c r="AB526" s="2476"/>
      <c r="AC526" s="2476"/>
      <c r="AD526" s="2476"/>
      <c r="AE526" s="2476"/>
      <c r="AF526" s="2476"/>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7" t="s">
        <v>590</v>
      </c>
      <c r="D528" s="2478"/>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7" t="s">
        <v>590</v>
      </c>
      <c r="D532" s="2478"/>
      <c r="F532" s="791" t="s">
        <v>1537</v>
      </c>
      <c r="G532" s="2443" t="s">
        <v>1538</v>
      </c>
      <c r="H532" s="2443"/>
      <c r="I532" s="2443"/>
      <c r="J532" s="2443"/>
      <c r="K532" s="2443"/>
      <c r="L532" s="2443"/>
      <c r="M532" s="2443"/>
      <c r="N532" s="2443"/>
      <c r="O532" s="2443"/>
      <c r="P532" s="2443"/>
      <c r="Q532" s="2443"/>
      <c r="R532" s="2443"/>
      <c r="S532" s="2443"/>
      <c r="T532" s="2443"/>
      <c r="U532" s="2443"/>
      <c r="V532" s="2443"/>
      <c r="W532" s="2443"/>
      <c r="X532" s="2443"/>
      <c r="Y532" s="2443"/>
      <c r="Z532" s="2443"/>
      <c r="AA532" s="2443"/>
      <c r="AB532" s="2443"/>
      <c r="AC532" s="2443"/>
      <c r="AD532" s="2443"/>
      <c r="AE532" s="2443"/>
      <c r="AF532" s="2443"/>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4"/>
      <c r="H533" s="2444"/>
      <c r="I533" s="2444"/>
      <c r="J533" s="2444"/>
      <c r="K533" s="2444"/>
      <c r="L533" s="2444"/>
      <c r="M533" s="2444"/>
      <c r="N533" s="2444"/>
      <c r="O533" s="2444"/>
      <c r="P533" s="2444"/>
      <c r="Q533" s="2444"/>
      <c r="R533" s="2444"/>
      <c r="S533" s="2444"/>
      <c r="T533" s="2444"/>
      <c r="U533" s="2444"/>
      <c r="V533" s="2444"/>
      <c r="W533" s="2444"/>
      <c r="X533" s="2444"/>
      <c r="Y533" s="2444"/>
      <c r="Z533" s="2444"/>
      <c r="AA533" s="2444"/>
      <c r="AB533" s="2444"/>
      <c r="AC533" s="2444"/>
      <c r="AD533" s="2444"/>
      <c r="AE533" s="2444"/>
      <c r="AF533" s="24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9" t="s">
        <v>590</v>
      </c>
      <c r="D536" s="2480"/>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1" t="s">
        <v>590</v>
      </c>
      <c r="G537" s="2481"/>
      <c r="H537" s="2481"/>
      <c r="I537" s="2481"/>
      <c r="J537" s="2481"/>
      <c r="K537" s="2481"/>
      <c r="L537" s="2481"/>
      <c r="M537" s="2481"/>
      <c r="N537" s="2481"/>
      <c r="O537" s="2481"/>
      <c r="P537" s="2481"/>
      <c r="Q537" s="2481"/>
      <c r="R537" s="2481"/>
      <c r="S537" s="2481"/>
      <c r="T537" s="2481"/>
      <c r="U537" s="2481"/>
      <c r="V537" s="2481"/>
      <c r="W537" s="2481"/>
      <c r="X537" s="2481"/>
      <c r="Y537" s="2481"/>
      <c r="Z537" s="2481"/>
      <c r="AA537" s="2481"/>
      <c r="AB537" s="2481"/>
      <c r="AC537" s="2481"/>
      <c r="AD537" s="2481"/>
      <c r="AE537" s="2481"/>
      <c r="AF537" s="2481"/>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2"/>
      <c r="G538" s="2482"/>
      <c r="H538" s="2482"/>
      <c r="I538" s="2482"/>
      <c r="J538" s="2482"/>
      <c r="K538" s="2482"/>
      <c r="L538" s="2482"/>
      <c r="M538" s="2482"/>
      <c r="N538" s="2482"/>
      <c r="O538" s="2482"/>
      <c r="P538" s="2482"/>
      <c r="Q538" s="2482"/>
      <c r="R538" s="2482"/>
      <c r="S538" s="2482"/>
      <c r="T538" s="2482"/>
      <c r="U538" s="2482"/>
      <c r="V538" s="2482"/>
      <c r="W538" s="2482"/>
      <c r="X538" s="2482"/>
      <c r="Y538" s="2482"/>
      <c r="Z538" s="2482"/>
      <c r="AA538" s="2482"/>
      <c r="AB538" s="2482"/>
      <c r="AC538" s="2482"/>
      <c r="AD538" s="2482"/>
      <c r="AE538" s="2482"/>
      <c r="AF538" s="248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5">
        <f>SUM(AG492:AG537)</f>
        <v>0</v>
      </c>
      <c r="AL548" s="2441"/>
      <c r="AM548" s="239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2" t="s">
        <v>1550</v>
      </c>
      <c r="AF551" s="2452"/>
      <c r="AG551" s="2452"/>
      <c r="AH551" s="2452"/>
      <c r="AI551" s="2452"/>
      <c r="AJ551" s="2452"/>
      <c r="AK551" s="2452"/>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4" t="s">
        <v>544</v>
      </c>
      <c r="D554" s="2414"/>
      <c r="E554" s="550"/>
      <c r="F554" s="2554" t="s">
        <v>1551</v>
      </c>
      <c r="G554" s="2555"/>
      <c r="H554" s="2555"/>
      <c r="I554" s="2555"/>
      <c r="J554" s="2555"/>
      <c r="K554" s="2555"/>
      <c r="L554" s="2555"/>
      <c r="M554" s="2555"/>
      <c r="N554" s="2555"/>
      <c r="O554" s="2555"/>
      <c r="P554" s="2555"/>
      <c r="Q554" s="2555"/>
      <c r="R554" s="2555"/>
      <c r="S554" s="2555"/>
      <c r="T554" s="2555"/>
      <c r="U554" s="2555"/>
      <c r="V554" s="2555"/>
      <c r="W554" s="2555"/>
      <c r="X554" s="2555"/>
      <c r="Y554" s="2555"/>
      <c r="Z554" s="2555"/>
      <c r="AA554" s="2555"/>
      <c r="AB554" s="2555"/>
      <c r="AC554" s="2555"/>
      <c r="AD554" s="2555"/>
      <c r="AE554" s="2555"/>
      <c r="AF554" s="2555"/>
      <c r="AG554" s="2555"/>
      <c r="AH554" s="2555"/>
      <c r="AI554" s="2555"/>
      <c r="AJ554" s="2555"/>
      <c r="AK554" s="2555"/>
      <c r="AL554" s="2556"/>
      <c r="AM554" s="593"/>
      <c r="AN554" s="595"/>
    </row>
    <row r="555" spans="1:81" s="549" customFormat="1" ht="12.75" customHeight="1">
      <c r="B555" s="539"/>
      <c r="C555" s="550"/>
      <c r="D555" s="550"/>
      <c r="E555" s="550"/>
      <c r="F555" s="2557"/>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8"/>
      <c r="AK555" s="2558"/>
      <c r="AL555" s="255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4" t="s">
        <v>544</v>
      </c>
      <c r="D557" s="2414"/>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4" t="s">
        <v>2629</v>
      </c>
      <c r="G558" s="2392"/>
      <c r="H558" s="2392"/>
      <c r="I558" s="2392"/>
      <c r="J558" s="2392"/>
      <c r="K558" s="2392"/>
      <c r="L558" s="2392"/>
      <c r="M558" s="2392"/>
      <c r="N558" s="2392"/>
      <c r="O558" s="2392"/>
      <c r="P558" s="2392"/>
      <c r="Q558" s="2392"/>
      <c r="R558" s="2392"/>
      <c r="S558" s="2392"/>
      <c r="T558" s="2392"/>
      <c r="U558" s="2392"/>
      <c r="V558" s="2392"/>
      <c r="W558" s="2392"/>
      <c r="X558" s="2392"/>
      <c r="Y558" s="2392"/>
      <c r="Z558" s="2392"/>
      <c r="AA558" s="2392"/>
      <c r="AB558" s="2392"/>
      <c r="AC558" s="2392"/>
      <c r="AD558" s="2392"/>
      <c r="AE558" s="2392"/>
      <c r="AF558" s="2392"/>
      <c r="AG558" s="2392"/>
      <c r="AH558" s="2392"/>
      <c r="AI558" s="2392"/>
      <c r="AJ558" s="2392"/>
      <c r="AK558" s="2392"/>
      <c r="AL558" s="2435"/>
      <c r="AM558" s="593"/>
      <c r="AN558" s="595"/>
      <c r="AS558" s="866"/>
      <c r="AT558" s="866"/>
      <c r="AU558" s="866"/>
      <c r="AV558" s="866"/>
      <c r="AW558" s="866"/>
    </row>
    <row r="559" spans="1:81" s="549" customFormat="1" ht="12.75" customHeight="1">
      <c r="B559" s="802"/>
      <c r="C559" s="802"/>
      <c r="D559" s="802"/>
      <c r="E559" s="802"/>
      <c r="F559" s="2434"/>
      <c r="G559" s="2392"/>
      <c r="H559" s="2392"/>
      <c r="I559" s="2392"/>
      <c r="J559" s="2392"/>
      <c r="K559" s="2392"/>
      <c r="L559" s="2392"/>
      <c r="M559" s="2392"/>
      <c r="N559" s="2392"/>
      <c r="O559" s="2392"/>
      <c r="P559" s="2392"/>
      <c r="Q559" s="2392"/>
      <c r="R559" s="2392"/>
      <c r="S559" s="2392"/>
      <c r="T559" s="2392"/>
      <c r="U559" s="2392"/>
      <c r="V559" s="2392"/>
      <c r="W559" s="2392"/>
      <c r="X559" s="2392"/>
      <c r="Y559" s="2392"/>
      <c r="Z559" s="2392"/>
      <c r="AA559" s="2392"/>
      <c r="AB559" s="2392"/>
      <c r="AC559" s="2392"/>
      <c r="AD559" s="2392"/>
      <c r="AE559" s="2392"/>
      <c r="AF559" s="2392"/>
      <c r="AG559" s="2392"/>
      <c r="AH559" s="2392"/>
      <c r="AI559" s="2392"/>
      <c r="AJ559" s="2392"/>
      <c r="AK559" s="2392"/>
      <c r="AL559" s="2435"/>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4" t="s">
        <v>1553</v>
      </c>
      <c r="G561" s="2392"/>
      <c r="H561" s="2392"/>
      <c r="I561" s="2392"/>
      <c r="J561" s="2392"/>
      <c r="K561" s="2392"/>
      <c r="L561" s="2392"/>
      <c r="M561" s="2392"/>
      <c r="N561" s="2392"/>
      <c r="O561" s="2392"/>
      <c r="P561" s="2392"/>
      <c r="Q561" s="2392"/>
      <c r="R561" s="2392"/>
      <c r="S561" s="2392"/>
      <c r="T561" s="2392"/>
      <c r="U561" s="2392"/>
      <c r="V561" s="2392"/>
      <c r="W561" s="2392"/>
      <c r="X561" s="2392"/>
      <c r="Y561" s="2392"/>
      <c r="Z561" s="2392"/>
      <c r="AA561" s="2392"/>
      <c r="AB561" s="2392"/>
      <c r="AC561" s="2392"/>
      <c r="AD561" s="2392"/>
      <c r="AE561" s="2392"/>
      <c r="AF561" s="2392"/>
      <c r="AG561" s="2392"/>
      <c r="AH561" s="2392"/>
      <c r="AI561" s="2392"/>
      <c r="AJ561" s="2392"/>
      <c r="AK561" s="2392"/>
      <c r="AL561" s="809"/>
      <c r="AM561" s="593"/>
      <c r="AN561" s="595"/>
    </row>
    <row r="562" spans="1:45" s="549" customFormat="1" ht="12.75" customHeight="1">
      <c r="B562" s="802"/>
      <c r="C562" s="802"/>
      <c r="D562" s="802"/>
      <c r="E562" s="802"/>
      <c r="F562" s="2436"/>
      <c r="G562" s="2437"/>
      <c r="H562" s="2437"/>
      <c r="I562" s="2437"/>
      <c r="J562" s="2437"/>
      <c r="K562" s="2437"/>
      <c r="L562" s="2437"/>
      <c r="M562" s="2437"/>
      <c r="N562" s="2437"/>
      <c r="O562" s="2437"/>
      <c r="P562" s="2437"/>
      <c r="Q562" s="2437"/>
      <c r="R562" s="2437"/>
      <c r="S562" s="2437"/>
      <c r="T562" s="2437"/>
      <c r="U562" s="2437"/>
      <c r="V562" s="2437"/>
      <c r="W562" s="2437"/>
      <c r="X562" s="2437"/>
      <c r="Y562" s="2437"/>
      <c r="Z562" s="2437"/>
      <c r="AA562" s="2437"/>
      <c r="AB562" s="2437"/>
      <c r="AC562" s="2437"/>
      <c r="AD562" s="2437"/>
      <c r="AE562" s="2437"/>
      <c r="AF562" s="2437"/>
      <c r="AG562" s="2437"/>
      <c r="AH562" s="2437"/>
      <c r="AI562" s="2437"/>
      <c r="AJ562" s="2437"/>
      <c r="AK562" s="243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3">
        <f>Application!AJ1001</f>
        <v>166001980</v>
      </c>
      <c r="AQ563" s="2433"/>
      <c r="AR563" s="2433"/>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8">
        <f>'Sources and Uses Budget'!S107+'Sources and Uses Budget'!T107</f>
        <v>178608949</v>
      </c>
      <c r="AG564" s="2438"/>
      <c r="AH564" s="2438"/>
      <c r="AI564" s="2438"/>
      <c r="AJ564" s="2438"/>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9">
        <f>IFERROR(AP572,0)</f>
        <v>317280096.19999999</v>
      </c>
      <c r="AG565" s="2439"/>
      <c r="AH565" s="2439"/>
      <c r="AI565" s="2439"/>
      <c r="AJ565" s="2439"/>
      <c r="AK565" s="593"/>
      <c r="AL565" s="593"/>
      <c r="AM565" s="593"/>
      <c r="AN565" s="595"/>
      <c r="AP565" s="2433">
        <f>Application!AJ1054</f>
        <v>31540376.199999999</v>
      </c>
      <c r="AQ565" s="2433"/>
      <c r="AR565" s="2433"/>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0">
        <f>IFERROR(ROUNDDOWN(IF(C557="YES",((1-(AF564/AF565))*2),(1-(AF564/AF565))),2),0)</f>
        <v>0.87</v>
      </c>
      <c r="AG566" s="2440"/>
      <c r="AH566" s="2440"/>
      <c r="AI566" s="2440"/>
      <c r="AJ566" s="2440"/>
      <c r="AK566" s="593"/>
      <c r="AL566" s="593"/>
      <c r="AM566" s="593"/>
      <c r="AN566" s="595"/>
      <c r="AP566" s="2431">
        <f>Application!AJ1058</f>
        <v>33200396</v>
      </c>
      <c r="AQ566" s="2431"/>
      <c r="AR566" s="2431"/>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1">
        <f>IF(((AP565+AP566)/AP563)&gt;0.8,0.8,((AP565+AP566)/AP563))</f>
        <v>0.39</v>
      </c>
      <c r="AQ567" s="2461"/>
      <c r="AR567" s="2461"/>
      <c r="AS567" s="549" t="s">
        <v>2126</v>
      </c>
    </row>
    <row r="568" spans="1:45" s="549" customFormat="1" ht="12.75" customHeight="1">
      <c r="A568" s="622"/>
      <c r="B568" s="2511" t="s">
        <v>1992</v>
      </c>
      <c r="C568" s="2512"/>
      <c r="D568" s="2512"/>
      <c r="E568" s="2512"/>
      <c r="F568" s="2512"/>
      <c r="G568" s="2512"/>
      <c r="H568" s="2512"/>
      <c r="I568" s="2512"/>
      <c r="J568" s="2512"/>
      <c r="K568" s="2512"/>
      <c r="L568" s="2512"/>
      <c r="M568" s="2512"/>
      <c r="N568" s="2512"/>
      <c r="O568" s="2512"/>
      <c r="P568" s="2512"/>
      <c r="Q568" s="2512"/>
      <c r="R568" s="2512"/>
      <c r="S568" s="2512"/>
      <c r="T568" s="2512"/>
      <c r="U568" s="2512"/>
      <c r="V568" s="2512"/>
      <c r="W568" s="2512"/>
      <c r="X568" s="2512"/>
      <c r="Y568" s="2512"/>
      <c r="Z568" s="2512"/>
      <c r="AA568" s="2512"/>
      <c r="AB568" s="2512"/>
      <c r="AC568" s="2512"/>
      <c r="AD568" s="2512"/>
      <c r="AE568" s="2512"/>
      <c r="AF568" s="2512"/>
      <c r="AG568" s="2512"/>
      <c r="AH568" s="2512"/>
      <c r="AI568" s="2512"/>
      <c r="AJ568" s="2513"/>
      <c r="AK568" s="593"/>
      <c r="AL568" s="593"/>
      <c r="AM568" s="593"/>
      <c r="AN568" s="595"/>
    </row>
    <row r="569" spans="1:45" s="549" customFormat="1" ht="12.75" customHeight="1">
      <c r="A569" s="622"/>
      <c r="B569" s="2514"/>
      <c r="C569" s="2515"/>
      <c r="D569" s="2515"/>
      <c r="E569" s="2515"/>
      <c r="F569" s="2515"/>
      <c r="G569" s="2515"/>
      <c r="H569" s="2515"/>
      <c r="I569" s="2515"/>
      <c r="J569" s="2515"/>
      <c r="K569" s="2515"/>
      <c r="L569" s="2515"/>
      <c r="M569" s="2515"/>
      <c r="N569" s="2515"/>
      <c r="O569" s="2515"/>
      <c r="P569" s="2515"/>
      <c r="Q569" s="2515"/>
      <c r="R569" s="2515"/>
      <c r="S569" s="2515"/>
      <c r="T569" s="2515"/>
      <c r="U569" s="2515"/>
      <c r="V569" s="2515"/>
      <c r="W569" s="2515"/>
      <c r="X569" s="2515"/>
      <c r="Y569" s="2515"/>
      <c r="Z569" s="2515"/>
      <c r="AA569" s="2515"/>
      <c r="AB569" s="2515"/>
      <c r="AC569" s="2515"/>
      <c r="AD569" s="2515"/>
      <c r="AE569" s="2515"/>
      <c r="AF569" s="2515"/>
      <c r="AG569" s="2515"/>
      <c r="AH569" s="2515"/>
      <c r="AI569" s="2515"/>
      <c r="AJ569" s="2516"/>
      <c r="AK569" s="593"/>
      <c r="AL569" s="593"/>
      <c r="AM569" s="593"/>
      <c r="AN569" s="595"/>
      <c r="AP569" s="2433">
        <f>AP570-AP565-AP566</f>
        <v>252539324</v>
      </c>
      <c r="AQ569" s="2462"/>
      <c r="AR569" s="2462"/>
      <c r="AS569" s="549" t="s">
        <v>2128</v>
      </c>
    </row>
    <row r="570" spans="1:45" s="549" customFormat="1" ht="12.75" customHeight="1">
      <c r="A570" s="622"/>
      <c r="B570" s="2517"/>
      <c r="C570" s="2518"/>
      <c r="D570" s="2518"/>
      <c r="E570" s="2518"/>
      <c r="F570" s="2518"/>
      <c r="G570" s="2518"/>
      <c r="H570" s="2518"/>
      <c r="I570" s="2518"/>
      <c r="J570" s="2518"/>
      <c r="K570" s="2518"/>
      <c r="L570" s="2518"/>
      <c r="M570" s="2518"/>
      <c r="N570" s="2518"/>
      <c r="O570" s="2518"/>
      <c r="P570" s="2518"/>
      <c r="Q570" s="2518"/>
      <c r="R570" s="2518"/>
      <c r="S570" s="2518"/>
      <c r="T570" s="2518"/>
      <c r="U570" s="2518"/>
      <c r="V570" s="2518"/>
      <c r="W570" s="2518"/>
      <c r="X570" s="2518"/>
      <c r="Y570" s="2518"/>
      <c r="Z570" s="2518"/>
      <c r="AA570" s="2518"/>
      <c r="AB570" s="2518"/>
      <c r="AC570" s="2518"/>
      <c r="AD570" s="2518"/>
      <c r="AE570" s="2518"/>
      <c r="AF570" s="2518"/>
      <c r="AG570" s="2518"/>
      <c r="AH570" s="2518"/>
      <c r="AI570" s="2518"/>
      <c r="AJ570" s="2519"/>
      <c r="AK570" s="593"/>
      <c r="AL570" s="593"/>
      <c r="AM570" s="593"/>
      <c r="AN570" s="595"/>
      <c r="AP570" s="2433">
        <f>Application!AJ1062</f>
        <v>317280096.19999999</v>
      </c>
      <c r="AQ570" s="2433"/>
      <c r="AR570" s="2433"/>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20">
        <f>IFERROR(IF(AND(C554="N/A",C557="N/A"),0,IF(AF566=0,0,IF((AF566*100)&gt;12,12,(AF566*100)))),0)</f>
        <v>12</v>
      </c>
      <c r="AL572" s="2520"/>
      <c r="AM572" s="2521"/>
      <c r="AN572" s="595"/>
      <c r="AP572" s="2422">
        <f>AP569+(AP563*AP567)</f>
        <v>317280096.19999999</v>
      </c>
      <c r="AQ572" s="2423"/>
      <c r="AR572" s="2424"/>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2" t="s">
        <v>1307</v>
      </c>
      <c r="AF575" s="2452"/>
      <c r="AG575" s="2452"/>
      <c r="AH575" s="2452"/>
      <c r="AI575" s="2452"/>
      <c r="AJ575" s="2452"/>
      <c r="AK575" s="245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2" t="s">
        <v>1984</v>
      </c>
      <c r="C577" s="2392"/>
      <c r="D577" s="2392"/>
      <c r="E577" s="2392"/>
      <c r="F577" s="2392"/>
      <c r="G577" s="2392"/>
      <c r="H577" s="2392"/>
      <c r="I577" s="2392"/>
      <c r="J577" s="2392"/>
      <c r="K577" s="2392"/>
      <c r="L577" s="2392"/>
      <c r="M577" s="2392"/>
      <c r="N577" s="2392"/>
      <c r="O577" s="2392"/>
      <c r="P577" s="2392"/>
      <c r="Q577" s="2392"/>
      <c r="R577" s="2392"/>
      <c r="S577" s="2392"/>
      <c r="T577" s="2392"/>
      <c r="U577" s="2392"/>
      <c r="V577" s="2392"/>
      <c r="W577" s="2392"/>
      <c r="X577" s="2392"/>
      <c r="Y577" s="2392"/>
      <c r="Z577" s="2392"/>
      <c r="AA577" s="2392"/>
      <c r="AB577" s="2392"/>
      <c r="AC577" s="2392"/>
      <c r="AD577" s="2392"/>
      <c r="AE577" s="2392"/>
      <c r="AF577" s="2392"/>
      <c r="AG577" s="2392"/>
      <c r="AH577" s="2392"/>
      <c r="AI577" s="2392"/>
      <c r="AJ577" s="2392"/>
      <c r="AK577" s="640"/>
      <c r="AL577" s="571"/>
      <c r="AM577" s="601"/>
      <c r="AN577" s="595"/>
    </row>
    <row r="578" spans="1:42" s="549" customFormat="1" ht="12.75" customHeight="1">
      <c r="A578" s="601"/>
      <c r="B578" s="2392"/>
      <c r="C578" s="2392"/>
      <c r="D578" s="2392"/>
      <c r="E578" s="2392"/>
      <c r="F578" s="2392"/>
      <c r="G578" s="2392"/>
      <c r="H578" s="2392"/>
      <c r="I578" s="2392"/>
      <c r="J578" s="2392"/>
      <c r="K578" s="2392"/>
      <c r="L578" s="2392"/>
      <c r="M578" s="2392"/>
      <c r="N578" s="2392"/>
      <c r="O578" s="2392"/>
      <c r="P578" s="2392"/>
      <c r="Q578" s="2392"/>
      <c r="R578" s="2392"/>
      <c r="S578" s="2392"/>
      <c r="T578" s="2392"/>
      <c r="U578" s="2392"/>
      <c r="V578" s="2392"/>
      <c r="W578" s="2392"/>
      <c r="X578" s="2392"/>
      <c r="Y578" s="2392"/>
      <c r="Z578" s="2392"/>
      <c r="AA578" s="2392"/>
      <c r="AB578" s="2392"/>
      <c r="AC578" s="2392"/>
      <c r="AD578" s="2392"/>
      <c r="AE578" s="2392"/>
      <c r="AF578" s="2392"/>
      <c r="AG578" s="2392"/>
      <c r="AH578" s="2392"/>
      <c r="AI578" s="2392"/>
      <c r="AJ578" s="2392"/>
      <c r="AK578" s="640"/>
      <c r="AL578" s="571"/>
      <c r="AM578" s="601"/>
      <c r="AN578" s="595"/>
    </row>
    <row r="579" spans="1:42" s="549" customFormat="1" ht="12.75" customHeight="1">
      <c r="A579" s="601"/>
      <c r="B579" s="2392"/>
      <c r="C579" s="2392"/>
      <c r="D579" s="2392"/>
      <c r="E579" s="2392"/>
      <c r="F579" s="2392"/>
      <c r="G579" s="2392"/>
      <c r="H579" s="2392"/>
      <c r="I579" s="2392"/>
      <c r="J579" s="2392"/>
      <c r="K579" s="2392"/>
      <c r="L579" s="2392"/>
      <c r="M579" s="2392"/>
      <c r="N579" s="2392"/>
      <c r="O579" s="2392"/>
      <c r="P579" s="2392"/>
      <c r="Q579" s="2392"/>
      <c r="R579" s="2392"/>
      <c r="S579" s="2392"/>
      <c r="T579" s="2392"/>
      <c r="U579" s="2392"/>
      <c r="V579" s="2392"/>
      <c r="W579" s="2392"/>
      <c r="X579" s="2392"/>
      <c r="Y579" s="2392"/>
      <c r="Z579" s="2392"/>
      <c r="AA579" s="2392"/>
      <c r="AB579" s="2392"/>
      <c r="AC579" s="2392"/>
      <c r="AD579" s="2392"/>
      <c r="AE579" s="2392"/>
      <c r="AF579" s="2392"/>
      <c r="AG579" s="2392"/>
      <c r="AH579" s="2392"/>
      <c r="AI579" s="2392"/>
      <c r="AJ579" s="2392"/>
      <c r="AK579" s="640"/>
      <c r="AL579" s="571"/>
      <c r="AM579" s="601"/>
      <c r="AN579" s="595"/>
    </row>
    <row r="580" spans="1:42" s="549" customFormat="1" ht="12.75" customHeight="1">
      <c r="A580" s="601"/>
      <c r="B580" s="2392"/>
      <c r="C580" s="2392"/>
      <c r="D580" s="2392"/>
      <c r="E580" s="2392"/>
      <c r="F580" s="2392"/>
      <c r="G580" s="2392"/>
      <c r="H580" s="2392"/>
      <c r="I580" s="2392"/>
      <c r="J580" s="2392"/>
      <c r="K580" s="2392"/>
      <c r="L580" s="2392"/>
      <c r="M580" s="2392"/>
      <c r="N580" s="2392"/>
      <c r="O580" s="2392"/>
      <c r="P580" s="2392"/>
      <c r="Q580" s="2392"/>
      <c r="R580" s="2392"/>
      <c r="S580" s="2392"/>
      <c r="T580" s="2392"/>
      <c r="U580" s="2392"/>
      <c r="V580" s="2392"/>
      <c r="W580" s="2392"/>
      <c r="X580" s="2392"/>
      <c r="Y580" s="2392"/>
      <c r="Z580" s="2392"/>
      <c r="AA580" s="2392"/>
      <c r="AB580" s="2392"/>
      <c r="AC580" s="2392"/>
      <c r="AD580" s="2392"/>
      <c r="AE580" s="2392"/>
      <c r="AF580" s="2392"/>
      <c r="AG580" s="2392"/>
      <c r="AH580" s="2392"/>
      <c r="AI580" s="2392"/>
      <c r="AJ580" s="2392"/>
      <c r="AK580" s="640"/>
      <c r="AL580" s="571"/>
      <c r="AM580" s="601"/>
      <c r="AN580" s="595"/>
    </row>
    <row r="581" spans="1:42" s="549" customFormat="1" ht="12.75" customHeight="1">
      <c r="A581" s="601"/>
      <c r="B581" s="2392"/>
      <c r="C581" s="2392"/>
      <c r="D581" s="2392"/>
      <c r="E581" s="2392"/>
      <c r="F581" s="2392"/>
      <c r="G581" s="2392"/>
      <c r="H581" s="2392"/>
      <c r="I581" s="2392"/>
      <c r="J581" s="2392"/>
      <c r="K581" s="2392"/>
      <c r="L581" s="2392"/>
      <c r="M581" s="2392"/>
      <c r="N581" s="2392"/>
      <c r="O581" s="2392"/>
      <c r="P581" s="2392"/>
      <c r="Q581" s="2392"/>
      <c r="R581" s="2392"/>
      <c r="S581" s="2392"/>
      <c r="T581" s="2392"/>
      <c r="U581" s="2392"/>
      <c r="V581" s="2392"/>
      <c r="W581" s="2392"/>
      <c r="X581" s="2392"/>
      <c r="Y581" s="2392"/>
      <c r="Z581" s="2392"/>
      <c r="AA581" s="2392"/>
      <c r="AB581" s="2392"/>
      <c r="AC581" s="2392"/>
      <c r="AD581" s="2392"/>
      <c r="AE581" s="2392"/>
      <c r="AF581" s="2392"/>
      <c r="AG581" s="2392"/>
      <c r="AH581" s="2392"/>
      <c r="AI581" s="2392"/>
      <c r="AJ581" s="2392"/>
      <c r="AK581" s="640"/>
      <c r="AL581" s="571"/>
      <c r="AM581" s="601"/>
      <c r="AN581" s="595"/>
    </row>
    <row r="582" spans="1:42" s="549" customFormat="1" ht="12.75" customHeight="1">
      <c r="A582" s="601"/>
      <c r="B582" s="2392"/>
      <c r="C582" s="2392"/>
      <c r="D582" s="2392"/>
      <c r="E582" s="2392"/>
      <c r="F582" s="2392"/>
      <c r="G582" s="2392"/>
      <c r="H582" s="2392"/>
      <c r="I582" s="2392"/>
      <c r="J582" s="2392"/>
      <c r="K582" s="2392"/>
      <c r="L582" s="2392"/>
      <c r="M582" s="2392"/>
      <c r="N582" s="2392"/>
      <c r="O582" s="2392"/>
      <c r="P582" s="2392"/>
      <c r="Q582" s="2392"/>
      <c r="R582" s="2392"/>
      <c r="S582" s="2392"/>
      <c r="T582" s="2392"/>
      <c r="U582" s="2392"/>
      <c r="V582" s="2392"/>
      <c r="W582" s="2392"/>
      <c r="X582" s="2392"/>
      <c r="Y582" s="2392"/>
      <c r="Z582" s="2392"/>
      <c r="AA582" s="2392"/>
      <c r="AB582" s="2392"/>
      <c r="AC582" s="2392"/>
      <c r="AD582" s="2392"/>
      <c r="AE582" s="2392"/>
      <c r="AF582" s="2392"/>
      <c r="AG582" s="2392"/>
      <c r="AH582" s="2392"/>
      <c r="AI582" s="2392"/>
      <c r="AJ582" s="2392"/>
      <c r="AK582" s="640"/>
      <c r="AL582" s="571"/>
      <c r="AM582" s="601"/>
      <c r="AN582" s="595"/>
    </row>
    <row r="583" spans="1:42" s="549" customFormat="1" ht="12.75" customHeight="1">
      <c r="A583" s="601"/>
      <c r="B583" s="2392"/>
      <c r="C583" s="2392"/>
      <c r="D583" s="2392"/>
      <c r="E583" s="2392"/>
      <c r="F583" s="2392"/>
      <c r="G583" s="2392"/>
      <c r="H583" s="2392"/>
      <c r="I583" s="2392"/>
      <c r="J583" s="2392"/>
      <c r="K583" s="2392"/>
      <c r="L583" s="2392"/>
      <c r="M583" s="2392"/>
      <c r="N583" s="2392"/>
      <c r="O583" s="2392"/>
      <c r="P583" s="2392"/>
      <c r="Q583" s="2392"/>
      <c r="R583" s="2392"/>
      <c r="S583" s="2392"/>
      <c r="T583" s="2392"/>
      <c r="U583" s="2392"/>
      <c r="V583" s="2392"/>
      <c r="W583" s="2392"/>
      <c r="X583" s="2392"/>
      <c r="Y583" s="2392"/>
      <c r="Z583" s="2392"/>
      <c r="AA583" s="2392"/>
      <c r="AB583" s="2392"/>
      <c r="AC583" s="2392"/>
      <c r="AD583" s="2392"/>
      <c r="AE583" s="2392"/>
      <c r="AF583" s="2392"/>
      <c r="AG583" s="2392"/>
      <c r="AH583" s="2392"/>
      <c r="AI583" s="2392"/>
      <c r="AJ583" s="2392"/>
      <c r="AK583" s="640"/>
      <c r="AL583" s="571"/>
      <c r="AM583" s="601"/>
      <c r="AN583" s="595"/>
    </row>
    <row r="584" spans="1:42" ht="12.75" customHeight="1">
      <c r="A584" s="601"/>
      <c r="B584" s="2392"/>
      <c r="C584" s="2392"/>
      <c r="D584" s="2392"/>
      <c r="E584" s="2392"/>
      <c r="F584" s="2392"/>
      <c r="G584" s="2392"/>
      <c r="H584" s="2392"/>
      <c r="I584" s="2392"/>
      <c r="J584" s="2392"/>
      <c r="K584" s="2392"/>
      <c r="L584" s="2392"/>
      <c r="M584" s="2392"/>
      <c r="N584" s="2392"/>
      <c r="O584" s="2392"/>
      <c r="P584" s="2392"/>
      <c r="Q584" s="2392"/>
      <c r="R584" s="2392"/>
      <c r="S584" s="2392"/>
      <c r="T584" s="2392"/>
      <c r="U584" s="2392"/>
      <c r="V584" s="2392"/>
      <c r="W584" s="2392"/>
      <c r="X584" s="2392"/>
      <c r="Y584" s="2392"/>
      <c r="Z584" s="2392"/>
      <c r="AA584" s="2392"/>
      <c r="AB584" s="2392"/>
      <c r="AC584" s="2392"/>
      <c r="AD584" s="2392"/>
      <c r="AE584" s="2392"/>
      <c r="AF584" s="2392"/>
      <c r="AG584" s="2392"/>
      <c r="AH584" s="2392"/>
      <c r="AI584" s="2392"/>
      <c r="AJ584" s="2392"/>
      <c r="AK584" s="640"/>
      <c r="AL584" s="571"/>
      <c r="AM584" s="601"/>
    </row>
    <row r="585" spans="1:42" s="549" customFormat="1" ht="12.75" customHeight="1">
      <c r="B585" s="2392"/>
      <c r="C585" s="2392"/>
      <c r="D585" s="2392"/>
      <c r="E585" s="2392"/>
      <c r="F585" s="2392"/>
      <c r="G585" s="2392"/>
      <c r="H585" s="2392"/>
      <c r="I585" s="2392"/>
      <c r="J585" s="2392"/>
      <c r="K585" s="2392"/>
      <c r="L585" s="2392"/>
      <c r="M585" s="2392"/>
      <c r="N585" s="2392"/>
      <c r="O585" s="2392"/>
      <c r="P585" s="2392"/>
      <c r="Q585" s="2392"/>
      <c r="R585" s="2392"/>
      <c r="S585" s="2392"/>
      <c r="T585" s="2392"/>
      <c r="U585" s="2392"/>
      <c r="V585" s="2392"/>
      <c r="W585" s="2392"/>
      <c r="X585" s="2392"/>
      <c r="Y585" s="2392"/>
      <c r="Z585" s="2392"/>
      <c r="AA585" s="2392"/>
      <c r="AB585" s="2392"/>
      <c r="AC585" s="2392"/>
      <c r="AD585" s="2392"/>
      <c r="AE585" s="2392"/>
      <c r="AF585" s="2392"/>
      <c r="AG585" s="2392"/>
      <c r="AH585" s="2392"/>
      <c r="AI585" s="2392"/>
      <c r="AJ585" s="239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3" t="s">
        <v>1331</v>
      </c>
      <c r="AG591" s="2393"/>
      <c r="AH591" s="2393"/>
      <c r="AI591" s="2393"/>
      <c r="AJ591" s="2393"/>
      <c r="AK591" s="2393"/>
      <c r="AL591" s="2393"/>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3" t="s">
        <v>1387</v>
      </c>
      <c r="AG598" s="2393"/>
      <c r="AH598" s="2393"/>
      <c r="AI598" s="2393"/>
      <c r="AJ598" s="2393"/>
      <c r="AK598" s="2393"/>
      <c r="AL598" s="2393"/>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3" t="s">
        <v>1370</v>
      </c>
      <c r="AG604" s="2393"/>
      <c r="AH604" s="2393"/>
      <c r="AI604" s="2393"/>
      <c r="AJ604" s="2393"/>
      <c r="AK604" s="2393"/>
      <c r="AL604" s="2393"/>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3" t="s">
        <v>1390</v>
      </c>
      <c r="AG610" s="2393"/>
      <c r="AH610" s="2393"/>
      <c r="AI610" s="2393"/>
      <c r="AJ610" s="2393"/>
      <c r="AK610" s="2393"/>
      <c r="AL610" s="2393"/>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8" t="s">
        <v>1183</v>
      </c>
      <c r="P614" s="2538"/>
      <c r="Q614" s="2538"/>
      <c r="R614" s="2538"/>
      <c r="S614" s="2538"/>
      <c r="T614" s="2538"/>
      <c r="U614" s="2538"/>
      <c r="V614" s="2538"/>
      <c r="W614" s="2538"/>
      <c r="X614" s="2538"/>
      <c r="Y614" s="2538"/>
      <c r="Z614" s="2538"/>
      <c r="AA614" s="2538"/>
      <c r="AB614" s="253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3" t="s">
        <v>1345</v>
      </c>
      <c r="AG616" s="2393"/>
      <c r="AH616" s="2393"/>
      <c r="AI616" s="2393"/>
      <c r="AJ616" s="2393"/>
      <c r="AK616" s="2393"/>
      <c r="AL616" s="2393"/>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4" t="s">
        <v>686</v>
      </c>
      <c r="I619" s="2394"/>
      <c r="J619" s="932"/>
      <c r="K619" s="932"/>
      <c r="L619" s="932"/>
      <c r="N619" s="22"/>
      <c r="O619" s="22"/>
      <c r="P619" s="22"/>
      <c r="Q619" s="1145" t="s">
        <v>2131</v>
      </c>
      <c r="R619" s="2539"/>
      <c r="S619" s="2539"/>
      <c r="T619" s="2539"/>
      <c r="U619" s="2539"/>
      <c r="V619" s="2539"/>
      <c r="W619" s="2539"/>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0" t="str">
        <f>IF(AND(H619="(i)",NOT(AP595)),AO612,IF(AND(H619="(iv)",OR(R619=AO608,R619=AO607),NOT(AP596)),AO613,""))</f>
        <v/>
      </c>
      <c r="Z620" s="2540"/>
      <c r="AA620" s="2540"/>
      <c r="AB620" s="2540"/>
      <c r="AC620" s="2540"/>
      <c r="AD620" s="2540"/>
      <c r="AE620" s="2540"/>
      <c r="AF620" s="2540"/>
      <c r="AG620" s="2540"/>
      <c r="AH620" s="2540"/>
      <c r="AI620" s="2540"/>
      <c r="AJ620" s="2540"/>
      <c r="AK620" s="2540"/>
      <c r="AL620" s="2540"/>
      <c r="AM620" s="2541"/>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0"/>
      <c r="Z621" s="2540"/>
      <c r="AA621" s="2540"/>
      <c r="AB621" s="2540"/>
      <c r="AC621" s="2540"/>
      <c r="AD621" s="2540"/>
      <c r="AE621" s="2540"/>
      <c r="AF621" s="2540"/>
      <c r="AG621" s="2540"/>
      <c r="AH621" s="2540"/>
      <c r="AI621" s="2540"/>
      <c r="AJ621" s="2540"/>
      <c r="AK621" s="2540"/>
      <c r="AL621" s="2540"/>
      <c r="AM621" s="2541"/>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7" t="s">
        <v>590</v>
      </c>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2537"/>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00" t="s">
        <v>590</v>
      </c>
      <c r="C629" s="2400"/>
      <c r="D629" s="640"/>
      <c r="E629" s="2392" t="s">
        <v>1394</v>
      </c>
      <c r="F629" s="2392"/>
      <c r="G629" s="2392"/>
      <c r="H629" s="2392"/>
      <c r="I629" s="2392"/>
      <c r="J629" s="2392"/>
      <c r="K629" s="2392"/>
      <c r="L629" s="2392"/>
      <c r="M629" s="2392"/>
      <c r="N629" s="2392"/>
      <c r="O629" s="2392"/>
      <c r="P629" s="2392"/>
      <c r="Q629" s="2392"/>
      <c r="R629" s="2392"/>
      <c r="S629" s="2392"/>
      <c r="T629" s="2392"/>
      <c r="U629" s="2392"/>
      <c r="V629" s="2392"/>
      <c r="W629" s="2392"/>
      <c r="X629" s="2392"/>
      <c r="Y629" s="2392"/>
      <c r="Z629" s="2392"/>
      <c r="AA629" s="2392"/>
      <c r="AB629" s="2392"/>
      <c r="AC629" s="2392"/>
      <c r="AD629" s="2392"/>
      <c r="AE629" s="2392"/>
      <c r="AF629" s="2392"/>
      <c r="AG629" s="2392"/>
      <c r="AH629" s="640"/>
      <c r="AI629" s="640"/>
      <c r="AJ629" s="640"/>
      <c r="AK629" s="640"/>
      <c r="AL629" s="640"/>
      <c r="AN629" s="595"/>
    </row>
    <row r="630" spans="1:42" s="549" customFormat="1" ht="12.75" customHeight="1">
      <c r="B630" s="536"/>
      <c r="C630" s="929"/>
      <c r="D630" s="640"/>
      <c r="E630" s="2392"/>
      <c r="F630" s="2392"/>
      <c r="G630" s="2392"/>
      <c r="H630" s="2392"/>
      <c r="I630" s="2392"/>
      <c r="J630" s="2392"/>
      <c r="K630" s="2392"/>
      <c r="L630" s="2392"/>
      <c r="M630" s="2392"/>
      <c r="N630" s="2392"/>
      <c r="O630" s="2392"/>
      <c r="P630" s="2392"/>
      <c r="Q630" s="2392"/>
      <c r="R630" s="2392"/>
      <c r="S630" s="2392"/>
      <c r="T630" s="2392"/>
      <c r="U630" s="2392"/>
      <c r="V630" s="2392"/>
      <c r="W630" s="2392"/>
      <c r="X630" s="2392"/>
      <c r="Y630" s="2392"/>
      <c r="Z630" s="2392"/>
      <c r="AA630" s="2392"/>
      <c r="AB630" s="2392"/>
      <c r="AC630" s="2392"/>
      <c r="AD630" s="2392"/>
      <c r="AE630" s="2392"/>
      <c r="AF630" s="2392"/>
      <c r="AG630" s="2392"/>
      <c r="AH630" s="640"/>
      <c r="AI630" s="640"/>
      <c r="AJ630" s="640"/>
      <c r="AK630" s="640"/>
      <c r="AL630" s="640"/>
      <c r="AN630" s="595"/>
    </row>
    <row r="631" spans="1:42" s="549" customFormat="1" ht="12.75" customHeight="1">
      <c r="B631" s="536"/>
      <c r="C631" s="929"/>
      <c r="D631" s="640"/>
      <c r="E631" s="2392"/>
      <c r="F631" s="2392"/>
      <c r="G631" s="2392"/>
      <c r="H631" s="2392"/>
      <c r="I631" s="2392"/>
      <c r="J631" s="2392"/>
      <c r="K631" s="2392"/>
      <c r="L631" s="2392"/>
      <c r="M631" s="2392"/>
      <c r="N631" s="2392"/>
      <c r="O631" s="2392"/>
      <c r="P631" s="2392"/>
      <c r="Q631" s="2392"/>
      <c r="R631" s="2392"/>
      <c r="S631" s="2392"/>
      <c r="T631" s="2392"/>
      <c r="U631" s="2392"/>
      <c r="V631" s="2392"/>
      <c r="W631" s="2392"/>
      <c r="X631" s="2392"/>
      <c r="Y631" s="2392"/>
      <c r="Z631" s="2392"/>
      <c r="AA631" s="2392"/>
      <c r="AB631" s="2392"/>
      <c r="AC631" s="2392"/>
      <c r="AD631" s="2392"/>
      <c r="AE631" s="2392"/>
      <c r="AF631" s="2392"/>
      <c r="AG631" s="2392"/>
      <c r="AH631" s="640"/>
      <c r="AI631" s="640"/>
      <c r="AJ631" s="640"/>
      <c r="AK631" s="640"/>
      <c r="AL631" s="640"/>
      <c r="AN631" s="595"/>
    </row>
    <row r="632" spans="1:42" s="549" customFormat="1" ht="12.75" customHeight="1">
      <c r="B632" s="536"/>
      <c r="C632" s="929"/>
      <c r="D632" s="640"/>
      <c r="E632" s="2392"/>
      <c r="F632" s="2392"/>
      <c r="G632" s="2392"/>
      <c r="H632" s="2392"/>
      <c r="I632" s="2392"/>
      <c r="J632" s="2392"/>
      <c r="K632" s="2392"/>
      <c r="L632" s="2392"/>
      <c r="M632" s="2392"/>
      <c r="N632" s="2392"/>
      <c r="O632" s="2392"/>
      <c r="P632" s="2392"/>
      <c r="Q632" s="2392"/>
      <c r="R632" s="2392"/>
      <c r="S632" s="2392"/>
      <c r="T632" s="2392"/>
      <c r="U632" s="2392"/>
      <c r="V632" s="2392"/>
      <c r="W632" s="2392"/>
      <c r="X632" s="2392"/>
      <c r="Y632" s="2392"/>
      <c r="Z632" s="2392"/>
      <c r="AA632" s="2392"/>
      <c r="AB632" s="2392"/>
      <c r="AC632" s="2392"/>
      <c r="AD632" s="2392"/>
      <c r="AE632" s="2392"/>
      <c r="AF632" s="2392"/>
      <c r="AG632" s="239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5">
        <f>VLOOKUP($H$619,$AO$599:$AP$604,2,FALSE)+IF(R619=AO607,0,VLOOKUP($I$627,$AO$626:$AP$628,2,FALSE))</f>
        <v>7</v>
      </c>
      <c r="AK634" s="239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6" t="s">
        <v>1682</v>
      </c>
      <c r="F638" s="2536"/>
      <c r="G638" s="2536"/>
      <c r="H638" s="2536"/>
      <c r="I638" s="2536"/>
      <c r="J638" s="2536"/>
      <c r="K638" s="2536"/>
      <c r="L638" s="2536"/>
      <c r="M638" s="2536"/>
      <c r="N638" s="2536"/>
      <c r="O638" s="2536"/>
      <c r="P638" s="2536"/>
      <c r="Q638" s="2536"/>
      <c r="R638" s="2536"/>
      <c r="S638" s="2536"/>
      <c r="T638" s="2536"/>
      <c r="U638" s="2536"/>
      <c r="V638" s="2536"/>
      <c r="W638" s="2536"/>
      <c r="X638" s="2536"/>
      <c r="Y638" s="2536"/>
      <c r="Z638" s="2536"/>
      <c r="AA638" s="2536"/>
      <c r="AB638" s="2536"/>
      <c r="AC638" s="2536"/>
      <c r="AD638" s="2536"/>
      <c r="AE638" s="539"/>
      <c r="AF638" s="2393" t="s">
        <v>1345</v>
      </c>
      <c r="AG638" s="2393"/>
      <c r="AH638" s="2393"/>
      <c r="AI638" s="2393"/>
      <c r="AJ638" s="2393"/>
      <c r="AK638" s="2393"/>
      <c r="AL638" s="2393"/>
      <c r="AM638" s="549"/>
      <c r="AN638" s="674"/>
    </row>
    <row r="639" spans="1:42" s="549" customFormat="1" ht="12.75" customHeight="1">
      <c r="A639" s="675"/>
      <c r="B639" s="536"/>
      <c r="C639" s="929"/>
      <c r="D639" s="659"/>
      <c r="E639" s="2536"/>
      <c r="F639" s="2536"/>
      <c r="G639" s="2536"/>
      <c r="H639" s="2536"/>
      <c r="I639" s="2536"/>
      <c r="J639" s="2536"/>
      <c r="K639" s="2536"/>
      <c r="L639" s="2536"/>
      <c r="M639" s="2536"/>
      <c r="N639" s="2536"/>
      <c r="O639" s="2536"/>
      <c r="P639" s="2536"/>
      <c r="Q639" s="2536"/>
      <c r="R639" s="2536"/>
      <c r="S639" s="2536"/>
      <c r="T639" s="2536"/>
      <c r="U639" s="2536"/>
      <c r="V639" s="2536"/>
      <c r="W639" s="2536"/>
      <c r="X639" s="2536"/>
      <c r="Y639" s="2536"/>
      <c r="Z639" s="2536"/>
      <c r="AA639" s="2536"/>
      <c r="AB639" s="2536"/>
      <c r="AC639" s="2536"/>
      <c r="AD639" s="2536"/>
      <c r="AE639" s="536"/>
      <c r="AF639" s="536"/>
      <c r="AG639" s="536"/>
      <c r="AH639" s="536"/>
      <c r="AI639" s="536"/>
      <c r="AJ639" s="536"/>
      <c r="AK639" s="536"/>
      <c r="AL639" s="536"/>
      <c r="AN639" s="595"/>
    </row>
    <row r="640" spans="1:42" s="549" customFormat="1" ht="12.75" customHeight="1">
      <c r="B640" s="536"/>
      <c r="C640" s="927"/>
      <c r="D640" s="659"/>
      <c r="E640" s="2536"/>
      <c r="F640" s="2536"/>
      <c r="G640" s="2536"/>
      <c r="H640" s="2536"/>
      <c r="I640" s="2536"/>
      <c r="J640" s="2536"/>
      <c r="K640" s="2536"/>
      <c r="L640" s="2536"/>
      <c r="M640" s="2536"/>
      <c r="N640" s="2536"/>
      <c r="O640" s="2536"/>
      <c r="P640" s="2536"/>
      <c r="Q640" s="2536"/>
      <c r="R640" s="2536"/>
      <c r="S640" s="2536"/>
      <c r="T640" s="2536"/>
      <c r="U640" s="2536"/>
      <c r="V640" s="2536"/>
      <c r="W640" s="2536"/>
      <c r="X640" s="2536"/>
      <c r="Y640" s="2536"/>
      <c r="Z640" s="2536"/>
      <c r="AA640" s="2536"/>
      <c r="AB640" s="2536"/>
      <c r="AC640" s="2536"/>
      <c r="AD640" s="2536"/>
      <c r="AE640" s="536"/>
      <c r="AF640" s="536"/>
      <c r="AG640" s="536"/>
      <c r="AH640" s="536"/>
      <c r="AI640" s="536"/>
      <c r="AJ640" s="536"/>
      <c r="AK640" s="536"/>
      <c r="AL640" s="536"/>
      <c r="AN640" s="595"/>
    </row>
    <row r="641" spans="1:42" s="549" customFormat="1" ht="12.75" customHeight="1">
      <c r="B641" s="536"/>
      <c r="C641" s="927"/>
      <c r="D641" s="659"/>
      <c r="E641" s="2536"/>
      <c r="F641" s="2536"/>
      <c r="G641" s="2536"/>
      <c r="H641" s="2536"/>
      <c r="I641" s="2536"/>
      <c r="J641" s="2536"/>
      <c r="K641" s="2536"/>
      <c r="L641" s="2536"/>
      <c r="M641" s="2536"/>
      <c r="N641" s="2536"/>
      <c r="O641" s="2536"/>
      <c r="P641" s="2536"/>
      <c r="Q641" s="2536"/>
      <c r="R641" s="2536"/>
      <c r="S641" s="2536"/>
      <c r="T641" s="2536"/>
      <c r="U641" s="2536"/>
      <c r="V641" s="2536"/>
      <c r="W641" s="2536"/>
      <c r="X641" s="2536"/>
      <c r="Y641" s="2536"/>
      <c r="Z641" s="2536"/>
      <c r="AA641" s="2536"/>
      <c r="AB641" s="2536"/>
      <c r="AC641" s="2536"/>
      <c r="AD641" s="2536"/>
      <c r="AE641" s="536"/>
      <c r="AF641" s="536"/>
      <c r="AG641" s="536"/>
      <c r="AH641" s="536"/>
      <c r="AI641" s="536"/>
      <c r="AJ641" s="536"/>
      <c r="AK641" s="536"/>
      <c r="AL641" s="536"/>
      <c r="AN641" s="595"/>
    </row>
    <row r="642" spans="1:42" s="549" customFormat="1" ht="12.75" customHeight="1">
      <c r="B642" s="536"/>
      <c r="C642" s="927"/>
      <c r="D642" s="659"/>
      <c r="E642" s="2536"/>
      <c r="F642" s="2536"/>
      <c r="G642" s="2536"/>
      <c r="H642" s="2536"/>
      <c r="I642" s="2536"/>
      <c r="J642" s="2536"/>
      <c r="K642" s="2536"/>
      <c r="L642" s="2536"/>
      <c r="M642" s="2536"/>
      <c r="N642" s="2536"/>
      <c r="O642" s="2536"/>
      <c r="P642" s="2536"/>
      <c r="Q642" s="2536"/>
      <c r="R642" s="2536"/>
      <c r="S642" s="2536"/>
      <c r="T642" s="2536"/>
      <c r="U642" s="2536"/>
      <c r="V642" s="2536"/>
      <c r="W642" s="2536"/>
      <c r="X642" s="2536"/>
      <c r="Y642" s="2536"/>
      <c r="Z642" s="2536"/>
      <c r="AA642" s="2536"/>
      <c r="AB642" s="2536"/>
      <c r="AC642" s="2536"/>
      <c r="AD642" s="2536"/>
      <c r="AE642" s="536"/>
      <c r="AF642" s="536"/>
      <c r="AG642" s="536"/>
      <c r="AH642" s="536"/>
      <c r="AI642" s="536"/>
      <c r="AJ642" s="536"/>
      <c r="AK642" s="536"/>
      <c r="AL642" s="536"/>
      <c r="AN642" s="595"/>
    </row>
    <row r="643" spans="1:42" s="549" customFormat="1" ht="12.75" customHeight="1">
      <c r="B643" s="536"/>
      <c r="C643" s="927"/>
      <c r="D643" s="659"/>
      <c r="E643" s="2536"/>
      <c r="F643" s="2536"/>
      <c r="G643" s="2536"/>
      <c r="H643" s="2536"/>
      <c r="I643" s="2536"/>
      <c r="J643" s="2536"/>
      <c r="K643" s="2536"/>
      <c r="L643" s="2536"/>
      <c r="M643" s="2536"/>
      <c r="N643" s="2536"/>
      <c r="O643" s="2536"/>
      <c r="P643" s="2536"/>
      <c r="Q643" s="2536"/>
      <c r="R643" s="2536"/>
      <c r="S643" s="2536"/>
      <c r="T643" s="2536"/>
      <c r="U643" s="2536"/>
      <c r="V643" s="2536"/>
      <c r="W643" s="2536"/>
      <c r="X643" s="2536"/>
      <c r="Y643" s="2536"/>
      <c r="Z643" s="2536"/>
      <c r="AA643" s="2536"/>
      <c r="AB643" s="2536"/>
      <c r="AC643" s="2536"/>
      <c r="AD643" s="2536"/>
      <c r="AE643" s="536"/>
      <c r="AF643" s="536"/>
      <c r="AG643" s="536"/>
      <c r="AH643" s="536"/>
      <c r="AI643" s="536"/>
      <c r="AJ643" s="536"/>
      <c r="AK643" s="536"/>
      <c r="AL643" s="536"/>
      <c r="AN643" s="595"/>
    </row>
    <row r="644" spans="1:42" s="549" customFormat="1" ht="12.75" customHeight="1">
      <c r="A644" s="635"/>
      <c r="B644" s="614"/>
      <c r="C644" s="936"/>
      <c r="D644" s="659"/>
      <c r="E644" s="2536"/>
      <c r="F644" s="2536"/>
      <c r="G644" s="2536"/>
      <c r="H644" s="2536"/>
      <c r="I644" s="2536"/>
      <c r="J644" s="2536"/>
      <c r="K644" s="2536"/>
      <c r="L644" s="2536"/>
      <c r="M644" s="2536"/>
      <c r="N644" s="2536"/>
      <c r="O644" s="2536"/>
      <c r="P644" s="2536"/>
      <c r="Q644" s="2536"/>
      <c r="R644" s="2536"/>
      <c r="S644" s="2536"/>
      <c r="T644" s="2536"/>
      <c r="U644" s="2536"/>
      <c r="V644" s="2536"/>
      <c r="W644" s="2536"/>
      <c r="X644" s="2536"/>
      <c r="Y644" s="2536"/>
      <c r="Z644" s="2536"/>
      <c r="AA644" s="2536"/>
      <c r="AB644" s="2536"/>
      <c r="AC644" s="2536"/>
      <c r="AD644" s="2536"/>
      <c r="AE644" s="614"/>
      <c r="AF644" s="614"/>
      <c r="AG644" s="614"/>
      <c r="AH644" s="614"/>
      <c r="AI644" s="614"/>
      <c r="AJ644" s="614"/>
      <c r="AK644" s="536"/>
      <c r="AL644" s="536"/>
      <c r="AN644" s="595"/>
    </row>
    <row r="645" spans="1:42" s="549" customFormat="1" ht="12.75" customHeight="1">
      <c r="B645" s="614"/>
      <c r="C645" s="936"/>
      <c r="D645" s="659"/>
      <c r="E645" s="2536"/>
      <c r="F645" s="2536"/>
      <c r="G645" s="2536"/>
      <c r="H645" s="2536"/>
      <c r="I645" s="2536"/>
      <c r="J645" s="2536"/>
      <c r="K645" s="2536"/>
      <c r="L645" s="2536"/>
      <c r="M645" s="2536"/>
      <c r="N645" s="2536"/>
      <c r="O645" s="2536"/>
      <c r="P645" s="2536"/>
      <c r="Q645" s="2536"/>
      <c r="R645" s="2536"/>
      <c r="S645" s="2536"/>
      <c r="T645" s="2536"/>
      <c r="U645" s="2536"/>
      <c r="V645" s="2536"/>
      <c r="W645" s="2536"/>
      <c r="X645" s="2536"/>
      <c r="Y645" s="2536"/>
      <c r="Z645" s="2536"/>
      <c r="AA645" s="2536"/>
      <c r="AB645" s="2536"/>
      <c r="AC645" s="2536"/>
      <c r="AD645" s="2536"/>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00" t="s">
        <v>590</v>
      </c>
      <c r="Y647" s="2400"/>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3" t="s">
        <v>1399</v>
      </c>
      <c r="AG649" s="2393"/>
      <c r="AH649" s="2393"/>
      <c r="AI649" s="2393"/>
      <c r="AJ649" s="2393"/>
      <c r="AK649" s="2393"/>
      <c r="AL649" s="2393"/>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4" t="s">
        <v>686</v>
      </c>
      <c r="I651" s="2394"/>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5">
        <f>VLOOKUP($H$651,$AO$618:$AP$620,2,FALSE)</f>
        <v>3</v>
      </c>
      <c r="AK653" s="2396"/>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2" t="s">
        <v>2053</v>
      </c>
      <c r="F657" s="2392"/>
      <c r="G657" s="2392"/>
      <c r="H657" s="2392"/>
      <c r="I657" s="2392"/>
      <c r="J657" s="2392"/>
      <c r="K657" s="2392"/>
      <c r="L657" s="2392"/>
      <c r="M657" s="2392"/>
      <c r="N657" s="2392"/>
      <c r="O657" s="2392"/>
      <c r="P657" s="2392"/>
      <c r="Q657" s="2392"/>
      <c r="R657" s="2392"/>
      <c r="S657" s="2392"/>
      <c r="T657" s="2392"/>
      <c r="U657" s="2392"/>
      <c r="V657" s="2392"/>
      <c r="W657" s="2392"/>
      <c r="X657" s="2392"/>
      <c r="Y657" s="2392"/>
      <c r="Z657" s="2392"/>
      <c r="AA657" s="2392"/>
      <c r="AB657" s="2392"/>
      <c r="AC657" s="2392"/>
      <c r="AD657" s="2392"/>
      <c r="AE657" s="536"/>
      <c r="AF657" s="2393" t="s">
        <v>1345</v>
      </c>
      <c r="AG657" s="2393"/>
      <c r="AH657" s="2393"/>
      <c r="AI657" s="2393"/>
      <c r="AJ657" s="2393"/>
      <c r="AK657" s="2393"/>
      <c r="AL657" s="2393"/>
      <c r="AN657" s="595"/>
    </row>
    <row r="658" spans="1:42" s="549" customFormat="1" ht="12.75" customHeight="1">
      <c r="B658" s="536"/>
      <c r="C658" s="536"/>
      <c r="D658" s="659"/>
      <c r="E658" s="2392"/>
      <c r="F658" s="2392"/>
      <c r="G658" s="2392"/>
      <c r="H658" s="2392"/>
      <c r="I658" s="2392"/>
      <c r="J658" s="2392"/>
      <c r="K658" s="2392"/>
      <c r="L658" s="2392"/>
      <c r="M658" s="2392"/>
      <c r="N658" s="2392"/>
      <c r="O658" s="2392"/>
      <c r="P658" s="2392"/>
      <c r="Q658" s="2392"/>
      <c r="R658" s="2392"/>
      <c r="S658" s="2392"/>
      <c r="T658" s="2392"/>
      <c r="U658" s="2392"/>
      <c r="V658" s="2392"/>
      <c r="W658" s="2392"/>
      <c r="X658" s="2392"/>
      <c r="Y658" s="2392"/>
      <c r="Z658" s="2392"/>
      <c r="AA658" s="2392"/>
      <c r="AB658" s="2392"/>
      <c r="AC658" s="2392"/>
      <c r="AD658" s="239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3" t="s">
        <v>1399</v>
      </c>
      <c r="AG660" s="2393"/>
      <c r="AH660" s="2393"/>
      <c r="AI660" s="2393"/>
      <c r="AJ660" s="2393"/>
      <c r="AK660" s="2393"/>
      <c r="AL660" s="2393"/>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4" t="s">
        <v>508</v>
      </c>
      <c r="I663" s="2394"/>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5">
        <f>VLOOKUP(H663,AT618:AU620,2,FALSE)</f>
        <v>2</v>
      </c>
      <c r="AK665" s="239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2" t="s">
        <v>1409</v>
      </c>
      <c r="F670" s="2392"/>
      <c r="G670" s="2392"/>
      <c r="H670" s="2392"/>
      <c r="I670" s="2392"/>
      <c r="J670" s="2392"/>
      <c r="K670" s="2392"/>
      <c r="L670" s="2392"/>
      <c r="M670" s="2392"/>
      <c r="N670" s="2392"/>
      <c r="O670" s="2392"/>
      <c r="P670" s="2392"/>
      <c r="Q670" s="2392"/>
      <c r="R670" s="2392"/>
      <c r="S670" s="2392"/>
      <c r="T670" s="2392"/>
      <c r="U670" s="2392"/>
      <c r="V670" s="2392"/>
      <c r="W670" s="2392"/>
      <c r="X670" s="2392"/>
      <c r="Y670" s="2392"/>
      <c r="Z670" s="2392"/>
      <c r="AA670" s="2392"/>
      <c r="AB670" s="2392"/>
      <c r="AC670" s="2392"/>
      <c r="AD670" s="536"/>
      <c r="AE670" s="536"/>
      <c r="AF670" s="2393" t="s">
        <v>1370</v>
      </c>
      <c r="AG670" s="2393"/>
      <c r="AH670" s="2393"/>
      <c r="AI670" s="2393"/>
      <c r="AJ670" s="2393"/>
      <c r="AK670" s="2393"/>
      <c r="AL670" s="2393"/>
      <c r="AN670" s="595"/>
    </row>
    <row r="671" spans="1:42" s="549" customFormat="1" ht="12.75" customHeight="1">
      <c r="B671" s="536"/>
      <c r="C671" s="539"/>
      <c r="D671" s="536"/>
      <c r="E671" s="2392"/>
      <c r="F671" s="2392"/>
      <c r="G671" s="2392"/>
      <c r="H671" s="2392"/>
      <c r="I671" s="2392"/>
      <c r="J671" s="2392"/>
      <c r="K671" s="2392"/>
      <c r="L671" s="2392"/>
      <c r="M671" s="2392"/>
      <c r="N671" s="2392"/>
      <c r="O671" s="2392"/>
      <c r="P671" s="2392"/>
      <c r="Q671" s="2392"/>
      <c r="R671" s="2392"/>
      <c r="S671" s="2392"/>
      <c r="T671" s="2392"/>
      <c r="U671" s="2392"/>
      <c r="V671" s="2392"/>
      <c r="W671" s="2392"/>
      <c r="X671" s="2392"/>
      <c r="Y671" s="2392"/>
      <c r="Z671" s="2392"/>
      <c r="AA671" s="2392"/>
      <c r="AB671" s="2392"/>
      <c r="AC671" s="2392"/>
      <c r="AD671" s="536"/>
      <c r="AE671" s="536"/>
      <c r="AF671" s="536"/>
      <c r="AG671" s="536"/>
      <c r="AH671" s="536"/>
      <c r="AI671" s="536"/>
      <c r="AJ671" s="536"/>
      <c r="AK671" s="536"/>
      <c r="AL671" s="536"/>
      <c r="AN671" s="595"/>
    </row>
    <row r="672" spans="1:42" s="549" customFormat="1" ht="12.75" customHeight="1">
      <c r="B672" s="536"/>
      <c r="C672" s="539"/>
      <c r="D672" s="659"/>
      <c r="E672" s="2392"/>
      <c r="F672" s="2392"/>
      <c r="G672" s="2392"/>
      <c r="H672" s="2392"/>
      <c r="I672" s="2392"/>
      <c r="J672" s="2392"/>
      <c r="K672" s="2392"/>
      <c r="L672" s="2392"/>
      <c r="M672" s="2392"/>
      <c r="N672" s="2392"/>
      <c r="O672" s="2392"/>
      <c r="P672" s="2392"/>
      <c r="Q672" s="2392"/>
      <c r="R672" s="2392"/>
      <c r="S672" s="2392"/>
      <c r="T672" s="2392"/>
      <c r="U672" s="2392"/>
      <c r="V672" s="2392"/>
      <c r="W672" s="2392"/>
      <c r="X672" s="2392"/>
      <c r="Y672" s="2392"/>
      <c r="Z672" s="2392"/>
      <c r="AA672" s="2392"/>
      <c r="AB672" s="2392"/>
      <c r="AC672" s="239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2" t="s">
        <v>1410</v>
      </c>
      <c r="F674" s="2392"/>
      <c r="G674" s="2392"/>
      <c r="H674" s="2392"/>
      <c r="I674" s="2392"/>
      <c r="J674" s="2392"/>
      <c r="K674" s="2392"/>
      <c r="L674" s="2392"/>
      <c r="M674" s="2392"/>
      <c r="N674" s="2392"/>
      <c r="O674" s="2392"/>
      <c r="P674" s="2392"/>
      <c r="Q674" s="2392"/>
      <c r="R674" s="2392"/>
      <c r="S674" s="2392"/>
      <c r="T674" s="2392"/>
      <c r="U674" s="2392"/>
      <c r="V674" s="2392"/>
      <c r="W674" s="2392"/>
      <c r="X674" s="2392"/>
      <c r="Y674" s="2392"/>
      <c r="Z674" s="2392"/>
      <c r="AA674" s="2392"/>
      <c r="AB674" s="2392"/>
      <c r="AC674" s="2392"/>
      <c r="AD674" s="536"/>
      <c r="AE674" s="536"/>
      <c r="AF674" s="2393" t="s">
        <v>1390</v>
      </c>
      <c r="AG674" s="2393"/>
      <c r="AH674" s="2393"/>
      <c r="AI674" s="2393"/>
      <c r="AJ674" s="2393"/>
      <c r="AK674" s="2393"/>
      <c r="AL674" s="2393"/>
      <c r="AN674" s="595"/>
    </row>
    <row r="675" spans="1:42" s="549" customFormat="1" ht="12.75" customHeight="1">
      <c r="B675" s="536"/>
      <c r="C675" s="539"/>
      <c r="D675" s="536"/>
      <c r="E675" s="2392"/>
      <c r="F675" s="2392"/>
      <c r="G675" s="2392"/>
      <c r="H675" s="2392"/>
      <c r="I675" s="2392"/>
      <c r="J675" s="2392"/>
      <c r="K675" s="2392"/>
      <c r="L675" s="2392"/>
      <c r="M675" s="2392"/>
      <c r="N675" s="2392"/>
      <c r="O675" s="2392"/>
      <c r="P675" s="2392"/>
      <c r="Q675" s="2392"/>
      <c r="R675" s="2392"/>
      <c r="S675" s="2392"/>
      <c r="T675" s="2392"/>
      <c r="U675" s="2392"/>
      <c r="V675" s="2392"/>
      <c r="W675" s="2392"/>
      <c r="X675" s="2392"/>
      <c r="Y675" s="2392"/>
      <c r="Z675" s="2392"/>
      <c r="AA675" s="2392"/>
      <c r="AB675" s="2392"/>
      <c r="AC675" s="2392"/>
      <c r="AD675" s="536"/>
      <c r="AE675" s="536"/>
      <c r="AF675" s="536"/>
      <c r="AG675" s="536"/>
      <c r="AH675" s="536"/>
      <c r="AI675" s="536"/>
      <c r="AJ675" s="536"/>
      <c r="AK675" s="536"/>
      <c r="AL675" s="536"/>
      <c r="AN675" s="595"/>
    </row>
    <row r="676" spans="1:42" s="549" customFormat="1" ht="15" customHeight="1">
      <c r="B676" s="536"/>
      <c r="C676" s="539"/>
      <c r="D676" s="659"/>
      <c r="E676" s="2392"/>
      <c r="F676" s="2392"/>
      <c r="G676" s="2392"/>
      <c r="H676" s="2392"/>
      <c r="I676" s="2392"/>
      <c r="J676" s="2392"/>
      <c r="K676" s="2392"/>
      <c r="L676" s="2392"/>
      <c r="M676" s="2392"/>
      <c r="N676" s="2392"/>
      <c r="O676" s="2392"/>
      <c r="P676" s="2392"/>
      <c r="Q676" s="2392"/>
      <c r="R676" s="2392"/>
      <c r="S676" s="2392"/>
      <c r="T676" s="2392"/>
      <c r="U676" s="2392"/>
      <c r="V676" s="2392"/>
      <c r="W676" s="2392"/>
      <c r="X676" s="2392"/>
      <c r="Y676" s="2392"/>
      <c r="Z676" s="2392"/>
      <c r="AA676" s="2392"/>
      <c r="AB676" s="2392"/>
      <c r="AC676" s="239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92" t="s">
        <v>1411</v>
      </c>
      <c r="F678" s="2392"/>
      <c r="G678" s="2392"/>
      <c r="H678" s="2392"/>
      <c r="I678" s="2392"/>
      <c r="J678" s="2392"/>
      <c r="K678" s="2392"/>
      <c r="L678" s="2392"/>
      <c r="M678" s="2392"/>
      <c r="N678" s="2392"/>
      <c r="O678" s="2392"/>
      <c r="P678" s="2392"/>
      <c r="Q678" s="2392"/>
      <c r="R678" s="2392"/>
      <c r="S678" s="2392"/>
      <c r="T678" s="2392"/>
      <c r="U678" s="2392"/>
      <c r="V678" s="2392"/>
      <c r="W678" s="2392"/>
      <c r="X678" s="2392"/>
      <c r="Y678" s="2392"/>
      <c r="Z678" s="2392"/>
      <c r="AA678" s="2392"/>
      <c r="AB678" s="2392"/>
      <c r="AC678" s="2392"/>
      <c r="AD678" s="536"/>
      <c r="AE678" s="536"/>
      <c r="AF678" s="2393" t="s">
        <v>1345</v>
      </c>
      <c r="AG678" s="2393"/>
      <c r="AH678" s="2393"/>
      <c r="AI678" s="2393"/>
      <c r="AJ678" s="2393"/>
      <c r="AK678" s="2393"/>
      <c r="AL678" s="2393"/>
      <c r="AN678" s="595"/>
    </row>
    <row r="679" spans="1:42" s="549" customFormat="1" ht="12.75" customHeight="1">
      <c r="B679" s="536"/>
      <c r="C679" s="927"/>
      <c r="D679" s="536"/>
      <c r="E679" s="2392"/>
      <c r="F679" s="2392"/>
      <c r="G679" s="2392"/>
      <c r="H679" s="2392"/>
      <c r="I679" s="2392"/>
      <c r="J679" s="2392"/>
      <c r="K679" s="2392"/>
      <c r="L679" s="2392"/>
      <c r="M679" s="2392"/>
      <c r="N679" s="2392"/>
      <c r="O679" s="2392"/>
      <c r="P679" s="2392"/>
      <c r="Q679" s="2392"/>
      <c r="R679" s="2392"/>
      <c r="S679" s="2392"/>
      <c r="T679" s="2392"/>
      <c r="U679" s="2392"/>
      <c r="V679" s="2392"/>
      <c r="W679" s="2392"/>
      <c r="X679" s="2392"/>
      <c r="Y679" s="2392"/>
      <c r="Z679" s="2392"/>
      <c r="AA679" s="2392"/>
      <c r="AB679" s="2392"/>
      <c r="AC679" s="2392"/>
      <c r="AD679" s="536"/>
      <c r="AE679" s="2393"/>
      <c r="AF679" s="2393"/>
      <c r="AG679" s="2393"/>
      <c r="AH679" s="2393"/>
      <c r="AI679" s="2393"/>
      <c r="AJ679" s="2393"/>
      <c r="AK679" s="2393"/>
      <c r="AL679" s="592"/>
      <c r="AN679" s="595"/>
      <c r="AO679" s="549" t="s">
        <v>590</v>
      </c>
      <c r="AP679" s="669">
        <v>0</v>
      </c>
    </row>
    <row r="680" spans="1:42" s="549" customFormat="1" ht="12.75" customHeight="1">
      <c r="A680" s="675"/>
      <c r="B680" s="536"/>
      <c r="C680" s="536"/>
      <c r="D680" s="659"/>
      <c r="E680" s="2392"/>
      <c r="F680" s="2392"/>
      <c r="G680" s="2392"/>
      <c r="H680" s="2392"/>
      <c r="I680" s="2392"/>
      <c r="J680" s="2392"/>
      <c r="K680" s="2392"/>
      <c r="L680" s="2392"/>
      <c r="M680" s="2392"/>
      <c r="N680" s="2392"/>
      <c r="O680" s="2392"/>
      <c r="P680" s="2392"/>
      <c r="Q680" s="2392"/>
      <c r="R680" s="2392"/>
      <c r="S680" s="2392"/>
      <c r="T680" s="2392"/>
      <c r="U680" s="2392"/>
      <c r="V680" s="2392"/>
      <c r="W680" s="2392"/>
      <c r="X680" s="2392"/>
      <c r="Y680" s="2392"/>
      <c r="Z680" s="2392"/>
      <c r="AA680" s="2392"/>
      <c r="AB680" s="2392"/>
      <c r="AC680" s="2392"/>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2" t="s">
        <v>1412</v>
      </c>
      <c r="F682" s="2392"/>
      <c r="G682" s="2392"/>
      <c r="H682" s="2392"/>
      <c r="I682" s="2392"/>
      <c r="J682" s="2392"/>
      <c r="K682" s="2392"/>
      <c r="L682" s="2392"/>
      <c r="M682" s="2392"/>
      <c r="N682" s="2392"/>
      <c r="O682" s="2392"/>
      <c r="P682" s="2392"/>
      <c r="Q682" s="2392"/>
      <c r="R682" s="2392"/>
      <c r="S682" s="2392"/>
      <c r="T682" s="2392"/>
      <c r="U682" s="2392"/>
      <c r="V682" s="2392"/>
      <c r="W682" s="2392"/>
      <c r="X682" s="2392"/>
      <c r="Y682" s="2392"/>
      <c r="Z682" s="2392"/>
      <c r="AA682" s="2392"/>
      <c r="AB682" s="2392"/>
      <c r="AC682" s="2392"/>
      <c r="AD682" s="536"/>
      <c r="AE682" s="536"/>
      <c r="AF682" s="2393" t="s">
        <v>1390</v>
      </c>
      <c r="AG682" s="2393"/>
      <c r="AH682" s="2393"/>
      <c r="AI682" s="2393"/>
      <c r="AJ682" s="2393"/>
      <c r="AK682" s="2393"/>
      <c r="AL682" s="2393"/>
      <c r="AN682" s="595"/>
    </row>
    <row r="683" spans="1:42" s="549" customFormat="1" ht="12.75" customHeight="1">
      <c r="A683" s="666"/>
      <c r="B683" s="536"/>
      <c r="C683" s="943"/>
      <c r="D683" s="659"/>
      <c r="E683" s="2392"/>
      <c r="F683" s="2392"/>
      <c r="G683" s="2392"/>
      <c r="H683" s="2392"/>
      <c r="I683" s="2392"/>
      <c r="J683" s="2392"/>
      <c r="K683" s="2392"/>
      <c r="L683" s="2392"/>
      <c r="M683" s="2392"/>
      <c r="N683" s="2392"/>
      <c r="O683" s="2392"/>
      <c r="P683" s="2392"/>
      <c r="Q683" s="2392"/>
      <c r="R683" s="2392"/>
      <c r="S683" s="2392"/>
      <c r="T683" s="2392"/>
      <c r="U683" s="2392"/>
      <c r="V683" s="2392"/>
      <c r="W683" s="2392"/>
      <c r="X683" s="2392"/>
      <c r="Y683" s="2392"/>
      <c r="Z683" s="2392"/>
      <c r="AA683" s="2392"/>
      <c r="AB683" s="2392"/>
      <c r="AC683" s="239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2"/>
      <c r="F684" s="2392"/>
      <c r="G684" s="2392"/>
      <c r="H684" s="2392"/>
      <c r="I684" s="2392"/>
      <c r="J684" s="2392"/>
      <c r="K684" s="2392"/>
      <c r="L684" s="2392"/>
      <c r="M684" s="2392"/>
      <c r="N684" s="2392"/>
      <c r="O684" s="2392"/>
      <c r="P684" s="2392"/>
      <c r="Q684" s="2392"/>
      <c r="R684" s="2392"/>
      <c r="S684" s="2392"/>
      <c r="T684" s="2392"/>
      <c r="U684" s="2392"/>
      <c r="V684" s="2392"/>
      <c r="W684" s="2392"/>
      <c r="X684" s="2392"/>
      <c r="Y684" s="2392"/>
      <c r="Z684" s="2392"/>
      <c r="AA684" s="2392"/>
      <c r="AB684" s="2392"/>
      <c r="AC684" s="239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2" t="s">
        <v>1413</v>
      </c>
      <c r="F686" s="2392"/>
      <c r="G686" s="2392"/>
      <c r="H686" s="2392"/>
      <c r="I686" s="2392"/>
      <c r="J686" s="2392"/>
      <c r="K686" s="2392"/>
      <c r="L686" s="2392"/>
      <c r="M686" s="2392"/>
      <c r="N686" s="2392"/>
      <c r="O686" s="2392"/>
      <c r="P686" s="2392"/>
      <c r="Q686" s="2392"/>
      <c r="R686" s="2392"/>
      <c r="S686" s="2392"/>
      <c r="T686" s="2392"/>
      <c r="U686" s="2392"/>
      <c r="V686" s="2392"/>
      <c r="W686" s="2392"/>
      <c r="X686" s="2392"/>
      <c r="Y686" s="2392"/>
      <c r="Z686" s="2392"/>
      <c r="AA686" s="2392"/>
      <c r="AB686" s="2392"/>
      <c r="AC686" s="2392"/>
      <c r="AD686" s="536"/>
      <c r="AE686" s="536"/>
      <c r="AF686" s="2393" t="s">
        <v>1345</v>
      </c>
      <c r="AG686" s="2393"/>
      <c r="AH686" s="2393"/>
      <c r="AI686" s="2393"/>
      <c r="AJ686" s="2393"/>
      <c r="AK686" s="2393"/>
      <c r="AL686" s="2393"/>
      <c r="AM686" s="594"/>
      <c r="AN686" s="595"/>
    </row>
    <row r="687" spans="1:42" s="549" customFormat="1" ht="12.75" customHeight="1">
      <c r="B687" s="536"/>
      <c r="C687" s="927"/>
      <c r="D687" s="659"/>
      <c r="E687" s="2392"/>
      <c r="F687" s="2392"/>
      <c r="G687" s="2392"/>
      <c r="H687" s="2392"/>
      <c r="I687" s="2392"/>
      <c r="J687" s="2392"/>
      <c r="K687" s="2392"/>
      <c r="L687" s="2392"/>
      <c r="M687" s="2392"/>
      <c r="N687" s="2392"/>
      <c r="O687" s="2392"/>
      <c r="P687" s="2392"/>
      <c r="Q687" s="2392"/>
      <c r="R687" s="2392"/>
      <c r="S687" s="2392"/>
      <c r="T687" s="2392"/>
      <c r="U687" s="2392"/>
      <c r="V687" s="2392"/>
      <c r="W687" s="2392"/>
      <c r="X687" s="2392"/>
      <c r="Y687" s="2392"/>
      <c r="Z687" s="2392"/>
      <c r="AA687" s="2392"/>
      <c r="AB687" s="2392"/>
      <c r="AC687" s="2392"/>
      <c r="AD687" s="536"/>
      <c r="AE687" s="536"/>
      <c r="AF687" s="536"/>
      <c r="AG687" s="536"/>
      <c r="AH687" s="536"/>
      <c r="AI687" s="536"/>
      <c r="AJ687" s="536"/>
      <c r="AK687" s="536"/>
      <c r="AL687" s="536"/>
      <c r="AM687" s="594"/>
      <c r="AN687" s="595"/>
    </row>
    <row r="688" spans="1:42" s="549" customFormat="1" ht="12.75" customHeight="1">
      <c r="B688" s="536"/>
      <c r="C688" s="927"/>
      <c r="D688" s="659"/>
      <c r="E688" s="2392"/>
      <c r="F688" s="2392"/>
      <c r="G688" s="2392"/>
      <c r="H688" s="2392"/>
      <c r="I688" s="2392"/>
      <c r="J688" s="2392"/>
      <c r="K688" s="2392"/>
      <c r="L688" s="2392"/>
      <c r="M688" s="2392"/>
      <c r="N688" s="2392"/>
      <c r="O688" s="2392"/>
      <c r="P688" s="2392"/>
      <c r="Q688" s="2392"/>
      <c r="R688" s="2392"/>
      <c r="S688" s="2392"/>
      <c r="T688" s="2392"/>
      <c r="U688" s="2392"/>
      <c r="V688" s="2392"/>
      <c r="W688" s="2392"/>
      <c r="X688" s="2392"/>
      <c r="Y688" s="2392"/>
      <c r="Z688" s="2392"/>
      <c r="AA688" s="2392"/>
      <c r="AB688" s="2392"/>
      <c r="AC688" s="239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2" t="s">
        <v>1414</v>
      </c>
      <c r="F690" s="2392"/>
      <c r="G690" s="2392"/>
      <c r="H690" s="2392"/>
      <c r="I690" s="2392"/>
      <c r="J690" s="2392"/>
      <c r="K690" s="2392"/>
      <c r="L690" s="2392"/>
      <c r="M690" s="2392"/>
      <c r="N690" s="2392"/>
      <c r="O690" s="2392"/>
      <c r="P690" s="2392"/>
      <c r="Q690" s="2392"/>
      <c r="R690" s="2392"/>
      <c r="S690" s="2392"/>
      <c r="T690" s="2392"/>
      <c r="U690" s="2392"/>
      <c r="V690" s="2392"/>
      <c r="W690" s="2392"/>
      <c r="X690" s="2392"/>
      <c r="Y690" s="2392"/>
      <c r="Z690" s="2392"/>
      <c r="AA690" s="2392"/>
      <c r="AB690" s="2392"/>
      <c r="AC690" s="2392"/>
      <c r="AD690" s="536"/>
      <c r="AE690" s="536"/>
      <c r="AF690" s="2393" t="s">
        <v>1399</v>
      </c>
      <c r="AG690" s="2393"/>
      <c r="AH690" s="2393"/>
      <c r="AI690" s="2393"/>
      <c r="AJ690" s="2393"/>
      <c r="AK690" s="2393"/>
      <c r="AL690" s="2393"/>
      <c r="AM690" s="594"/>
      <c r="AN690" s="595"/>
    </row>
    <row r="691" spans="1:50" s="549" customFormat="1" ht="12.75" customHeight="1">
      <c r="A691" s="675"/>
      <c r="B691" s="536"/>
      <c r="C691" s="927"/>
      <c r="D691" s="659"/>
      <c r="E691" s="2392"/>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239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239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2" t="s">
        <v>1415</v>
      </c>
      <c r="F694" s="2392"/>
      <c r="G694" s="2392"/>
      <c r="H694" s="2392"/>
      <c r="I694" s="2392"/>
      <c r="J694" s="2392"/>
      <c r="K694" s="2392"/>
      <c r="L694" s="2392"/>
      <c r="M694" s="2392"/>
      <c r="N694" s="2392"/>
      <c r="O694" s="2392"/>
      <c r="P694" s="2392"/>
      <c r="Q694" s="2392"/>
      <c r="R694" s="2392"/>
      <c r="S694" s="2392"/>
      <c r="T694" s="2392"/>
      <c r="U694" s="2392"/>
      <c r="V694" s="2392"/>
      <c r="W694" s="2392"/>
      <c r="X694" s="2392"/>
      <c r="Y694" s="2392"/>
      <c r="Z694" s="2392"/>
      <c r="AA694" s="2392"/>
      <c r="AB694" s="2392"/>
      <c r="AC694" s="2392"/>
      <c r="AD694" s="536"/>
      <c r="AE694" s="536"/>
      <c r="AF694" s="2393" t="s">
        <v>1416</v>
      </c>
      <c r="AG694" s="2393"/>
      <c r="AH694" s="2393"/>
      <c r="AI694" s="2393"/>
      <c r="AJ694" s="2393"/>
      <c r="AK694" s="2393"/>
      <c r="AL694" s="2393"/>
      <c r="AM694" s="594"/>
      <c r="AN694" s="595"/>
      <c r="AO694" s="609" t="s">
        <v>686</v>
      </c>
      <c r="AP694" s="549">
        <v>3</v>
      </c>
    </row>
    <row r="695" spans="1:50" s="549" customFormat="1" ht="12.75" customHeight="1">
      <c r="A695" s="675"/>
      <c r="B695" s="536"/>
      <c r="C695" s="927"/>
      <c r="D695" s="659"/>
      <c r="E695" s="2392"/>
      <c r="F695" s="2392"/>
      <c r="G695" s="2392"/>
      <c r="H695" s="2392"/>
      <c r="I695" s="2392"/>
      <c r="J695" s="2392"/>
      <c r="K695" s="2392"/>
      <c r="L695" s="2392"/>
      <c r="M695" s="2392"/>
      <c r="N695" s="2392"/>
      <c r="O695" s="2392"/>
      <c r="P695" s="2392"/>
      <c r="Q695" s="2392"/>
      <c r="R695" s="2392"/>
      <c r="S695" s="2392"/>
      <c r="T695" s="2392"/>
      <c r="U695" s="2392"/>
      <c r="V695" s="2392"/>
      <c r="W695" s="2392"/>
      <c r="X695" s="2392"/>
      <c r="Y695" s="2392"/>
      <c r="Z695" s="2392"/>
      <c r="AA695" s="2392"/>
      <c r="AB695" s="2392"/>
      <c r="AC695" s="2392"/>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c r="AA696" s="2392"/>
      <c r="AB696" s="2392"/>
      <c r="AC696" s="239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4" t="s">
        <v>590</v>
      </c>
      <c r="I698" s="2394"/>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5">
        <f>VLOOKUP($H$698,$AO$646:$AP$653,2,FALSE)</f>
        <v>0</v>
      </c>
      <c r="AK700" s="239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232</v>
      </c>
    </row>
    <row r="704" spans="1:50" s="549" customFormat="1" ht="12.75" customHeight="1">
      <c r="A704" s="675"/>
      <c r="B704" s="536"/>
      <c r="C704" s="944"/>
      <c r="D704" s="659" t="s">
        <v>686</v>
      </c>
      <c r="E704" s="2398" t="s">
        <v>2144</v>
      </c>
      <c r="F704" s="2398"/>
      <c r="G704" s="2398"/>
      <c r="H704" s="2398"/>
      <c r="I704" s="2398"/>
      <c r="J704" s="2398"/>
      <c r="K704" s="2398"/>
      <c r="L704" s="2398"/>
      <c r="M704" s="2398"/>
      <c r="N704" s="2398"/>
      <c r="O704" s="2398"/>
      <c r="P704" s="2398"/>
      <c r="Q704" s="2398"/>
      <c r="R704" s="2398"/>
      <c r="S704" s="2398"/>
      <c r="T704" s="2398"/>
      <c r="U704" s="2398"/>
      <c r="V704" s="2398"/>
      <c r="W704" s="2398"/>
      <c r="X704" s="2398"/>
      <c r="Y704" s="2398"/>
      <c r="Z704" s="2398"/>
      <c r="AA704" s="2398"/>
      <c r="AB704" s="2398"/>
      <c r="AC704" s="536"/>
      <c r="AD704" s="536"/>
      <c r="AE704" s="536"/>
      <c r="AF704" s="2393" t="s">
        <v>1345</v>
      </c>
      <c r="AG704" s="2393"/>
      <c r="AH704" s="2393"/>
      <c r="AI704" s="2393"/>
      <c r="AJ704" s="2393"/>
      <c r="AK704" s="2393"/>
      <c r="AL704" s="2393"/>
      <c r="AN704" s="595"/>
      <c r="AW704" s="22" t="s">
        <v>2139</v>
      </c>
      <c r="AX704" s="549">
        <f>Application!DE761</f>
        <v>60</v>
      </c>
    </row>
    <row r="705" spans="1:51" s="549" customFormat="1" ht="12.75" customHeight="1">
      <c r="A705" s="675"/>
      <c r="B705" s="536"/>
      <c r="C705" s="944"/>
      <c r="D705" s="659"/>
      <c r="E705" s="2398"/>
      <c r="F705" s="2398"/>
      <c r="G705" s="2398"/>
      <c r="H705" s="2398"/>
      <c r="I705" s="2398"/>
      <c r="J705" s="2398"/>
      <c r="K705" s="2398"/>
      <c r="L705" s="2398"/>
      <c r="M705" s="2398"/>
      <c r="N705" s="2398"/>
      <c r="O705" s="2398"/>
      <c r="P705" s="2398"/>
      <c r="Q705" s="2398"/>
      <c r="R705" s="2398"/>
      <c r="S705" s="2398"/>
      <c r="T705" s="2398"/>
      <c r="U705" s="2398"/>
      <c r="V705" s="2398"/>
      <c r="W705" s="2398"/>
      <c r="X705" s="2398"/>
      <c r="Y705" s="2398"/>
      <c r="Z705" s="2398"/>
      <c r="AA705" s="2398"/>
      <c r="AB705" s="2398"/>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392" t="s">
        <v>2089</v>
      </c>
      <c r="F707" s="2392"/>
      <c r="G707" s="2392"/>
      <c r="H707" s="2392"/>
      <c r="I707" s="2392"/>
      <c r="J707" s="2392"/>
      <c r="K707" s="2392"/>
      <c r="L707" s="2392"/>
      <c r="M707" s="2392"/>
      <c r="N707" s="2392"/>
      <c r="O707" s="2392"/>
      <c r="P707" s="2392"/>
      <c r="Q707" s="2392"/>
      <c r="R707" s="2392"/>
      <c r="S707" s="2392"/>
      <c r="T707" s="2392"/>
      <c r="U707" s="2392"/>
      <c r="V707" s="2392"/>
      <c r="W707" s="2392"/>
      <c r="X707" s="2392"/>
      <c r="Y707" s="2392"/>
      <c r="Z707" s="2392"/>
      <c r="AA707" s="2392"/>
      <c r="AB707" s="2392"/>
      <c r="AC707" s="536"/>
      <c r="AD707" s="536"/>
      <c r="AE707" s="536"/>
      <c r="AF707" s="2393" t="s">
        <v>1345</v>
      </c>
      <c r="AG707" s="2393"/>
      <c r="AH707" s="2393"/>
      <c r="AI707" s="2393"/>
      <c r="AJ707" s="2393"/>
      <c r="AK707" s="2393"/>
      <c r="AL707" s="2393"/>
      <c r="AN707" s="595"/>
      <c r="AW707" s="22" t="s">
        <v>2142</v>
      </c>
      <c r="AX707" s="549">
        <f>AX704+AX705+AX706</f>
        <v>60</v>
      </c>
    </row>
    <row r="708" spans="1:51" s="549" customFormat="1" ht="12.75" customHeight="1">
      <c r="B708" s="536"/>
      <c r="C708" s="936"/>
      <c r="D708" s="659"/>
      <c r="E708" s="2392"/>
      <c r="F708" s="2392"/>
      <c r="G708" s="2392"/>
      <c r="H708" s="2392"/>
      <c r="I708" s="2392"/>
      <c r="J708" s="2392"/>
      <c r="K708" s="2392"/>
      <c r="L708" s="2392"/>
      <c r="M708" s="2392"/>
      <c r="N708" s="2392"/>
      <c r="O708" s="2392"/>
      <c r="P708" s="2392"/>
      <c r="Q708" s="2392"/>
      <c r="R708" s="2392"/>
      <c r="S708" s="2392"/>
      <c r="T708" s="2392"/>
      <c r="U708" s="2392"/>
      <c r="V708" s="2392"/>
      <c r="W708" s="2392"/>
      <c r="X708" s="2392"/>
      <c r="Y708" s="2392"/>
      <c r="Z708" s="2392"/>
      <c r="AA708" s="2392"/>
      <c r="AB708" s="2392"/>
      <c r="AC708" s="536"/>
      <c r="AD708" s="536"/>
      <c r="AE708" s="614"/>
      <c r="AF708" s="536"/>
      <c r="AG708" s="536"/>
      <c r="AH708" s="536"/>
      <c r="AI708" s="536"/>
      <c r="AJ708" s="536"/>
      <c r="AK708" s="536"/>
      <c r="AL708" s="536"/>
      <c r="AN708" s="595"/>
      <c r="AO708" s="2462" t="b">
        <f>IF(Application!D211="Special Needs",IF(AY708&gt;=0.25,TRUE,FALSE),IF(AX708&gt;=0.25,TRUE,FALSE))</f>
        <v>1</v>
      </c>
      <c r="AP708" s="2462"/>
      <c r="AW708" s="22" t="s">
        <v>2143</v>
      </c>
      <c r="AX708" s="549">
        <f>IFERROR(AX707/AX703,0)</f>
        <v>0.25862068965517243</v>
      </c>
      <c r="AY708" s="549">
        <f>IFERROR(AX707/(AX703-AX702),0)</f>
        <v>0.25862068965517243</v>
      </c>
    </row>
    <row r="709" spans="1:51" s="549" customFormat="1" ht="12.75" customHeight="1">
      <c r="B709" s="536"/>
      <c r="C709" s="936"/>
      <c r="E709" s="2392"/>
      <c r="F709" s="2392"/>
      <c r="G709" s="2392"/>
      <c r="H709" s="2392"/>
      <c r="I709" s="2392"/>
      <c r="J709" s="2392"/>
      <c r="K709" s="2392"/>
      <c r="L709" s="2392"/>
      <c r="M709" s="2392"/>
      <c r="N709" s="2392"/>
      <c r="O709" s="2392"/>
      <c r="P709" s="2392"/>
      <c r="Q709" s="2392"/>
      <c r="R709" s="2392"/>
      <c r="S709" s="2392"/>
      <c r="T709" s="2392"/>
      <c r="U709" s="2392"/>
      <c r="V709" s="2392"/>
      <c r="W709" s="2392"/>
      <c r="X709" s="2392"/>
      <c r="Y709" s="2392"/>
      <c r="Z709" s="2392"/>
      <c r="AA709" s="2392"/>
      <c r="AB709" s="2392"/>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2"/>
      <c r="F710" s="2392"/>
      <c r="G710" s="2392"/>
      <c r="H710" s="2392"/>
      <c r="I710" s="2392"/>
      <c r="J710" s="2392"/>
      <c r="K710" s="2392"/>
      <c r="L710" s="2392"/>
      <c r="M710" s="2392"/>
      <c r="N710" s="2392"/>
      <c r="O710" s="2392"/>
      <c r="P710" s="2392"/>
      <c r="Q710" s="2392"/>
      <c r="R710" s="2392"/>
      <c r="S710" s="2392"/>
      <c r="T710" s="2392"/>
      <c r="U710" s="2392"/>
      <c r="V710" s="2392"/>
      <c r="W710" s="2392"/>
      <c r="X710" s="2392"/>
      <c r="Y710" s="2392"/>
      <c r="Z710" s="2392"/>
      <c r="AA710" s="2392"/>
      <c r="AB710" s="2392"/>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92" t="s">
        <v>2090</v>
      </c>
      <c r="F712" s="2392"/>
      <c r="G712" s="2392"/>
      <c r="H712" s="2392"/>
      <c r="I712" s="2392"/>
      <c r="J712" s="2392"/>
      <c r="K712" s="2392"/>
      <c r="L712" s="2392"/>
      <c r="M712" s="2392"/>
      <c r="N712" s="2392"/>
      <c r="O712" s="2392"/>
      <c r="P712" s="2392"/>
      <c r="Q712" s="2392"/>
      <c r="R712" s="2392"/>
      <c r="S712" s="2392"/>
      <c r="T712" s="2392"/>
      <c r="U712" s="2392"/>
      <c r="V712" s="2392"/>
      <c r="W712" s="2392"/>
      <c r="X712" s="2392"/>
      <c r="Y712" s="2392"/>
      <c r="Z712" s="2392"/>
      <c r="AA712" s="2392"/>
      <c r="AB712" s="2392"/>
      <c r="AC712" s="536"/>
      <c r="AD712" s="536"/>
      <c r="AE712" s="536"/>
      <c r="AF712" s="2393" t="s">
        <v>1399</v>
      </c>
      <c r="AG712" s="2393"/>
      <c r="AH712" s="2393"/>
      <c r="AI712" s="2393"/>
      <c r="AJ712" s="2393"/>
      <c r="AK712" s="2393"/>
      <c r="AL712" s="2393"/>
      <c r="AN712" s="595"/>
      <c r="AO712" s="609" t="s">
        <v>508</v>
      </c>
      <c r="AP712" s="549">
        <v>1</v>
      </c>
    </row>
    <row r="713" spans="1:51" s="549" customFormat="1" ht="12" customHeight="1">
      <c r="B713" s="536"/>
      <c r="C713" s="927"/>
      <c r="E713" s="2392"/>
      <c r="F713" s="2392"/>
      <c r="G713" s="2392"/>
      <c r="H713" s="2392"/>
      <c r="I713" s="2392"/>
      <c r="J713" s="2392"/>
      <c r="K713" s="2392"/>
      <c r="L713" s="2392"/>
      <c r="M713" s="2392"/>
      <c r="N713" s="2392"/>
      <c r="O713" s="2392"/>
      <c r="P713" s="2392"/>
      <c r="Q713" s="2392"/>
      <c r="R713" s="2392"/>
      <c r="S713" s="2392"/>
      <c r="T713" s="2392"/>
      <c r="U713" s="2392"/>
      <c r="V713" s="2392"/>
      <c r="W713" s="2392"/>
      <c r="X713" s="2392"/>
      <c r="Y713" s="2392"/>
      <c r="Z713" s="2392"/>
      <c r="AA713" s="2392"/>
      <c r="AB713" s="2392"/>
      <c r="AC713" s="536"/>
      <c r="AD713" s="536"/>
      <c r="AE713" s="614"/>
      <c r="AF713" s="536"/>
      <c r="AG713" s="536"/>
      <c r="AH713" s="536"/>
      <c r="AI713" s="536"/>
      <c r="AJ713" s="536"/>
      <c r="AK713" s="536"/>
      <c r="AL713" s="536"/>
      <c r="AN713" s="595"/>
    </row>
    <row r="714" spans="1:51" s="549" customFormat="1" ht="12" customHeight="1">
      <c r="B714" s="536"/>
      <c r="C714" s="927"/>
      <c r="D714" s="536"/>
      <c r="E714" s="2392"/>
      <c r="F714" s="2392"/>
      <c r="G714" s="2392"/>
      <c r="H714" s="2392"/>
      <c r="I714" s="2392"/>
      <c r="J714" s="2392"/>
      <c r="K714" s="2392"/>
      <c r="L714" s="2392"/>
      <c r="M714" s="2392"/>
      <c r="N714" s="2392"/>
      <c r="O714" s="2392"/>
      <c r="P714" s="2392"/>
      <c r="Q714" s="2392"/>
      <c r="R714" s="2392"/>
      <c r="S714" s="2392"/>
      <c r="T714" s="2392"/>
      <c r="U714" s="2392"/>
      <c r="V714" s="2392"/>
      <c r="W714" s="2392"/>
      <c r="X714" s="2392"/>
      <c r="Y714" s="2392"/>
      <c r="Z714" s="2392"/>
      <c r="AA714" s="2392"/>
      <c r="AB714" s="2392"/>
      <c r="AC714" s="536"/>
      <c r="AD714" s="536"/>
      <c r="AE714" s="614"/>
      <c r="AF714" s="536"/>
      <c r="AG714" s="536"/>
      <c r="AH714" s="536"/>
      <c r="AI714" s="536"/>
      <c r="AJ714" s="536"/>
      <c r="AK714" s="536"/>
      <c r="AL714" s="536"/>
      <c r="AN714" s="595"/>
    </row>
    <row r="715" spans="1:51" s="549" customFormat="1" ht="12" customHeight="1">
      <c r="B715" s="536"/>
      <c r="C715" s="927"/>
      <c r="D715" s="536"/>
      <c r="E715" s="2392"/>
      <c r="F715" s="2392"/>
      <c r="G715" s="2392"/>
      <c r="H715" s="2392"/>
      <c r="I715" s="2392"/>
      <c r="J715" s="2392"/>
      <c r="K715" s="2392"/>
      <c r="L715" s="2392"/>
      <c r="M715" s="2392"/>
      <c r="N715" s="2392"/>
      <c r="O715" s="2392"/>
      <c r="P715" s="2392"/>
      <c r="Q715" s="2392"/>
      <c r="R715" s="2392"/>
      <c r="S715" s="2392"/>
      <c r="T715" s="2392"/>
      <c r="U715" s="2392"/>
      <c r="V715" s="2392"/>
      <c r="W715" s="2392"/>
      <c r="X715" s="2392"/>
      <c r="Y715" s="2392"/>
      <c r="Z715" s="2392"/>
      <c r="AA715" s="2392"/>
      <c r="AB715" s="2392"/>
      <c r="AC715" s="536"/>
      <c r="AD715" s="536"/>
      <c r="AE715" s="614"/>
      <c r="AF715" s="536"/>
      <c r="AG715" s="536"/>
      <c r="AH715" s="536"/>
      <c r="AI715" s="536"/>
      <c r="AJ715" s="536"/>
      <c r="AK715" s="536"/>
      <c r="AL715" s="536"/>
      <c r="AN715" s="595"/>
    </row>
    <row r="716" spans="1:51" s="568" customFormat="1" ht="12.9" customHeight="1">
      <c r="A716" s="549"/>
      <c r="B716" s="536"/>
      <c r="C716" s="927"/>
      <c r="D716" s="536"/>
      <c r="E716" s="2392"/>
      <c r="F716" s="2392"/>
      <c r="G716" s="2392"/>
      <c r="H716" s="2392"/>
      <c r="I716" s="2392"/>
      <c r="J716" s="2392"/>
      <c r="K716" s="2392"/>
      <c r="L716" s="2392"/>
      <c r="M716" s="2392"/>
      <c r="N716" s="2392"/>
      <c r="O716" s="2392"/>
      <c r="P716" s="2392"/>
      <c r="Q716" s="2392"/>
      <c r="R716" s="2392"/>
      <c r="S716" s="2392"/>
      <c r="T716" s="2392"/>
      <c r="U716" s="2392"/>
      <c r="V716" s="2392"/>
      <c r="W716" s="2392"/>
      <c r="X716" s="2392"/>
      <c r="Y716" s="2392"/>
      <c r="Z716" s="2392"/>
      <c r="AA716" s="2392"/>
      <c r="AB716" s="2392"/>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2" t="s">
        <v>1681</v>
      </c>
      <c r="F718" s="2392"/>
      <c r="G718" s="2392"/>
      <c r="H718" s="2392"/>
      <c r="I718" s="2392"/>
      <c r="J718" s="2392"/>
      <c r="K718" s="2392"/>
      <c r="L718" s="2392"/>
      <c r="M718" s="2392"/>
      <c r="N718" s="2392"/>
      <c r="O718" s="2392"/>
      <c r="P718" s="2392"/>
      <c r="Q718" s="2392"/>
      <c r="R718" s="2392"/>
      <c r="S718" s="2392"/>
      <c r="T718" s="2392"/>
      <c r="U718" s="2392"/>
      <c r="V718" s="2392"/>
      <c r="W718" s="2392"/>
      <c r="X718" s="2392"/>
      <c r="Y718" s="2392"/>
      <c r="Z718" s="2392"/>
      <c r="AA718" s="2392"/>
      <c r="AB718" s="2392"/>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92"/>
      <c r="F719" s="2392"/>
      <c r="G719" s="2392"/>
      <c r="H719" s="2392"/>
      <c r="I719" s="2392"/>
      <c r="J719" s="2392"/>
      <c r="K719" s="2392"/>
      <c r="L719" s="2392"/>
      <c r="M719" s="2392"/>
      <c r="N719" s="2392"/>
      <c r="O719" s="2392"/>
      <c r="P719" s="2392"/>
      <c r="Q719" s="2392"/>
      <c r="R719" s="2392"/>
      <c r="S719" s="2392"/>
      <c r="T719" s="2392"/>
      <c r="U719" s="2392"/>
      <c r="V719" s="2392"/>
      <c r="W719" s="2392"/>
      <c r="X719" s="2392"/>
      <c r="Y719" s="2392"/>
      <c r="Z719" s="2392"/>
      <c r="AA719" s="2392"/>
      <c r="AB719" s="2392"/>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92"/>
      <c r="F720" s="2392"/>
      <c r="G720" s="2392"/>
      <c r="H720" s="2392"/>
      <c r="I720" s="2392"/>
      <c r="J720" s="2392"/>
      <c r="K720" s="2392"/>
      <c r="L720" s="2392"/>
      <c r="M720" s="2392"/>
      <c r="N720" s="2392"/>
      <c r="O720" s="2392"/>
      <c r="P720" s="2392"/>
      <c r="Q720" s="2392"/>
      <c r="R720" s="2392"/>
      <c r="S720" s="2392"/>
      <c r="T720" s="2392"/>
      <c r="U720" s="2392"/>
      <c r="V720" s="2392"/>
      <c r="W720" s="2392"/>
      <c r="X720" s="2392"/>
      <c r="Y720" s="2392"/>
      <c r="Z720" s="2392"/>
      <c r="AA720" s="2392"/>
      <c r="AB720" s="239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4" t="s">
        <v>508</v>
      </c>
      <c r="I722" s="2394"/>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5">
        <f>VLOOKUP($H$722,$AO$716:$AP$719,2,FALSE)</f>
        <v>3</v>
      </c>
      <c r="AK724" s="2396"/>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4" t="s">
        <v>1683</v>
      </c>
      <c r="F728" s="2534"/>
      <c r="G728" s="2534"/>
      <c r="H728" s="2534"/>
      <c r="I728" s="2534"/>
      <c r="J728" s="2534"/>
      <c r="K728" s="2534"/>
      <c r="L728" s="2534"/>
      <c r="M728" s="2534"/>
      <c r="N728" s="2534"/>
      <c r="O728" s="2534"/>
      <c r="P728" s="2534"/>
      <c r="Q728" s="2534"/>
      <c r="R728" s="2534"/>
      <c r="S728" s="2534"/>
      <c r="T728" s="2534"/>
      <c r="U728" s="2534"/>
      <c r="V728" s="2534"/>
      <c r="W728" s="2534"/>
      <c r="X728" s="2534"/>
      <c r="Y728" s="2534"/>
      <c r="Z728" s="2534"/>
      <c r="AA728" s="2534"/>
      <c r="AB728" s="2534"/>
      <c r="AC728" s="536"/>
      <c r="AD728" s="536"/>
      <c r="AE728" s="536"/>
      <c r="AF728" s="2393" t="s">
        <v>1345</v>
      </c>
      <c r="AG728" s="2393"/>
      <c r="AH728" s="2393"/>
      <c r="AI728" s="2393"/>
      <c r="AJ728" s="2393"/>
      <c r="AK728" s="2393"/>
      <c r="AL728" s="2393"/>
      <c r="AM728" s="549"/>
      <c r="AN728" s="680"/>
      <c r="AP728" s="568" t="s">
        <v>1423</v>
      </c>
    </row>
    <row r="729" spans="1:43" s="568" customFormat="1" ht="11.85" customHeight="1">
      <c r="A729" s="549"/>
      <c r="B729" s="536"/>
      <c r="C729" s="929"/>
      <c r="D729" s="659"/>
      <c r="E729" s="2534"/>
      <c r="F729" s="2534"/>
      <c r="G729" s="2534"/>
      <c r="H729" s="2534"/>
      <c r="I729" s="2534"/>
      <c r="J729" s="2534"/>
      <c r="K729" s="2534"/>
      <c r="L729" s="2534"/>
      <c r="M729" s="2534"/>
      <c r="N729" s="2534"/>
      <c r="O729" s="2534"/>
      <c r="P729" s="2534"/>
      <c r="Q729" s="2534"/>
      <c r="R729" s="2534"/>
      <c r="S729" s="2534"/>
      <c r="T729" s="2534"/>
      <c r="U729" s="2534"/>
      <c r="V729" s="2534"/>
      <c r="W729" s="2534"/>
      <c r="X729" s="2534"/>
      <c r="Y729" s="2534"/>
      <c r="Z729" s="2534"/>
      <c r="AA729" s="2534"/>
      <c r="AB729" s="2534"/>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2534"/>
      <c r="F730" s="2534"/>
      <c r="G730" s="2534"/>
      <c r="H730" s="2534"/>
      <c r="I730" s="2534"/>
      <c r="J730" s="2534"/>
      <c r="K730" s="2534"/>
      <c r="L730" s="2534"/>
      <c r="M730" s="2534"/>
      <c r="N730" s="2534"/>
      <c r="O730" s="2534"/>
      <c r="P730" s="2534"/>
      <c r="Q730" s="2534"/>
      <c r="R730" s="2534"/>
      <c r="S730" s="2534"/>
      <c r="T730" s="2534"/>
      <c r="U730" s="2534"/>
      <c r="V730" s="2534"/>
      <c r="W730" s="2534"/>
      <c r="X730" s="2534"/>
      <c r="Y730" s="2534"/>
      <c r="Z730" s="2534"/>
      <c r="AA730" s="2534"/>
      <c r="AB730" s="2534"/>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508</v>
      </c>
      <c r="E732" s="2535" t="s">
        <v>1426</v>
      </c>
      <c r="F732" s="2535"/>
      <c r="G732" s="2535"/>
      <c r="H732" s="2535"/>
      <c r="I732" s="2535"/>
      <c r="J732" s="2535"/>
      <c r="K732" s="2535"/>
      <c r="L732" s="2535"/>
      <c r="M732" s="2535"/>
      <c r="N732" s="2535"/>
      <c r="O732" s="2535"/>
      <c r="P732" s="2535"/>
      <c r="Q732" s="2535"/>
      <c r="R732" s="2535"/>
      <c r="S732" s="2535"/>
      <c r="T732" s="2535"/>
      <c r="U732" s="2535"/>
      <c r="V732" s="2535"/>
      <c r="W732" s="2535"/>
      <c r="X732" s="2535"/>
      <c r="Y732" s="2535"/>
      <c r="Z732" s="2535"/>
      <c r="AA732" s="2535"/>
      <c r="AB732" s="2535"/>
      <c r="AC732" s="536"/>
      <c r="AD732" s="536"/>
      <c r="AE732" s="536"/>
      <c r="AF732" s="2393" t="s">
        <v>1399</v>
      </c>
      <c r="AG732" s="2393"/>
      <c r="AH732" s="2393"/>
      <c r="AI732" s="2393"/>
      <c r="AJ732" s="2393"/>
      <c r="AK732" s="2393"/>
      <c r="AL732" s="2393"/>
      <c r="AM732" s="549"/>
      <c r="AN732" s="681"/>
    </row>
    <row r="733" spans="1:43" s="568" customFormat="1" ht="12.75" customHeight="1">
      <c r="A733" s="549"/>
      <c r="B733" s="536"/>
      <c r="C733" s="929"/>
      <c r="D733" s="536"/>
      <c r="E733" s="2535"/>
      <c r="F733" s="2535"/>
      <c r="G733" s="2535"/>
      <c r="H733" s="2535"/>
      <c r="I733" s="2535"/>
      <c r="J733" s="2535"/>
      <c r="K733" s="2535"/>
      <c r="L733" s="2535"/>
      <c r="M733" s="2535"/>
      <c r="N733" s="2535"/>
      <c r="O733" s="2535"/>
      <c r="P733" s="2535"/>
      <c r="Q733" s="2535"/>
      <c r="R733" s="2535"/>
      <c r="S733" s="2535"/>
      <c r="T733" s="2535"/>
      <c r="U733" s="2535"/>
      <c r="V733" s="2535"/>
      <c r="W733" s="2535"/>
      <c r="X733" s="2535"/>
      <c r="Y733" s="2535"/>
      <c r="Z733" s="2535"/>
      <c r="AA733" s="2535"/>
      <c r="AB733" s="2535"/>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35"/>
      <c r="F734" s="2535"/>
      <c r="G734" s="2535"/>
      <c r="H734" s="2535"/>
      <c r="I734" s="2535"/>
      <c r="J734" s="2535"/>
      <c r="K734" s="2535"/>
      <c r="L734" s="2535"/>
      <c r="M734" s="2535"/>
      <c r="N734" s="2535"/>
      <c r="O734" s="2535"/>
      <c r="P734" s="2535"/>
      <c r="Q734" s="2535"/>
      <c r="R734" s="2535"/>
      <c r="S734" s="2535"/>
      <c r="T734" s="2535"/>
      <c r="U734" s="2535"/>
      <c r="V734" s="2535"/>
      <c r="W734" s="2535"/>
      <c r="X734" s="2535"/>
      <c r="Y734" s="2535"/>
      <c r="Z734" s="2535"/>
      <c r="AA734" s="2535"/>
      <c r="AB734" s="2535"/>
      <c r="AC734" s="536"/>
      <c r="AD734" s="536"/>
      <c r="AE734" s="536"/>
      <c r="AF734" s="536"/>
      <c r="AG734" s="536"/>
      <c r="AH734" s="536"/>
      <c r="AI734" s="536"/>
      <c r="AJ734" s="536"/>
      <c r="AK734" s="536"/>
      <c r="AL734" s="536"/>
      <c r="AM734" s="549"/>
      <c r="AN734" s="680"/>
      <c r="AP734" s="609" t="s">
        <v>686</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1391</v>
      </c>
      <c r="E736" s="932"/>
      <c r="F736" s="932"/>
      <c r="G736" s="932"/>
      <c r="H736" s="2394" t="s">
        <v>590</v>
      </c>
      <c r="I736" s="2394"/>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5">
        <f>VLOOKUP($H$736,$AP$733:$AQ$735,2,FALSE)</f>
        <v>0</v>
      </c>
      <c r="AK738" s="2396"/>
      <c r="AL738" s="593"/>
      <c r="AM738" s="549"/>
      <c r="AN738" s="680"/>
      <c r="AP738" s="2395"/>
      <c r="AQ738" s="239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2" t="s">
        <v>1684</v>
      </c>
      <c r="F742" s="2392"/>
      <c r="G742" s="2392"/>
      <c r="H742" s="2392"/>
      <c r="I742" s="2392"/>
      <c r="J742" s="2392"/>
      <c r="K742" s="2392"/>
      <c r="L742" s="2392"/>
      <c r="M742" s="2392"/>
      <c r="N742" s="2392"/>
      <c r="O742" s="2392"/>
      <c r="P742" s="2392"/>
      <c r="Q742" s="2392"/>
      <c r="R742" s="2392"/>
      <c r="S742" s="2392"/>
      <c r="T742" s="2392"/>
      <c r="U742" s="2392"/>
      <c r="V742" s="2392"/>
      <c r="W742" s="2392"/>
      <c r="X742" s="2392"/>
      <c r="Y742" s="2392"/>
      <c r="Z742" s="2392"/>
      <c r="AA742" s="2392"/>
      <c r="AB742" s="2392"/>
      <c r="AC742" s="536"/>
      <c r="AD742" s="536"/>
      <c r="AE742" s="536"/>
      <c r="AF742" s="2393" t="s">
        <v>1345</v>
      </c>
      <c r="AG742" s="2393"/>
      <c r="AH742" s="2393"/>
      <c r="AI742" s="2393"/>
      <c r="AJ742" s="2393"/>
      <c r="AK742" s="2393"/>
      <c r="AL742" s="2393"/>
      <c r="AM742" s="549"/>
      <c r="AN742" s="680"/>
      <c r="AT742" s="14"/>
      <c r="AU742" s="14"/>
      <c r="AV742" s="14"/>
      <c r="AW742" s="14"/>
      <c r="AX742" s="14"/>
      <c r="AY742" s="14"/>
      <c r="AZ742" s="14"/>
    </row>
    <row r="743" spans="1:81" s="568" customFormat="1">
      <c r="A743" s="549"/>
      <c r="B743" s="536"/>
      <c r="C743" s="929"/>
      <c r="D743" s="659"/>
      <c r="E743" s="2392"/>
      <c r="F743" s="2392"/>
      <c r="G743" s="2392"/>
      <c r="H743" s="2392"/>
      <c r="I743" s="2392"/>
      <c r="J743" s="2392"/>
      <c r="K743" s="2392"/>
      <c r="L743" s="2392"/>
      <c r="M743" s="2392"/>
      <c r="N743" s="2392"/>
      <c r="O743" s="2392"/>
      <c r="P743" s="2392"/>
      <c r="Q743" s="2392"/>
      <c r="R743" s="2392"/>
      <c r="S743" s="2392"/>
      <c r="T743" s="2392"/>
      <c r="U743" s="2392"/>
      <c r="V743" s="2392"/>
      <c r="W743" s="2392"/>
      <c r="X743" s="2392"/>
      <c r="Y743" s="2392"/>
      <c r="Z743" s="2392"/>
      <c r="AA743" s="2392"/>
      <c r="AB743" s="239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2" t="s">
        <v>1430</v>
      </c>
      <c r="F745" s="2392"/>
      <c r="G745" s="2392"/>
      <c r="H745" s="2392"/>
      <c r="I745" s="2392"/>
      <c r="J745" s="2392"/>
      <c r="K745" s="2392"/>
      <c r="L745" s="2392"/>
      <c r="M745" s="2392"/>
      <c r="N745" s="2392"/>
      <c r="O745" s="2392"/>
      <c r="P745" s="2392"/>
      <c r="Q745" s="2392"/>
      <c r="R745" s="2392"/>
      <c r="S745" s="2392"/>
      <c r="T745" s="2392"/>
      <c r="U745" s="2392"/>
      <c r="V745" s="2392"/>
      <c r="W745" s="2392"/>
      <c r="X745" s="2392"/>
      <c r="Y745" s="2392"/>
      <c r="Z745" s="2392"/>
      <c r="AA745" s="2392"/>
      <c r="AB745" s="2392"/>
      <c r="AC745" s="536"/>
      <c r="AD745" s="536"/>
      <c r="AE745" s="536"/>
      <c r="AF745" s="2393" t="s">
        <v>1399</v>
      </c>
      <c r="AG745" s="2393"/>
      <c r="AH745" s="2393"/>
      <c r="AI745" s="2393"/>
      <c r="AJ745" s="2393"/>
      <c r="AK745" s="2393"/>
      <c r="AL745" s="2393"/>
      <c r="AM745" s="549"/>
      <c r="AN745" s="680"/>
      <c r="AT745" s="14"/>
      <c r="AU745" s="14"/>
      <c r="AV745" s="14"/>
      <c r="AW745" s="14"/>
      <c r="AX745" s="14"/>
      <c r="AY745" s="14"/>
      <c r="AZ745" s="14"/>
    </row>
    <row r="746" spans="1:81" s="568" customFormat="1">
      <c r="A746" s="549"/>
      <c r="B746" s="536"/>
      <c r="C746" s="929"/>
      <c r="D746" s="536"/>
      <c r="E746" s="2392"/>
      <c r="F746" s="2392"/>
      <c r="G746" s="2392"/>
      <c r="H746" s="2392"/>
      <c r="I746" s="2392"/>
      <c r="J746" s="2392"/>
      <c r="K746" s="2392"/>
      <c r="L746" s="2392"/>
      <c r="M746" s="2392"/>
      <c r="N746" s="2392"/>
      <c r="O746" s="2392"/>
      <c r="P746" s="2392"/>
      <c r="Q746" s="2392"/>
      <c r="R746" s="2392"/>
      <c r="S746" s="2392"/>
      <c r="T746" s="2392"/>
      <c r="U746" s="2392"/>
      <c r="V746" s="2392"/>
      <c r="W746" s="2392"/>
      <c r="X746" s="2392"/>
      <c r="Y746" s="2392"/>
      <c r="Z746" s="2392"/>
      <c r="AA746" s="2392"/>
      <c r="AB746" s="239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4" t="s">
        <v>590</v>
      </c>
      <c r="I748" s="2394"/>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5">
        <f>VLOOKUP($H$748,$AO$679:$AP$681,2,FALSE)</f>
        <v>0</v>
      </c>
      <c r="AK750" s="239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2" t="s">
        <v>1433</v>
      </c>
      <c r="F754" s="2392"/>
      <c r="G754" s="2392"/>
      <c r="H754" s="2392"/>
      <c r="I754" s="2392"/>
      <c r="J754" s="2392"/>
      <c r="K754" s="2392"/>
      <c r="L754" s="2392"/>
      <c r="M754" s="2392"/>
      <c r="N754" s="2392"/>
      <c r="O754" s="2392"/>
      <c r="P754" s="2392"/>
      <c r="Q754" s="2392"/>
      <c r="R754" s="2392"/>
      <c r="S754" s="2392"/>
      <c r="T754" s="2392"/>
      <c r="U754" s="2392"/>
      <c r="V754" s="2392"/>
      <c r="W754" s="2392"/>
      <c r="X754" s="2392"/>
      <c r="Y754" s="2392"/>
      <c r="Z754" s="2392"/>
      <c r="AA754" s="2392"/>
      <c r="AB754" s="2392"/>
      <c r="AC754" s="536"/>
      <c r="AD754" s="536"/>
      <c r="AE754" s="536"/>
      <c r="AF754" s="2393" t="s">
        <v>1345</v>
      </c>
      <c r="AG754" s="2393"/>
      <c r="AH754" s="2393"/>
      <c r="AI754" s="2393"/>
      <c r="AJ754" s="2393"/>
      <c r="AK754" s="2393"/>
      <c r="AL754" s="2393"/>
      <c r="AM754" s="549"/>
      <c r="AN754" s="680"/>
      <c r="AT754" s="14"/>
      <c r="AU754" s="14"/>
      <c r="AV754" s="14"/>
      <c r="AW754" s="14"/>
      <c r="AX754" s="14"/>
      <c r="AY754" s="14"/>
      <c r="AZ754" s="14"/>
    </row>
    <row r="755" spans="1:81" s="568" customFormat="1">
      <c r="A755" s="549"/>
      <c r="B755" s="536"/>
      <c r="C755" s="927"/>
      <c r="D755" s="659"/>
      <c r="E755" s="2392"/>
      <c r="F755" s="2392"/>
      <c r="G755" s="2392"/>
      <c r="H755" s="2392"/>
      <c r="I755" s="2392"/>
      <c r="J755" s="2392"/>
      <c r="K755" s="2392"/>
      <c r="L755" s="2392"/>
      <c r="M755" s="2392"/>
      <c r="N755" s="2392"/>
      <c r="O755" s="2392"/>
      <c r="P755" s="2392"/>
      <c r="Q755" s="2392"/>
      <c r="R755" s="2392"/>
      <c r="S755" s="2392"/>
      <c r="T755" s="2392"/>
      <c r="U755" s="2392"/>
      <c r="V755" s="2392"/>
      <c r="W755" s="2392"/>
      <c r="X755" s="2392"/>
      <c r="Y755" s="2392"/>
      <c r="Z755" s="2392"/>
      <c r="AA755" s="2392"/>
      <c r="AB755" s="239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2"/>
      <c r="F756" s="2392"/>
      <c r="G756" s="2392"/>
      <c r="H756" s="2392"/>
      <c r="I756" s="2392"/>
      <c r="J756" s="2392"/>
      <c r="K756" s="2392"/>
      <c r="L756" s="2392"/>
      <c r="M756" s="2392"/>
      <c r="N756" s="2392"/>
      <c r="O756" s="2392"/>
      <c r="P756" s="2392"/>
      <c r="Q756" s="2392"/>
      <c r="R756" s="2392"/>
      <c r="S756" s="2392"/>
      <c r="T756" s="2392"/>
      <c r="U756" s="2392"/>
      <c r="V756" s="2392"/>
      <c r="W756" s="2392"/>
      <c r="X756" s="2392"/>
      <c r="Y756" s="2392"/>
      <c r="Z756" s="2392"/>
      <c r="AA756" s="2392"/>
      <c r="AB756" s="239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2"/>
      <c r="F757" s="2392"/>
      <c r="G757" s="2392"/>
      <c r="H757" s="2392"/>
      <c r="I757" s="2392"/>
      <c r="J757" s="2392"/>
      <c r="K757" s="2392"/>
      <c r="L757" s="2392"/>
      <c r="M757" s="2392"/>
      <c r="N757" s="2392"/>
      <c r="O757" s="2392"/>
      <c r="P757" s="2392"/>
      <c r="Q757" s="2392"/>
      <c r="R757" s="2392"/>
      <c r="S757" s="2392"/>
      <c r="T757" s="2392"/>
      <c r="U757" s="2392"/>
      <c r="V757" s="2392"/>
      <c r="W757" s="2392"/>
      <c r="X757" s="2392"/>
      <c r="Y757" s="2392"/>
      <c r="Z757" s="2392"/>
      <c r="AA757" s="2392"/>
      <c r="AB757" s="239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2" t="s">
        <v>1434</v>
      </c>
      <c r="F759" s="2392"/>
      <c r="G759" s="2392"/>
      <c r="H759" s="2392"/>
      <c r="I759" s="2392"/>
      <c r="J759" s="2392"/>
      <c r="K759" s="2392"/>
      <c r="L759" s="2392"/>
      <c r="M759" s="2392"/>
      <c r="N759" s="2392"/>
      <c r="O759" s="2392"/>
      <c r="P759" s="2392"/>
      <c r="Q759" s="2392"/>
      <c r="R759" s="2392"/>
      <c r="S759" s="2392"/>
      <c r="T759" s="2392"/>
      <c r="U759" s="2392"/>
      <c r="V759" s="2392"/>
      <c r="W759" s="2392"/>
      <c r="X759" s="2392"/>
      <c r="Y759" s="2392"/>
      <c r="Z759" s="2392"/>
      <c r="AA759" s="2392"/>
      <c r="AB759" s="573"/>
      <c r="AC759" s="536"/>
      <c r="AD759" s="536"/>
      <c r="AE759" s="536"/>
      <c r="AF759" s="2393" t="s">
        <v>1399</v>
      </c>
      <c r="AG759" s="2393"/>
      <c r="AH759" s="2393"/>
      <c r="AI759" s="2393"/>
      <c r="AJ759" s="2393"/>
      <c r="AK759" s="2393"/>
      <c r="AL759" s="2393"/>
      <c r="AM759" s="549"/>
      <c r="AN759" s="680"/>
      <c r="AO759" s="30"/>
      <c r="AP759" s="14"/>
    </row>
    <row r="760" spans="1:81" s="568" customFormat="1">
      <c r="A760" s="549"/>
      <c r="B760" s="536"/>
      <c r="C760" s="927"/>
      <c r="D760" s="659"/>
      <c r="E760" s="2392"/>
      <c r="F760" s="2392"/>
      <c r="G760" s="2392"/>
      <c r="H760" s="2392"/>
      <c r="I760" s="2392"/>
      <c r="J760" s="2392"/>
      <c r="K760" s="2392"/>
      <c r="L760" s="2392"/>
      <c r="M760" s="2392"/>
      <c r="N760" s="2392"/>
      <c r="O760" s="2392"/>
      <c r="P760" s="2392"/>
      <c r="Q760" s="2392"/>
      <c r="R760" s="2392"/>
      <c r="S760" s="2392"/>
      <c r="T760" s="2392"/>
      <c r="U760" s="2392"/>
      <c r="V760" s="2392"/>
      <c r="W760" s="2392"/>
      <c r="X760" s="2392"/>
      <c r="Y760" s="2392"/>
      <c r="Z760" s="2392"/>
      <c r="AA760" s="239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2"/>
      <c r="F761" s="2392"/>
      <c r="G761" s="2392"/>
      <c r="H761" s="2392"/>
      <c r="I761" s="2392"/>
      <c r="J761" s="2392"/>
      <c r="K761" s="2392"/>
      <c r="L761" s="2392"/>
      <c r="M761" s="2392"/>
      <c r="N761" s="2392"/>
      <c r="O761" s="2392"/>
      <c r="P761" s="2392"/>
      <c r="Q761" s="2392"/>
      <c r="R761" s="2392"/>
      <c r="S761" s="2392"/>
      <c r="T761" s="2392"/>
      <c r="U761" s="2392"/>
      <c r="V761" s="2392"/>
      <c r="W761" s="2392"/>
      <c r="X761" s="2392"/>
      <c r="Y761" s="2392"/>
      <c r="Z761" s="2392"/>
      <c r="AA761" s="239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2"/>
      <c r="F762" s="2392"/>
      <c r="G762" s="2392"/>
      <c r="H762" s="2392"/>
      <c r="I762" s="2392"/>
      <c r="J762" s="2392"/>
      <c r="K762" s="2392"/>
      <c r="L762" s="2392"/>
      <c r="M762" s="2392"/>
      <c r="N762" s="2392"/>
      <c r="O762" s="2392"/>
      <c r="P762" s="2392"/>
      <c r="Q762" s="2392"/>
      <c r="R762" s="2392"/>
      <c r="S762" s="2392"/>
      <c r="T762" s="2392"/>
      <c r="U762" s="2392"/>
      <c r="V762" s="2392"/>
      <c r="W762" s="2392"/>
      <c r="X762" s="2392"/>
      <c r="Y762" s="2392"/>
      <c r="Z762" s="2392"/>
      <c r="AA762" s="239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4" t="s">
        <v>686</v>
      </c>
      <c r="I764" s="2394"/>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5">
        <f>VLOOKUP($H$764,$AO$693:$AP$695,2,FALSE)</f>
        <v>3</v>
      </c>
      <c r="AK766" s="239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2" t="s">
        <v>1436</v>
      </c>
      <c r="F770" s="2392"/>
      <c r="G770" s="2392"/>
      <c r="H770" s="2392"/>
      <c r="I770" s="2392"/>
      <c r="J770" s="2392"/>
      <c r="K770" s="2392"/>
      <c r="L770" s="2392"/>
      <c r="M770" s="2392"/>
      <c r="N770" s="2392"/>
      <c r="O770" s="2392"/>
      <c r="P770" s="2392"/>
      <c r="Q770" s="2392"/>
      <c r="R770" s="2392"/>
      <c r="S770" s="2392"/>
      <c r="T770" s="2392"/>
      <c r="U770" s="2392"/>
      <c r="V770" s="2392"/>
      <c r="W770" s="2392"/>
      <c r="X770" s="2392"/>
      <c r="Y770" s="2392"/>
      <c r="Z770" s="2392"/>
      <c r="AA770" s="2392"/>
      <c r="AB770" s="2392"/>
      <c r="AC770" s="536"/>
      <c r="AD770" s="536"/>
      <c r="AE770" s="536"/>
      <c r="AF770" s="2393" t="s">
        <v>1399</v>
      </c>
      <c r="AG770" s="2393"/>
      <c r="AH770" s="2393"/>
      <c r="AI770" s="2393"/>
      <c r="AJ770" s="2393"/>
      <c r="AK770" s="2393"/>
      <c r="AL770" s="2393"/>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2"/>
      <c r="F771" s="2392"/>
      <c r="G771" s="2392"/>
      <c r="H771" s="2392"/>
      <c r="I771" s="2392"/>
      <c r="J771" s="2392"/>
      <c r="K771" s="2392"/>
      <c r="L771" s="2392"/>
      <c r="M771" s="2392"/>
      <c r="N771" s="2392"/>
      <c r="O771" s="2392"/>
      <c r="P771" s="2392"/>
      <c r="Q771" s="2392"/>
      <c r="R771" s="2392"/>
      <c r="S771" s="2392"/>
      <c r="T771" s="2392"/>
      <c r="U771" s="2392"/>
      <c r="V771" s="2392"/>
      <c r="W771" s="2392"/>
      <c r="X771" s="2392"/>
      <c r="Y771" s="2392"/>
      <c r="Z771" s="2392"/>
      <c r="AA771" s="2392"/>
      <c r="AB771" s="239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2" t="s">
        <v>1437</v>
      </c>
      <c r="F773" s="2392"/>
      <c r="G773" s="2392"/>
      <c r="H773" s="2392"/>
      <c r="I773" s="2392"/>
      <c r="J773" s="2392"/>
      <c r="K773" s="2392"/>
      <c r="L773" s="2392"/>
      <c r="M773" s="2392"/>
      <c r="N773" s="2392"/>
      <c r="O773" s="2392"/>
      <c r="P773" s="2392"/>
      <c r="Q773" s="2392"/>
      <c r="R773" s="2392"/>
      <c r="S773" s="2392"/>
      <c r="T773" s="2392"/>
      <c r="U773" s="2392"/>
      <c r="V773" s="2392"/>
      <c r="W773" s="2392"/>
      <c r="X773" s="2392"/>
      <c r="Y773" s="2392"/>
      <c r="Z773" s="2392"/>
      <c r="AA773" s="2392"/>
      <c r="AB773" s="2392"/>
      <c r="AC773" s="536"/>
      <c r="AD773" s="536"/>
      <c r="AE773" s="536"/>
      <c r="AF773" s="2393" t="s">
        <v>1416</v>
      </c>
      <c r="AG773" s="2393"/>
      <c r="AH773" s="2393"/>
      <c r="AI773" s="2393"/>
      <c r="AJ773" s="2393"/>
      <c r="AK773" s="2393"/>
      <c r="AL773" s="2393"/>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2"/>
      <c r="F774" s="2392"/>
      <c r="G774" s="2392"/>
      <c r="H774" s="2392"/>
      <c r="I774" s="2392"/>
      <c r="J774" s="2392"/>
      <c r="K774" s="2392"/>
      <c r="L774" s="2392"/>
      <c r="M774" s="2392"/>
      <c r="N774" s="2392"/>
      <c r="O774" s="2392"/>
      <c r="P774" s="2392"/>
      <c r="Q774" s="2392"/>
      <c r="R774" s="2392"/>
      <c r="S774" s="2392"/>
      <c r="T774" s="2392"/>
      <c r="U774" s="2392"/>
      <c r="V774" s="2392"/>
      <c r="W774" s="2392"/>
      <c r="X774" s="2392"/>
      <c r="Y774" s="2392"/>
      <c r="Z774" s="2392"/>
      <c r="AA774" s="2392"/>
      <c r="AB774" s="239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4" t="s">
        <v>508</v>
      </c>
      <c r="I776" s="2394"/>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5">
        <f>VLOOKUP($H$776,$AO$710:$AP$712,2,FALSE)</f>
        <v>1</v>
      </c>
      <c r="AK778" s="239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686</v>
      </c>
      <c r="E782" s="2392" t="s">
        <v>1680</v>
      </c>
      <c r="F782" s="2392"/>
      <c r="G782" s="2392"/>
      <c r="H782" s="2392"/>
      <c r="I782" s="2392"/>
      <c r="J782" s="2392"/>
      <c r="K782" s="2392"/>
      <c r="L782" s="2392"/>
      <c r="M782" s="2392"/>
      <c r="N782" s="2392"/>
      <c r="O782" s="2392"/>
      <c r="P782" s="2392"/>
      <c r="Q782" s="2392"/>
      <c r="R782" s="2392"/>
      <c r="S782" s="2392"/>
      <c r="T782" s="2392"/>
      <c r="U782" s="2392"/>
      <c r="V782" s="2392"/>
      <c r="W782" s="2392"/>
      <c r="X782" s="2392"/>
      <c r="Y782" s="2392"/>
      <c r="Z782" s="2392"/>
      <c r="AA782" s="2392"/>
      <c r="AB782" s="2392"/>
      <c r="AC782" s="2392"/>
      <c r="AD782" s="2392"/>
      <c r="AE782" s="536"/>
      <c r="AF782" s="2393" t="s">
        <v>1399</v>
      </c>
      <c r="AG782" s="2393"/>
      <c r="AH782" s="2393"/>
      <c r="AI782" s="2393"/>
      <c r="AJ782" s="2393"/>
      <c r="AK782" s="2393"/>
      <c r="AL782" s="2393"/>
      <c r="AM782" s="611"/>
      <c r="AN782" s="680"/>
      <c r="AO782" s="549" t="s">
        <v>590</v>
      </c>
      <c r="AP782" s="669">
        <v>0</v>
      </c>
    </row>
    <row r="783" spans="1:74" s="568" customFormat="1" ht="13.65" customHeight="1">
      <c r="A783" s="549"/>
      <c r="B783" s="614"/>
      <c r="C783" s="936"/>
      <c r="D783" s="659"/>
      <c r="E783" s="2392"/>
      <c r="F783" s="2392"/>
      <c r="G783" s="2392"/>
      <c r="H783" s="2392"/>
      <c r="I783" s="2392"/>
      <c r="J783" s="2392"/>
      <c r="K783" s="2392"/>
      <c r="L783" s="2392"/>
      <c r="M783" s="2392"/>
      <c r="N783" s="2392"/>
      <c r="O783" s="2392"/>
      <c r="P783" s="2392"/>
      <c r="Q783" s="2392"/>
      <c r="R783" s="2392"/>
      <c r="S783" s="2392"/>
      <c r="T783" s="2392"/>
      <c r="U783" s="2392"/>
      <c r="V783" s="2392"/>
      <c r="W783" s="2392"/>
      <c r="X783" s="2392"/>
      <c r="Y783" s="2392"/>
      <c r="Z783" s="2392"/>
      <c r="AA783" s="2392"/>
      <c r="AB783" s="2392"/>
      <c r="AC783" s="2392"/>
      <c r="AD783" s="2392"/>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2"/>
      <c r="F784" s="2392"/>
      <c r="G784" s="2392"/>
      <c r="H784" s="2392"/>
      <c r="I784" s="2392"/>
      <c r="J784" s="2392"/>
      <c r="K784" s="2392"/>
      <c r="L784" s="2392"/>
      <c r="M784" s="2392"/>
      <c r="N784" s="2392"/>
      <c r="O784" s="2392"/>
      <c r="P784" s="2392"/>
      <c r="Q784" s="2392"/>
      <c r="R784" s="2392"/>
      <c r="S784" s="2392"/>
      <c r="T784" s="2392"/>
      <c r="U784" s="2392"/>
      <c r="V784" s="2392"/>
      <c r="W784" s="2392"/>
      <c r="X784" s="2392"/>
      <c r="Y784" s="2392"/>
      <c r="Z784" s="2392"/>
      <c r="AA784" s="2392"/>
      <c r="AB784" s="2392"/>
      <c r="AC784" s="2392"/>
      <c r="AD784" s="2392"/>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2"/>
      <c r="F785" s="2392"/>
      <c r="G785" s="2392"/>
      <c r="H785" s="2392"/>
      <c r="I785" s="2392"/>
      <c r="J785" s="2392"/>
      <c r="K785" s="2392"/>
      <c r="L785" s="2392"/>
      <c r="M785" s="2392"/>
      <c r="N785" s="2392"/>
      <c r="O785" s="2392"/>
      <c r="P785" s="2392"/>
      <c r="Q785" s="2392"/>
      <c r="R785" s="2392"/>
      <c r="S785" s="2392"/>
      <c r="T785" s="2392"/>
      <c r="U785" s="2392"/>
      <c r="V785" s="2392"/>
      <c r="W785" s="2392"/>
      <c r="X785" s="2392"/>
      <c r="Y785" s="2392"/>
      <c r="Z785" s="2392"/>
      <c r="AA785" s="2392"/>
      <c r="AB785" s="2392"/>
      <c r="AC785" s="2392"/>
      <c r="AD785" s="239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3" t="s">
        <v>1685</v>
      </c>
      <c r="F787" s="2533"/>
      <c r="G787" s="2533"/>
      <c r="H787" s="2533"/>
      <c r="I787" s="2533"/>
      <c r="J787" s="2533"/>
      <c r="K787" s="2533"/>
      <c r="L787" s="2533"/>
      <c r="M787" s="2533"/>
      <c r="N787" s="2533"/>
      <c r="O787" s="2533"/>
      <c r="P787" s="2533"/>
      <c r="Q787" s="2533"/>
      <c r="R787" s="2533"/>
      <c r="S787" s="2533"/>
      <c r="T787" s="2533"/>
      <c r="U787" s="2533"/>
      <c r="V787" s="2533"/>
      <c r="W787" s="2533"/>
      <c r="X787" s="2533"/>
      <c r="Y787" s="2533"/>
      <c r="Z787" s="2533"/>
      <c r="AA787" s="2533"/>
      <c r="AB787" s="2533"/>
      <c r="AC787" s="2533"/>
      <c r="AD787" s="2533"/>
      <c r="AE787" s="536"/>
      <c r="AF787" s="2393" t="s">
        <v>1345</v>
      </c>
      <c r="AG787" s="2393"/>
      <c r="AH787" s="2393"/>
      <c r="AI787" s="2393"/>
      <c r="AJ787" s="2393"/>
      <c r="AK787" s="2393"/>
      <c r="AL787" s="2393"/>
      <c r="AM787" s="611"/>
      <c r="AN787" s="595"/>
    </row>
    <row r="788" spans="1:81" s="549" customFormat="1" ht="12.75" customHeight="1">
      <c r="B788" s="614"/>
      <c r="C788" s="936"/>
      <c r="D788" s="659"/>
      <c r="E788" s="2533"/>
      <c r="F788" s="2533"/>
      <c r="G788" s="2533"/>
      <c r="H788" s="2533"/>
      <c r="I788" s="2533"/>
      <c r="J788" s="2533"/>
      <c r="K788" s="2533"/>
      <c r="L788" s="2533"/>
      <c r="M788" s="2533"/>
      <c r="N788" s="2533"/>
      <c r="O788" s="2533"/>
      <c r="P788" s="2533"/>
      <c r="Q788" s="2533"/>
      <c r="R788" s="2533"/>
      <c r="S788" s="2533"/>
      <c r="T788" s="2533"/>
      <c r="U788" s="2533"/>
      <c r="V788" s="2533"/>
      <c r="W788" s="2533"/>
      <c r="X788" s="2533"/>
      <c r="Y788" s="2533"/>
      <c r="Z788" s="2533"/>
      <c r="AA788" s="2533"/>
      <c r="AB788" s="2533"/>
      <c r="AC788" s="2533"/>
      <c r="AD788" s="2533"/>
      <c r="AE788" s="592"/>
      <c r="AF788" s="592"/>
      <c r="AG788" s="592"/>
      <c r="AH788" s="592"/>
      <c r="AI788" s="592"/>
      <c r="AJ788" s="592"/>
      <c r="AK788" s="592"/>
      <c r="AL788" s="592"/>
      <c r="AM788" s="611"/>
      <c r="AN788" s="595"/>
    </row>
    <row r="789" spans="1:81" s="549" customFormat="1" ht="12.75" customHeight="1">
      <c r="B789" s="614"/>
      <c r="C789" s="936"/>
      <c r="D789" s="659"/>
      <c r="E789" s="2533"/>
      <c r="F789" s="2533"/>
      <c r="G789" s="2533"/>
      <c r="H789" s="2533"/>
      <c r="I789" s="2533"/>
      <c r="J789" s="2533"/>
      <c r="K789" s="2533"/>
      <c r="L789" s="2533"/>
      <c r="M789" s="2533"/>
      <c r="N789" s="2533"/>
      <c r="O789" s="2533"/>
      <c r="P789" s="2533"/>
      <c r="Q789" s="2533"/>
      <c r="R789" s="2533"/>
      <c r="S789" s="2533"/>
      <c r="T789" s="2533"/>
      <c r="U789" s="2533"/>
      <c r="V789" s="2533"/>
      <c r="W789" s="2533"/>
      <c r="X789" s="2533"/>
      <c r="Y789" s="2533"/>
      <c r="Z789" s="2533"/>
      <c r="AA789" s="2533"/>
      <c r="AB789" s="2533"/>
      <c r="AC789" s="2533"/>
      <c r="AD789" s="2533"/>
      <c r="AE789" s="592"/>
      <c r="AF789" s="592"/>
      <c r="AG789" s="592"/>
      <c r="AH789" s="592"/>
      <c r="AI789" s="592"/>
      <c r="AJ789" s="592"/>
      <c r="AK789" s="592"/>
      <c r="AL789" s="592"/>
      <c r="AM789" s="611"/>
      <c r="AN789" s="595"/>
    </row>
    <row r="790" spans="1:81" s="549" customFormat="1" ht="12.75" customHeight="1">
      <c r="B790" s="614"/>
      <c r="C790" s="936"/>
      <c r="D790" s="659"/>
      <c r="E790" s="2533"/>
      <c r="F790" s="2533"/>
      <c r="G790" s="2533"/>
      <c r="H790" s="2533"/>
      <c r="I790" s="2533"/>
      <c r="J790" s="2533"/>
      <c r="K790" s="2533"/>
      <c r="L790" s="2533"/>
      <c r="M790" s="2533"/>
      <c r="N790" s="2533"/>
      <c r="O790" s="2533"/>
      <c r="P790" s="2533"/>
      <c r="Q790" s="2533"/>
      <c r="R790" s="2533"/>
      <c r="S790" s="2533"/>
      <c r="T790" s="2533"/>
      <c r="U790" s="2533"/>
      <c r="V790" s="2533"/>
      <c r="W790" s="2533"/>
      <c r="X790" s="2533"/>
      <c r="Y790" s="2533"/>
      <c r="Z790" s="2533"/>
      <c r="AA790" s="2533"/>
      <c r="AB790" s="2533"/>
      <c r="AC790" s="2533"/>
      <c r="AD790" s="2533"/>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4" t="s">
        <v>590</v>
      </c>
      <c r="I792" s="2394"/>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5">
        <f>VLOOKUP($H$792,$AO$782:$AP$784,2,FALSE)</f>
        <v>0</v>
      </c>
      <c r="AK794" s="2396"/>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686</v>
      </c>
      <c r="E798" s="2392" t="s">
        <v>2639</v>
      </c>
      <c r="F798" s="2392"/>
      <c r="G798" s="2392"/>
      <c r="H798" s="2392"/>
      <c r="I798" s="2392"/>
      <c r="J798" s="2392"/>
      <c r="K798" s="2392"/>
      <c r="L798" s="2392"/>
      <c r="M798" s="2392"/>
      <c r="N798" s="2392"/>
      <c r="O798" s="2392"/>
      <c r="P798" s="2392"/>
      <c r="Q798" s="2392"/>
      <c r="R798" s="2392"/>
      <c r="S798" s="2392"/>
      <c r="T798" s="2392"/>
      <c r="U798" s="2392"/>
      <c r="V798" s="2392"/>
      <c r="W798" s="2392"/>
      <c r="X798" s="2392"/>
      <c r="Y798" s="2392"/>
      <c r="Z798" s="2392"/>
      <c r="AA798" s="2392"/>
      <c r="AB798" s="2392"/>
      <c r="AC798" s="2392"/>
      <c r="AD798" s="2392"/>
      <c r="AE798" s="536"/>
      <c r="AF798" s="2393" t="s">
        <v>1345</v>
      </c>
      <c r="AG798" s="2393"/>
      <c r="AH798" s="2393"/>
      <c r="AI798" s="2393"/>
      <c r="AJ798" s="2393"/>
      <c r="AK798" s="2393"/>
      <c r="AL798" s="2393"/>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392"/>
      <c r="F799" s="2392"/>
      <c r="G799" s="2392"/>
      <c r="H799" s="2392"/>
      <c r="I799" s="2392"/>
      <c r="J799" s="2392"/>
      <c r="K799" s="2392"/>
      <c r="L799" s="2392"/>
      <c r="M799" s="2392"/>
      <c r="N799" s="2392"/>
      <c r="O799" s="2392"/>
      <c r="P799" s="2392"/>
      <c r="Q799" s="2392"/>
      <c r="R799" s="2392"/>
      <c r="S799" s="2392"/>
      <c r="T799" s="2392"/>
      <c r="U799" s="2392"/>
      <c r="V799" s="2392"/>
      <c r="W799" s="2392"/>
      <c r="X799" s="2392"/>
      <c r="Y799" s="2392"/>
      <c r="Z799" s="2392"/>
      <c r="AA799" s="2392"/>
      <c r="AB799" s="2392"/>
      <c r="AC799" s="2392"/>
      <c r="AD799" s="239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2"/>
      <c r="F800" s="2392"/>
      <c r="G800" s="2392"/>
      <c r="H800" s="2392"/>
      <c r="I800" s="2392"/>
      <c r="J800" s="2392"/>
      <c r="K800" s="2392"/>
      <c r="L800" s="2392"/>
      <c r="M800" s="2392"/>
      <c r="N800" s="2392"/>
      <c r="O800" s="2392"/>
      <c r="P800" s="2392"/>
      <c r="Q800" s="2392"/>
      <c r="R800" s="2392"/>
      <c r="S800" s="2392"/>
      <c r="T800" s="2392"/>
      <c r="U800" s="2392"/>
      <c r="V800" s="2392"/>
      <c r="W800" s="2392"/>
      <c r="X800" s="2392"/>
      <c r="Y800" s="2392"/>
      <c r="Z800" s="2392"/>
      <c r="AA800" s="2392"/>
      <c r="AB800" s="2392"/>
      <c r="AC800" s="2392"/>
      <c r="AD800" s="239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2"/>
      <c r="F801" s="2392"/>
      <c r="G801" s="2392"/>
      <c r="H801" s="2392"/>
      <c r="I801" s="2392"/>
      <c r="J801" s="2392"/>
      <c r="K801" s="2392"/>
      <c r="L801" s="2392"/>
      <c r="M801" s="2392"/>
      <c r="N801" s="2392"/>
      <c r="O801" s="2392"/>
      <c r="P801" s="2392"/>
      <c r="Q801" s="2392"/>
      <c r="R801" s="2392"/>
      <c r="S801" s="2392"/>
      <c r="T801" s="2392"/>
      <c r="U801" s="2392"/>
      <c r="V801" s="2392"/>
      <c r="W801" s="2392"/>
      <c r="X801" s="2392"/>
      <c r="Y801" s="2392"/>
      <c r="Z801" s="2392"/>
      <c r="AA801" s="2392"/>
      <c r="AB801" s="2392"/>
      <c r="AC801" s="2392"/>
      <c r="AD801" s="239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4" t="s">
        <v>590</v>
      </c>
      <c r="I803" s="2394"/>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5">
        <f>VLOOKUP($H$803,$AO$797:$AP$798,2,FALSE)</f>
        <v>0</v>
      </c>
      <c r="AK805" s="239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2" t="s">
        <v>2601</v>
      </c>
      <c r="F809" s="2392"/>
      <c r="G809" s="2392"/>
      <c r="H809" s="2392"/>
      <c r="I809" s="2392"/>
      <c r="J809" s="2392"/>
      <c r="K809" s="2392"/>
      <c r="L809" s="2392"/>
      <c r="M809" s="2392"/>
      <c r="N809" s="2392"/>
      <c r="O809" s="2392"/>
      <c r="P809" s="2392"/>
      <c r="Q809" s="2392"/>
      <c r="R809" s="2392"/>
      <c r="S809" s="2392"/>
      <c r="T809" s="2392"/>
      <c r="U809" s="2392"/>
      <c r="V809" s="2392"/>
      <c r="W809" s="2392"/>
      <c r="X809" s="2392"/>
      <c r="Y809" s="2392"/>
      <c r="Z809" s="2392"/>
      <c r="AA809" s="2392"/>
      <c r="AB809" s="2392"/>
      <c r="AC809" s="2392"/>
      <c r="AD809" s="2392"/>
      <c r="AE809" s="550"/>
      <c r="AF809" s="2393" t="s">
        <v>1370</v>
      </c>
      <c r="AG809" s="2393"/>
      <c r="AH809" s="2393"/>
      <c r="AI809" s="2393"/>
      <c r="AJ809" s="2393"/>
      <c r="AK809" s="2393"/>
      <c r="AL809" s="2393"/>
      <c r="AN809" s="595"/>
    </row>
    <row r="810" spans="1:81" s="549" customFormat="1" ht="12.75" customHeight="1">
      <c r="B810" s="614"/>
      <c r="C810" s="684"/>
      <c r="D810" s="659"/>
      <c r="E810" s="2392"/>
      <c r="F810" s="2392"/>
      <c r="G810" s="2392"/>
      <c r="H810" s="2392"/>
      <c r="I810" s="2392"/>
      <c r="J810" s="2392"/>
      <c r="K810" s="2392"/>
      <c r="L810" s="2392"/>
      <c r="M810" s="2392"/>
      <c r="N810" s="2392"/>
      <c r="O810" s="2392"/>
      <c r="P810" s="2392"/>
      <c r="Q810" s="2392"/>
      <c r="R810" s="2392"/>
      <c r="S810" s="2392"/>
      <c r="T810" s="2392"/>
      <c r="U810" s="2392"/>
      <c r="V810" s="2392"/>
      <c r="W810" s="2392"/>
      <c r="X810" s="2392"/>
      <c r="Y810" s="2392"/>
      <c r="Z810" s="2392"/>
      <c r="AA810" s="2392"/>
      <c r="AB810" s="2392"/>
      <c r="AC810" s="2392"/>
      <c r="AD810" s="239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4" t="s">
        <v>590</v>
      </c>
      <c r="I812" s="2394"/>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5">
        <f>IF(H812="Yes",5,0)</f>
        <v>0</v>
      </c>
      <c r="AK814" s="239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5">
        <f>IF(($AJ$634+$AJ$653+$AJ$665+$AJ$700+$AJ$724+$AJ$738+$AJ$750+$AJ$766+$AJ$778+$AJ$794+AJ805+AJ814)&gt;10,10,($AJ$634+$AJ$653+$AJ$665+$AJ$700+$AJ$724+$AJ$738+$AJ$750+$AJ$766+$AJ$778+$AJ$794+AJ805+AJ814))</f>
        <v>10</v>
      </c>
      <c r="AL816" s="2441"/>
      <c r="AM816" s="239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2" t="s">
        <v>1557</v>
      </c>
      <c r="B819" s="2523"/>
      <c r="C819" s="2523"/>
      <c r="D819" s="2523"/>
      <c r="E819" s="2523"/>
      <c r="F819" s="2523"/>
      <c r="G819" s="2523"/>
      <c r="H819" s="2523"/>
      <c r="I819" s="2523"/>
      <c r="J819" s="2523"/>
      <c r="K819" s="2523"/>
      <c r="L819" s="2523"/>
      <c r="M819" s="2523"/>
      <c r="N819" s="2523"/>
      <c r="O819" s="2523"/>
      <c r="P819" s="2523"/>
      <c r="Q819" s="2523"/>
      <c r="R819" s="2523"/>
      <c r="S819" s="2523"/>
      <c r="T819" s="2523"/>
      <c r="U819" s="2523"/>
      <c r="V819" s="2523"/>
      <c r="W819" s="2523"/>
      <c r="X819" s="2523"/>
      <c r="Y819" s="2523"/>
      <c r="Z819" s="2523"/>
      <c r="AA819" s="2523"/>
      <c r="AB819" s="2523"/>
      <c r="AC819" s="2523"/>
      <c r="AD819" s="2523"/>
      <c r="AE819" s="2523"/>
      <c r="AF819" s="2523"/>
      <c r="AG819" s="2523"/>
      <c r="AH819" s="2523"/>
      <c r="AI819" s="2523"/>
      <c r="AJ819" s="2523"/>
      <c r="AK819" s="2523"/>
      <c r="AL819" s="2523"/>
      <c r="AM819" s="2523"/>
    </row>
    <row r="820" spans="1:43">
      <c r="A820" s="2524"/>
      <c r="B820" s="2524"/>
      <c r="C820" s="2524"/>
      <c r="D820" s="2524"/>
      <c r="E820" s="2524"/>
      <c r="F820" s="2524"/>
      <c r="G820" s="2524"/>
      <c r="H820" s="2524"/>
      <c r="I820" s="2524"/>
      <c r="J820" s="2524"/>
      <c r="K820" s="2524"/>
      <c r="L820" s="2524"/>
      <c r="M820" s="2524"/>
      <c r="N820" s="2524"/>
      <c r="O820" s="2524"/>
      <c r="P820" s="2524"/>
      <c r="Q820" s="2524"/>
      <c r="R820" s="2524"/>
      <c r="S820" s="2524"/>
      <c r="T820" s="2524"/>
      <c r="U820" s="2524"/>
      <c r="V820" s="2524"/>
      <c r="W820" s="2524"/>
      <c r="X820" s="2524"/>
      <c r="Y820" s="2524"/>
      <c r="Z820" s="2524"/>
      <c r="AA820" s="2524"/>
      <c r="AB820" s="2524"/>
      <c r="AC820" s="2524"/>
      <c r="AD820" s="2524"/>
      <c r="AE820" s="2524"/>
      <c r="AF820" s="2524"/>
      <c r="AG820" s="2524"/>
      <c r="AH820" s="2524"/>
      <c r="AI820" s="2524"/>
      <c r="AJ820" s="2524"/>
      <c r="AK820" s="2524"/>
      <c r="AL820" s="2524"/>
      <c r="AM820" s="252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8"/>
      <c r="B822" s="2468"/>
      <c r="C822" s="2468"/>
      <c r="D822" s="2468"/>
      <c r="E822" s="2468"/>
      <c r="F822" s="2468"/>
      <c r="G822" s="2468"/>
      <c r="H822" s="2468"/>
      <c r="I822" s="2468"/>
      <c r="J822" s="2468"/>
      <c r="K822" s="2468"/>
      <c r="L822" s="2468"/>
      <c r="M822" s="2468"/>
      <c r="N822" s="2468"/>
      <c r="O822" s="2468"/>
      <c r="P822" s="2468"/>
      <c r="Q822" s="2468"/>
      <c r="R822" s="2468"/>
      <c r="S822" s="2468"/>
      <c r="T822" s="2468"/>
      <c r="U822" s="2468"/>
      <c r="V822" s="2468"/>
      <c r="W822" s="2468"/>
      <c r="X822" s="2468"/>
      <c r="Y822" s="2468"/>
      <c r="Z822" s="2468"/>
      <c r="AA822" s="2468"/>
      <c r="AB822" s="2468"/>
      <c r="AC822" s="2468"/>
      <c r="AD822" s="2468"/>
      <c r="AE822" s="2468"/>
      <c r="AF822" s="2468"/>
      <c r="AG822" s="2468"/>
      <c r="AH822" s="2468"/>
      <c r="AI822" s="2468"/>
      <c r="AJ822" s="2468"/>
      <c r="AK822" s="2468"/>
      <c r="AL822" s="2468"/>
      <c r="AM822" s="2468"/>
      <c r="AP822" s="812"/>
      <c r="AQ822" s="812"/>
    </row>
    <row r="823" spans="1:43">
      <c r="A823" s="2468"/>
      <c r="B823" s="2468"/>
      <c r="C823" s="2468"/>
      <c r="D823" s="2468"/>
      <c r="E823" s="2468"/>
      <c r="F823" s="2468"/>
      <c r="G823" s="2468"/>
      <c r="H823" s="2468"/>
      <c r="I823" s="2468"/>
      <c r="J823" s="2468"/>
      <c r="K823" s="2468"/>
      <c r="L823" s="2468"/>
      <c r="M823" s="2468"/>
      <c r="N823" s="2468"/>
      <c r="O823" s="2468"/>
      <c r="P823" s="2468"/>
      <c r="Q823" s="2468"/>
      <c r="R823" s="2468"/>
      <c r="S823" s="2468"/>
      <c r="T823" s="2468"/>
      <c r="U823" s="2468"/>
      <c r="V823" s="2468"/>
      <c r="W823" s="2468"/>
      <c r="X823" s="2468"/>
      <c r="Y823" s="2468"/>
      <c r="Z823" s="2468"/>
      <c r="AA823" s="2468"/>
      <c r="AB823" s="2468"/>
      <c r="AC823" s="2468"/>
      <c r="AD823" s="2468"/>
      <c r="AE823" s="2468"/>
      <c r="AF823" s="2468"/>
      <c r="AG823" s="2468"/>
      <c r="AH823" s="2468"/>
      <c r="AI823" s="2468"/>
      <c r="AJ823" s="2468"/>
      <c r="AK823" s="2468"/>
      <c r="AL823" s="2468"/>
      <c r="AM823" s="246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5" t="s">
        <v>1558</v>
      </c>
      <c r="U824" s="2526"/>
      <c r="V824" s="2526"/>
      <c r="W824" s="2526"/>
      <c r="X824" s="2526"/>
      <c r="Y824" s="2527"/>
      <c r="Z824" s="2525" t="s">
        <v>1559</v>
      </c>
      <c r="AA824" s="2526"/>
      <c r="AB824" s="2526"/>
      <c r="AC824" s="2526"/>
      <c r="AD824" s="2526"/>
      <c r="AE824" s="2527"/>
      <c r="AF824" s="2525" t="s">
        <v>1560</v>
      </c>
      <c r="AG824" s="2526"/>
      <c r="AH824" s="2526"/>
      <c r="AI824" s="2526"/>
      <c r="AJ824" s="2526"/>
      <c r="AK824" s="252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8"/>
      <c r="U825" s="2529"/>
      <c r="V825" s="2529"/>
      <c r="W825" s="2529"/>
      <c r="X825" s="2529"/>
      <c r="Y825" s="2530"/>
      <c r="Z825" s="2528"/>
      <c r="AA825" s="2529"/>
      <c r="AB825" s="2529"/>
      <c r="AC825" s="2529"/>
      <c r="AD825" s="2529"/>
      <c r="AE825" s="2530"/>
      <c r="AF825" s="2528"/>
      <c r="AG825" s="2529"/>
      <c r="AH825" s="2529"/>
      <c r="AI825" s="2529"/>
      <c r="AJ825" s="2529"/>
      <c r="AK825" s="2530"/>
      <c r="AL825" s="814"/>
      <c r="AM825" s="594"/>
      <c r="AO825" s="812"/>
      <c r="AP825" s="812"/>
      <c r="AQ825" s="812"/>
    </row>
    <row r="826" spans="1:43">
      <c r="A826" s="815" t="s">
        <v>756</v>
      </c>
      <c r="B826" s="2483" t="str">
        <f>B7</f>
        <v xml:space="preserve">Acquisition/Rehabilitation Project Priorities </v>
      </c>
      <c r="C826" s="2483"/>
      <c r="D826" s="2483"/>
      <c r="E826" s="2483"/>
      <c r="F826" s="2483"/>
      <c r="G826" s="2483"/>
      <c r="H826" s="2483"/>
      <c r="I826" s="2483"/>
      <c r="J826" s="2483"/>
      <c r="K826" s="2483"/>
      <c r="L826" s="2483"/>
      <c r="M826" s="2483"/>
      <c r="N826" s="2483"/>
      <c r="O826" s="2483"/>
      <c r="P826" s="2483"/>
      <c r="Q826" s="2483"/>
      <c r="R826" s="2483"/>
      <c r="S826" s="2484"/>
      <c r="T826" s="2510">
        <f>AK61</f>
        <v>0</v>
      </c>
      <c r="U826" s="2487"/>
      <c r="V826" s="2487"/>
      <c r="W826" s="2487"/>
      <c r="X826" s="2487"/>
      <c r="Y826" s="2488"/>
      <c r="Z826" s="2486">
        <v>20</v>
      </c>
      <c r="AA826" s="2487"/>
      <c r="AB826" s="2487"/>
      <c r="AC826" s="2487"/>
      <c r="AD826" s="2487"/>
      <c r="AE826" s="2488"/>
      <c r="AF826" s="2466">
        <f>IF(T826&gt;Z826,Z826,T826)</f>
        <v>0</v>
      </c>
      <c r="AG826" s="2466"/>
      <c r="AH826" s="2466"/>
      <c r="AI826" s="2466"/>
      <c r="AJ826" s="2466"/>
      <c r="AK826" s="2466"/>
      <c r="AL826" s="814"/>
      <c r="AM826" s="594"/>
      <c r="AO826" s="812"/>
      <c r="AP826" s="812"/>
      <c r="AQ826" s="812"/>
    </row>
    <row r="827" spans="1:43">
      <c r="A827" s="815" t="s">
        <v>1531</v>
      </c>
      <c r="B827" s="2483" t="s">
        <v>1306</v>
      </c>
      <c r="C827" s="2483"/>
      <c r="D827" s="2483"/>
      <c r="E827" s="2483"/>
      <c r="F827" s="2483"/>
      <c r="G827" s="2483"/>
      <c r="H827" s="2483"/>
      <c r="I827" s="2483"/>
      <c r="J827" s="2483"/>
      <c r="K827" s="2483"/>
      <c r="L827" s="2483"/>
      <c r="M827" s="2483"/>
      <c r="N827" s="2483"/>
      <c r="O827" s="2483"/>
      <c r="P827" s="2483"/>
      <c r="Q827" s="2483"/>
      <c r="R827" s="2483"/>
      <c r="S827" s="2484"/>
      <c r="T827" s="2510">
        <f>AK83</f>
        <v>10</v>
      </c>
      <c r="U827" s="2487"/>
      <c r="V827" s="2487"/>
      <c r="W827" s="2487"/>
      <c r="X827" s="2487"/>
      <c r="Y827" s="2488"/>
      <c r="Z827" s="2486">
        <v>10</v>
      </c>
      <c r="AA827" s="2487"/>
      <c r="AB827" s="2487"/>
      <c r="AC827" s="2487"/>
      <c r="AD827" s="2487"/>
      <c r="AE827" s="2488"/>
      <c r="AF827" s="2466">
        <f>IF(T827&gt;Z827,Z827,T827)</f>
        <v>10</v>
      </c>
      <c r="AG827" s="2466"/>
      <c r="AH827" s="2466"/>
      <c r="AI827" s="2466"/>
      <c r="AJ827" s="2466"/>
      <c r="AK827" s="2466"/>
      <c r="AL827" s="814"/>
      <c r="AM827" s="594"/>
      <c r="AO827" s="812"/>
      <c r="AP827" s="812"/>
      <c r="AQ827" s="812"/>
    </row>
    <row r="828" spans="1:43">
      <c r="A828" s="815" t="s">
        <v>1540</v>
      </c>
      <c r="B828" s="2483" t="s">
        <v>1316</v>
      </c>
      <c r="C828" s="2483"/>
      <c r="D828" s="2483"/>
      <c r="E828" s="2483"/>
      <c r="F828" s="2483"/>
      <c r="G828" s="2483"/>
      <c r="H828" s="2483"/>
      <c r="I828" s="2483"/>
      <c r="J828" s="2483"/>
      <c r="K828" s="2483"/>
      <c r="L828" s="2483"/>
      <c r="M828" s="2483"/>
      <c r="N828" s="2483"/>
      <c r="O828" s="2483"/>
      <c r="P828" s="2483"/>
      <c r="Q828" s="2483"/>
      <c r="R828" s="2483"/>
      <c r="S828" s="2484"/>
      <c r="T828" s="2510">
        <f ca="1">AK108</f>
        <v>20</v>
      </c>
      <c r="U828" s="2487"/>
      <c r="V828" s="2487"/>
      <c r="W828" s="2487"/>
      <c r="X828" s="2487"/>
      <c r="Y828" s="2488"/>
      <c r="Z828" s="2486">
        <v>20</v>
      </c>
      <c r="AA828" s="2487"/>
      <c r="AB828" s="2487"/>
      <c r="AC828" s="2487"/>
      <c r="AD828" s="2487"/>
      <c r="AE828" s="2488"/>
      <c r="AF828" s="2466">
        <f ca="1">IF(T828&gt;Z828,Z828,T828)</f>
        <v>20</v>
      </c>
      <c r="AG828" s="2466"/>
      <c r="AH828" s="2466"/>
      <c r="AI828" s="2466"/>
      <c r="AJ828" s="2466"/>
      <c r="AK828" s="2466"/>
      <c r="AL828" s="814"/>
      <c r="AM828" s="594"/>
      <c r="AO828" s="812"/>
      <c r="AP828" s="812"/>
      <c r="AQ828" s="812"/>
    </row>
    <row r="829" spans="1:43">
      <c r="A829" s="815" t="s">
        <v>1561</v>
      </c>
      <c r="B829" s="2483" t="s">
        <v>1326</v>
      </c>
      <c r="C829" s="2483"/>
      <c r="D829" s="2483"/>
      <c r="E829" s="2483"/>
      <c r="F829" s="2483"/>
      <c r="G829" s="2483"/>
      <c r="H829" s="2483"/>
      <c r="I829" s="2483"/>
      <c r="J829" s="2483"/>
      <c r="K829" s="2483"/>
      <c r="L829" s="2483"/>
      <c r="M829" s="2483"/>
      <c r="N829" s="2483"/>
      <c r="O829" s="2483"/>
      <c r="P829" s="2483"/>
      <c r="Q829" s="2483"/>
      <c r="R829" s="2483"/>
      <c r="S829" s="2484"/>
      <c r="T829" s="2510">
        <f>AK142</f>
        <v>10</v>
      </c>
      <c r="U829" s="2487"/>
      <c r="V829" s="2487"/>
      <c r="W829" s="2487"/>
      <c r="X829" s="2487"/>
      <c r="Y829" s="2488"/>
      <c r="Z829" s="2486">
        <v>10</v>
      </c>
      <c r="AA829" s="2487"/>
      <c r="AB829" s="2487"/>
      <c r="AC829" s="2487"/>
      <c r="AD829" s="2487"/>
      <c r="AE829" s="2488"/>
      <c r="AF829" s="2466">
        <f>IF(T829&gt;Z829,Z829,T829)</f>
        <v>10</v>
      </c>
      <c r="AG829" s="2466"/>
      <c r="AH829" s="2466"/>
      <c r="AI829" s="2466"/>
      <c r="AJ829" s="2466"/>
      <c r="AK829" s="2466"/>
      <c r="AL829" s="814"/>
      <c r="AM829" s="594"/>
      <c r="AO829" s="812"/>
      <c r="AP829" s="812"/>
      <c r="AQ829" s="812"/>
    </row>
    <row r="830" spans="1:43">
      <c r="A830" s="816" t="s">
        <v>1562</v>
      </c>
      <c r="B830" s="2483" t="s">
        <v>1563</v>
      </c>
      <c r="C830" s="2483"/>
      <c r="D830" s="2483"/>
      <c r="E830" s="2483"/>
      <c r="F830" s="2483"/>
      <c r="G830" s="2483"/>
      <c r="H830" s="2483"/>
      <c r="I830" s="2483"/>
      <c r="J830" s="2483"/>
      <c r="K830" s="2483"/>
      <c r="L830" s="2483"/>
      <c r="M830" s="2483"/>
      <c r="N830" s="2483"/>
      <c r="O830" s="2483"/>
      <c r="P830" s="2483"/>
      <c r="Q830" s="2483"/>
      <c r="R830" s="2483"/>
      <c r="S830" s="2484"/>
      <c r="T830" s="2485">
        <f>SUM(T831:Y832)</f>
        <v>10</v>
      </c>
      <c r="U830" s="2485"/>
      <c r="V830" s="2485"/>
      <c r="W830" s="2485"/>
      <c r="X830" s="2485"/>
      <c r="Y830" s="2485"/>
      <c r="Z830" s="2466">
        <v>10</v>
      </c>
      <c r="AA830" s="2466"/>
      <c r="AB830" s="2466"/>
      <c r="AC830" s="2466"/>
      <c r="AD830" s="2466"/>
      <c r="AE830" s="2466"/>
      <c r="AF830" s="2466">
        <f>IF(T830&gt;Z830,Z830,T830)</f>
        <v>10</v>
      </c>
      <c r="AG830" s="2466"/>
      <c r="AH830" s="2466"/>
      <c r="AI830" s="2466"/>
      <c r="AJ830" s="2466"/>
      <c r="AK830" s="2466"/>
      <c r="AL830" s="814"/>
      <c r="AM830" s="594"/>
    </row>
    <row r="831" spans="1:43">
      <c r="A831" s="535"/>
      <c r="B831" s="599"/>
      <c r="C831" s="2489" t="s">
        <v>1564</v>
      </c>
      <c r="D831" s="2489"/>
      <c r="E831" s="2489"/>
      <c r="F831" s="2489"/>
      <c r="G831" s="2489"/>
      <c r="H831" s="2489"/>
      <c r="I831" s="2489"/>
      <c r="J831" s="2489"/>
      <c r="K831" s="2489"/>
      <c r="L831" s="2489"/>
      <c r="M831" s="2489"/>
      <c r="N831" s="2489"/>
      <c r="O831" s="2489"/>
      <c r="P831" s="2489"/>
      <c r="Q831" s="2489"/>
      <c r="R831" s="2489"/>
      <c r="S831" s="2490"/>
      <c r="T831" s="2491">
        <f>AJ165</f>
        <v>7</v>
      </c>
      <c r="U831" s="2491"/>
      <c r="V831" s="2491"/>
      <c r="W831" s="2491"/>
      <c r="X831" s="2491"/>
      <c r="Y831" s="2491"/>
      <c r="Z831" s="2492">
        <v>7</v>
      </c>
      <c r="AA831" s="2492"/>
      <c r="AB831" s="2492"/>
      <c r="AC831" s="2492"/>
      <c r="AD831" s="2492"/>
      <c r="AE831" s="2492"/>
      <c r="AF831" s="2493"/>
      <c r="AG831" s="2493"/>
      <c r="AH831" s="2493"/>
      <c r="AI831" s="2493"/>
      <c r="AJ831" s="2493"/>
      <c r="AK831" s="2493"/>
      <c r="AL831" s="814"/>
      <c r="AM831" s="594"/>
    </row>
    <row r="832" spans="1:43">
      <c r="A832" s="598"/>
      <c r="B832" s="599"/>
      <c r="C832" s="2489" t="s">
        <v>1565</v>
      </c>
      <c r="D832" s="2489"/>
      <c r="E832" s="2489"/>
      <c r="F832" s="2489"/>
      <c r="G832" s="2489"/>
      <c r="H832" s="2489"/>
      <c r="I832" s="2489"/>
      <c r="J832" s="2489"/>
      <c r="K832" s="2489"/>
      <c r="L832" s="2489"/>
      <c r="M832" s="2489"/>
      <c r="N832" s="2489"/>
      <c r="O832" s="2489"/>
      <c r="P832" s="2489"/>
      <c r="Q832" s="2489"/>
      <c r="R832" s="2489"/>
      <c r="S832" s="2490"/>
      <c r="T832" s="2491">
        <f>AJ179</f>
        <v>3</v>
      </c>
      <c r="U832" s="2491"/>
      <c r="V832" s="2491"/>
      <c r="W832" s="2491"/>
      <c r="X832" s="2491"/>
      <c r="Y832" s="2491"/>
      <c r="Z832" s="2492">
        <v>3</v>
      </c>
      <c r="AA832" s="2492"/>
      <c r="AB832" s="2492"/>
      <c r="AC832" s="2492"/>
      <c r="AD832" s="2492"/>
      <c r="AE832" s="2492"/>
      <c r="AF832" s="2493"/>
      <c r="AG832" s="2493"/>
      <c r="AH832" s="2493"/>
      <c r="AI832" s="2493"/>
      <c r="AJ832" s="2493"/>
      <c r="AK832" s="2493"/>
      <c r="AL832" s="814"/>
      <c r="AM832" s="594"/>
      <c r="AO832" s="549"/>
    </row>
    <row r="833" spans="1:81">
      <c r="A833" s="816" t="s">
        <v>1354</v>
      </c>
      <c r="B833" s="2483" t="s">
        <v>1566</v>
      </c>
      <c r="C833" s="2483"/>
      <c r="D833" s="2483"/>
      <c r="E833" s="2483"/>
      <c r="F833" s="2483"/>
      <c r="G833" s="2483"/>
      <c r="H833" s="2483"/>
      <c r="I833" s="2483"/>
      <c r="J833" s="2483"/>
      <c r="K833" s="2483"/>
      <c r="L833" s="2483"/>
      <c r="M833" s="2483"/>
      <c r="N833" s="2483"/>
      <c r="O833" s="2483"/>
      <c r="P833" s="2483"/>
      <c r="Q833" s="2483"/>
      <c r="R833" s="2483"/>
      <c r="S833" s="2484"/>
      <c r="T833" s="2485">
        <f>AK190</f>
        <v>10</v>
      </c>
      <c r="U833" s="2485"/>
      <c r="V833" s="2485"/>
      <c r="W833" s="2485"/>
      <c r="X833" s="2485"/>
      <c r="Y833" s="2485"/>
      <c r="Z833" s="2466">
        <v>10</v>
      </c>
      <c r="AA833" s="2466"/>
      <c r="AB833" s="2466"/>
      <c r="AC833" s="2466"/>
      <c r="AD833" s="2466"/>
      <c r="AE833" s="2466"/>
      <c r="AF833" s="2466">
        <f>IF(T833&gt;Z833,Z833,T833)</f>
        <v>10</v>
      </c>
      <c r="AG833" s="2466"/>
      <c r="AH833" s="2466"/>
      <c r="AI833" s="2466"/>
      <c r="AJ833" s="2466"/>
      <c r="AK833" s="2466"/>
      <c r="AL833" s="814"/>
      <c r="AM833" s="594"/>
    </row>
    <row r="834" spans="1:81" hidden="1">
      <c r="A834" s="815" t="s">
        <v>1362</v>
      </c>
      <c r="B834" s="2483" t="s">
        <v>1363</v>
      </c>
      <c r="C834" s="2483"/>
      <c r="D834" s="2483"/>
      <c r="E834" s="2483"/>
      <c r="F834" s="2483"/>
      <c r="G834" s="2483"/>
      <c r="H834" s="2483"/>
      <c r="I834" s="2483"/>
      <c r="J834" s="2483"/>
      <c r="K834" s="2483"/>
      <c r="L834" s="2483"/>
      <c r="M834" s="2483"/>
      <c r="N834" s="2483"/>
      <c r="O834" s="2483"/>
      <c r="P834" s="2483"/>
      <c r="Q834" s="2483"/>
      <c r="R834" s="2483"/>
      <c r="S834" s="2484"/>
      <c r="T834" s="2485">
        <f>AK272</f>
        <v>0</v>
      </c>
      <c r="U834" s="2485"/>
      <c r="V834" s="2485"/>
      <c r="W834" s="2485"/>
      <c r="X834" s="2485"/>
      <c r="Y834" s="2485"/>
      <c r="Z834" s="2486">
        <v>8</v>
      </c>
      <c r="AA834" s="2487"/>
      <c r="AB834" s="2487"/>
      <c r="AC834" s="2487"/>
      <c r="AD834" s="2487"/>
      <c r="AE834" s="2488"/>
      <c r="AF834" s="2466"/>
      <c r="AG834" s="2466"/>
      <c r="AH834" s="2466"/>
      <c r="AI834" s="2466"/>
      <c r="AJ834" s="2466"/>
      <c r="AK834" s="2466"/>
      <c r="AL834" s="814"/>
      <c r="AM834" s="594"/>
    </row>
    <row r="835" spans="1:81" s="534" customFormat="1" hidden="1">
      <c r="A835" s="816" t="s">
        <v>588</v>
      </c>
      <c r="B835" s="2483" t="s">
        <v>1567</v>
      </c>
      <c r="C835" s="2483"/>
      <c r="D835" s="2483"/>
      <c r="E835" s="2483"/>
      <c r="F835" s="2483"/>
      <c r="G835" s="2483"/>
      <c r="H835" s="2483"/>
      <c r="I835" s="2483"/>
      <c r="J835" s="2483"/>
      <c r="K835" s="2483"/>
      <c r="L835" s="2483"/>
      <c r="M835" s="2483"/>
      <c r="N835" s="2483"/>
      <c r="O835" s="2483"/>
      <c r="P835" s="2483"/>
      <c r="Q835" s="2483"/>
      <c r="R835" s="2483"/>
      <c r="S835" s="2484"/>
      <c r="T835" s="2485">
        <f>IF(AK548&gt;5,5,AK548)</f>
        <v>0</v>
      </c>
      <c r="U835" s="2485"/>
      <c r="V835" s="2485"/>
      <c r="W835" s="2485"/>
      <c r="X835" s="2485"/>
      <c r="Y835" s="2485"/>
      <c r="Z835" s="2466">
        <v>5</v>
      </c>
      <c r="AA835" s="2466"/>
      <c r="AB835" s="2466"/>
      <c r="AC835" s="2466"/>
      <c r="AD835" s="2466"/>
      <c r="AE835" s="2466"/>
      <c r="AF835" s="2466"/>
      <c r="AG835" s="2466"/>
      <c r="AH835" s="2466"/>
      <c r="AI835" s="2466"/>
      <c r="AJ835" s="2466"/>
      <c r="AK835" s="2466"/>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3" t="str">
        <f>B275</f>
        <v>Readiness to Proceed</v>
      </c>
      <c r="C836" s="2483"/>
      <c r="D836" s="2483"/>
      <c r="E836" s="2483"/>
      <c r="F836" s="2483"/>
      <c r="G836" s="2483"/>
      <c r="H836" s="2483"/>
      <c r="I836" s="2483"/>
      <c r="J836" s="2483"/>
      <c r="K836" s="2483"/>
      <c r="L836" s="2483"/>
      <c r="M836" s="2483"/>
      <c r="N836" s="2483"/>
      <c r="O836" s="2483"/>
      <c r="P836" s="2483"/>
      <c r="Q836" s="2483"/>
      <c r="R836" s="2483"/>
      <c r="S836" s="2484"/>
      <c r="T836" s="2485">
        <f>AK298</f>
        <v>10</v>
      </c>
      <c r="U836" s="2485"/>
      <c r="V836" s="2485"/>
      <c r="W836" s="2485"/>
      <c r="X836" s="2485"/>
      <c r="Y836" s="2485"/>
      <c r="Z836" s="2466">
        <v>10</v>
      </c>
      <c r="AA836" s="2466"/>
      <c r="AB836" s="2466"/>
      <c r="AC836" s="2466"/>
      <c r="AD836" s="2466"/>
      <c r="AE836" s="2466"/>
      <c r="AF836" s="2494">
        <f>IF(T836&gt;Z836,Z836,T836)</f>
        <v>10</v>
      </c>
      <c r="AG836" s="2495"/>
      <c r="AH836" s="2495"/>
      <c r="AI836" s="2495"/>
      <c r="AJ836" s="2495"/>
      <c r="AK836" s="249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3" t="str">
        <f>B301</f>
        <v>Access to Opportunity</v>
      </c>
      <c r="C837" s="2483"/>
      <c r="D837" s="2483"/>
      <c r="E837" s="2483"/>
      <c r="F837" s="2483"/>
      <c r="G837" s="2483"/>
      <c r="H837" s="2483"/>
      <c r="I837" s="2483"/>
      <c r="J837" s="2483"/>
      <c r="K837" s="2483"/>
      <c r="L837" s="2483"/>
      <c r="M837" s="2483"/>
      <c r="N837" s="2483"/>
      <c r="O837" s="2483"/>
      <c r="P837" s="2483"/>
      <c r="Q837" s="2483"/>
      <c r="R837" s="2483"/>
      <c r="S837" s="2484"/>
      <c r="T837" s="2485">
        <f>AK351</f>
        <v>10</v>
      </c>
      <c r="U837" s="2485"/>
      <c r="V837" s="2485"/>
      <c r="W837" s="2485"/>
      <c r="X837" s="2485"/>
      <c r="Y837" s="2485"/>
      <c r="Z837" s="2494">
        <v>10</v>
      </c>
      <c r="AA837" s="2495"/>
      <c r="AB837" s="2495"/>
      <c r="AC837" s="2495"/>
      <c r="AD837" s="2495"/>
      <c r="AE837" s="2496"/>
      <c r="AF837" s="2494">
        <f>IF(T837&gt;Z837,Z837,T837)</f>
        <v>10</v>
      </c>
      <c r="AG837" s="2495"/>
      <c r="AH837" s="2495"/>
      <c r="AI837" s="2495"/>
      <c r="AJ837" s="2495"/>
      <c r="AK837" s="249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1">
        <f>AK351</f>
        <v>10</v>
      </c>
      <c r="U838" s="2491"/>
      <c r="V838" s="2491"/>
      <c r="W838" s="2491"/>
      <c r="X838" s="2491"/>
      <c r="Y838" s="2491"/>
      <c r="Z838" s="2395">
        <v>20</v>
      </c>
      <c r="AA838" s="2441"/>
      <c r="AB838" s="2441"/>
      <c r="AC838" s="2441"/>
      <c r="AD838" s="2441"/>
      <c r="AE838" s="2396"/>
      <c r="AF838" s="2493"/>
      <c r="AG838" s="2493"/>
      <c r="AH838" s="2493"/>
      <c r="AI838" s="2493"/>
      <c r="AJ838" s="2493"/>
      <c r="AK838" s="249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3" t="s">
        <v>844</v>
      </c>
      <c r="C839" s="2483"/>
      <c r="D839" s="2483"/>
      <c r="E839" s="2483"/>
      <c r="F839" s="2483"/>
      <c r="G839" s="2483"/>
      <c r="H839" s="2483"/>
      <c r="I839" s="2483"/>
      <c r="J839" s="2483"/>
      <c r="K839" s="2483"/>
      <c r="L839" s="2483"/>
      <c r="M839" s="2483"/>
      <c r="N839" s="2483"/>
      <c r="O839" s="2483"/>
      <c r="P839" s="2483"/>
      <c r="Q839" s="2483"/>
      <c r="R839" s="2483"/>
      <c r="S839" s="2484"/>
      <c r="T839" s="2485">
        <f>AK482</f>
        <v>10</v>
      </c>
      <c r="U839" s="2485"/>
      <c r="V839" s="2485"/>
      <c r="W839" s="2485"/>
      <c r="X839" s="2485"/>
      <c r="Y839" s="2485"/>
      <c r="Z839" s="2494">
        <v>10</v>
      </c>
      <c r="AA839" s="2495"/>
      <c r="AB839" s="2495"/>
      <c r="AC839" s="2495"/>
      <c r="AD839" s="2495"/>
      <c r="AE839" s="2496"/>
      <c r="AF839" s="2466">
        <f>IF(T839&gt;Z839,Z839,T839)</f>
        <v>10</v>
      </c>
      <c r="AG839" s="2466"/>
      <c r="AH839" s="2466"/>
      <c r="AI839" s="2466"/>
      <c r="AJ839" s="2466"/>
      <c r="AK839" s="2466"/>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3" t="s">
        <v>1549</v>
      </c>
      <c r="C840" s="2483"/>
      <c r="D840" s="2483"/>
      <c r="E840" s="2483"/>
      <c r="F840" s="2483"/>
      <c r="G840" s="2483"/>
      <c r="H840" s="2483"/>
      <c r="I840" s="2483"/>
      <c r="J840" s="2483"/>
      <c r="K840" s="2483"/>
      <c r="L840" s="2483"/>
      <c r="M840" s="2483"/>
      <c r="N840" s="2483"/>
      <c r="O840" s="2483"/>
      <c r="P840" s="2483"/>
      <c r="Q840" s="2483"/>
      <c r="R840" s="2483"/>
      <c r="S840" s="2484"/>
      <c r="T840" s="2485">
        <f>AK572</f>
        <v>12</v>
      </c>
      <c r="U840" s="2485"/>
      <c r="V840" s="2485"/>
      <c r="W840" s="2485"/>
      <c r="X840" s="2485"/>
      <c r="Y840" s="2485"/>
      <c r="Z840" s="2494">
        <v>12</v>
      </c>
      <c r="AA840" s="2495"/>
      <c r="AB840" s="2495"/>
      <c r="AC840" s="2495"/>
      <c r="AD840" s="2495"/>
      <c r="AE840" s="2496"/>
      <c r="AF840" s="2466">
        <f>IF(T840&gt;Z840,Z840,T840)</f>
        <v>12</v>
      </c>
      <c r="AG840" s="2466"/>
      <c r="AH840" s="2466"/>
      <c r="AI840" s="2466"/>
      <c r="AJ840" s="2466"/>
      <c r="AK840" s="2466"/>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3" t="s">
        <v>1569</v>
      </c>
      <c r="C841" s="2483"/>
      <c r="D841" s="2483"/>
      <c r="E841" s="2483"/>
      <c r="F841" s="2483"/>
      <c r="G841" s="2483"/>
      <c r="H841" s="2483"/>
      <c r="I841" s="2483"/>
      <c r="J841" s="2483"/>
      <c r="K841" s="2483"/>
      <c r="L841" s="2483"/>
      <c r="M841" s="2483"/>
      <c r="N841" s="2483"/>
      <c r="O841" s="2483"/>
      <c r="P841" s="2483"/>
      <c r="Q841" s="2483"/>
      <c r="R841" s="2483"/>
      <c r="S841" s="2484"/>
      <c r="T841" s="2485">
        <f>AK816</f>
        <v>10</v>
      </c>
      <c r="U841" s="2485"/>
      <c r="V841" s="2485"/>
      <c r="W841" s="2485"/>
      <c r="X841" s="2485"/>
      <c r="Y841" s="2485"/>
      <c r="Z841" s="2494">
        <v>10</v>
      </c>
      <c r="AA841" s="2495"/>
      <c r="AB841" s="2495"/>
      <c r="AC841" s="2495"/>
      <c r="AD841" s="2495"/>
      <c r="AE841" s="2496"/>
      <c r="AF841" s="2466">
        <f>IF(T841&gt;Z841,Z841,T841)</f>
        <v>10</v>
      </c>
      <c r="AG841" s="2466"/>
      <c r="AH841" s="2466"/>
      <c r="AI841" s="2466"/>
      <c r="AJ841" s="2466"/>
      <c r="AK841" s="2466"/>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7"/>
      <c r="U842" s="2497"/>
      <c r="V842" s="2497"/>
      <c r="W842" s="2497"/>
      <c r="X842" s="2497"/>
      <c r="Y842" s="2497"/>
      <c r="Z842" s="2492" t="s">
        <v>1571</v>
      </c>
      <c r="AA842" s="2492"/>
      <c r="AB842" s="2492"/>
      <c r="AC842" s="2492"/>
      <c r="AD842" s="2492"/>
      <c r="AE842" s="2492"/>
      <c r="AF842" s="2494">
        <f>ABS(T842)</f>
        <v>0</v>
      </c>
      <c r="AG842" s="2495"/>
      <c r="AH842" s="2495"/>
      <c r="AI842" s="2495"/>
      <c r="AJ842" s="2495"/>
      <c r="AK842" s="249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498" t="s">
        <v>1572</v>
      </c>
      <c r="B843" s="2499"/>
      <c r="C843" s="2499"/>
      <c r="D843" s="2499"/>
      <c r="E843" s="2499"/>
      <c r="F843" s="2499"/>
      <c r="G843" s="2499"/>
      <c r="H843" s="2499"/>
      <c r="I843" s="2499"/>
      <c r="J843" s="2499"/>
      <c r="K843" s="2499"/>
      <c r="L843" s="2499"/>
      <c r="M843" s="2499"/>
      <c r="N843" s="2499"/>
      <c r="O843" s="2499"/>
      <c r="P843" s="2499"/>
      <c r="Q843" s="2499"/>
      <c r="R843" s="2499"/>
      <c r="S843" s="2499"/>
      <c r="T843" s="2499"/>
      <c r="U843" s="2499"/>
      <c r="V843" s="2499"/>
      <c r="W843" s="2499"/>
      <c r="X843" s="2499"/>
      <c r="Y843" s="2499"/>
      <c r="Z843" s="2499"/>
      <c r="AA843" s="2499"/>
      <c r="AB843" s="2499"/>
      <c r="AC843" s="2499"/>
      <c r="AD843" s="2499"/>
      <c r="AE843" s="2500"/>
      <c r="AF843" s="2504">
        <f ca="1">SUM(AF826:AK841)-AF842</f>
        <v>112</v>
      </c>
      <c r="AG843" s="2505"/>
      <c r="AH843" s="2505"/>
      <c r="AI843" s="2505"/>
      <c r="AJ843" s="2505"/>
      <c r="AK843" s="250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501"/>
      <c r="B844" s="2502"/>
      <c r="C844" s="2502"/>
      <c r="D844" s="2502"/>
      <c r="E844" s="2502"/>
      <c r="F844" s="2502"/>
      <c r="G844" s="2502"/>
      <c r="H844" s="2502"/>
      <c r="I844" s="2502"/>
      <c r="J844" s="2502"/>
      <c r="K844" s="2502"/>
      <c r="L844" s="2502"/>
      <c r="M844" s="2502"/>
      <c r="N844" s="2502"/>
      <c r="O844" s="2502"/>
      <c r="P844" s="2502"/>
      <c r="Q844" s="2502"/>
      <c r="R844" s="2502"/>
      <c r="S844" s="2502"/>
      <c r="T844" s="2502"/>
      <c r="U844" s="2502"/>
      <c r="V844" s="2502"/>
      <c r="W844" s="2502"/>
      <c r="X844" s="2502"/>
      <c r="Y844" s="2502"/>
      <c r="Z844" s="2502"/>
      <c r="AA844" s="2502"/>
      <c r="AB844" s="2502"/>
      <c r="AC844" s="2502"/>
      <c r="AD844" s="2502"/>
      <c r="AE844" s="2503"/>
      <c r="AF844" s="2507"/>
      <c r="AG844" s="2508"/>
      <c r="AH844" s="2508"/>
      <c r="AI844" s="2508"/>
      <c r="AJ844" s="2508"/>
      <c r="AK844" s="250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Jared Nolan</cp:lastModifiedBy>
  <cp:lastPrinted>2026-01-31T04:54:24Z</cp:lastPrinted>
  <dcterms:created xsi:type="dcterms:W3CDTF">2007-12-27T18:26:28Z</dcterms:created>
  <dcterms:modified xsi:type="dcterms:W3CDTF">2026-02-03T14:08:59Z</dcterms:modified>
</cp:coreProperties>
</file>